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1"/>
  </bookViews>
  <sheets>
    <sheet name="Triennale 2010-2012" sheetId="1" r:id="rId1"/>
    <sheet name=" relazione triennale" sheetId="2" r:id="rId2"/>
  </sheets>
  <definedNames/>
  <calcPr fullCalcOnLoad="1"/>
</workbook>
</file>

<file path=xl/sharedStrings.xml><?xml version="1.0" encoding="utf-8"?>
<sst xmlns="http://schemas.openxmlformats.org/spreadsheetml/2006/main" count="273" uniqueCount="159">
  <si>
    <t>A. S. P. e F.</t>
  </si>
  <si>
    <t>Azienda Servizi alla Persona e alla Famiglia</t>
  </si>
  <si>
    <t>D'ESTE</t>
  </si>
  <si>
    <t>Domiciliare</t>
  </si>
  <si>
    <t>Residenze</t>
  </si>
  <si>
    <t>Giovanile</t>
  </si>
  <si>
    <t>Palatè</t>
  </si>
  <si>
    <t>A</t>
  </si>
  <si>
    <t>VALORE DELLA PRODUZIONE</t>
  </si>
  <si>
    <t xml:space="preserve"> 1) Ricavi delle vendite e prestazioni</t>
  </si>
  <si>
    <t>a)</t>
  </si>
  <si>
    <t>b)</t>
  </si>
  <si>
    <t>d)</t>
  </si>
  <si>
    <t>f)</t>
  </si>
  <si>
    <t>h)</t>
  </si>
  <si>
    <t>l)</t>
  </si>
  <si>
    <t>m)</t>
  </si>
  <si>
    <t xml:space="preserve"> 2) Variazione delle rimanenze</t>
  </si>
  <si>
    <t xml:space="preserve"> 3) Variazione dei lavori in corso su ordinazione</t>
  </si>
  <si>
    <t xml:space="preserve"> 4) Incrementi di immobilizz. per lavori interni</t>
  </si>
  <si>
    <t xml:space="preserve"> 5) Altri ricavi e proventi</t>
  </si>
  <si>
    <t>TOTALE PARZIALE PER SERVIZIO</t>
  </si>
  <si>
    <t xml:space="preserve">          </t>
  </si>
  <si>
    <t>B</t>
  </si>
  <si>
    <t>COSTI DELLA PRODUZIONE</t>
  </si>
  <si>
    <t xml:space="preserve"> 6) Costi per mat. prime, sussidiarie, di consumo e merci</t>
  </si>
  <si>
    <t xml:space="preserve"> 7) Costi per servizi</t>
  </si>
  <si>
    <t xml:space="preserve"> 8) Costi per godimento beni di terzi</t>
  </si>
  <si>
    <t xml:space="preserve"> 9) Costi per il personale</t>
  </si>
  <si>
    <t xml:space="preserve"> - Salari e stipendi</t>
  </si>
  <si>
    <t xml:space="preserve"> - Trattamento di fine rapporto</t>
  </si>
  <si>
    <t xml:space="preserve"> 10) Ammortamenti e svalutazioni</t>
  </si>
  <si>
    <t xml:space="preserve"> - Svalut. dei crediti compresi nell'attivo circolante</t>
  </si>
  <si>
    <t xml:space="preserve"> 11)</t>
  </si>
  <si>
    <t xml:space="preserve">Variazioni delle rimanenze </t>
  </si>
  <si>
    <t xml:space="preserve"> - Rimanenze iniziali</t>
  </si>
  <si>
    <t xml:space="preserve"> - (Rimanenze finali)</t>
  </si>
  <si>
    <t xml:space="preserve"> 12)</t>
  </si>
  <si>
    <t>Accantonamenti per rischi</t>
  </si>
  <si>
    <t xml:space="preserve"> - Accantonamento a fondo rischi</t>
  </si>
  <si>
    <t xml:space="preserve"> 13)</t>
  </si>
  <si>
    <t>Altri accantonamenti</t>
  </si>
  <si>
    <t xml:space="preserve"> 14)</t>
  </si>
  <si>
    <t>Oneri diversi di gestione</t>
  </si>
  <si>
    <t>C</t>
  </si>
  <si>
    <t>PROVENTI E ONERI FINANZIARI</t>
  </si>
  <si>
    <t xml:space="preserve"> 15)</t>
  </si>
  <si>
    <t>Proventi da partecipazioni</t>
  </si>
  <si>
    <t xml:space="preserve"> 16)</t>
  </si>
  <si>
    <t>Altri proventi finanziari</t>
  </si>
  <si>
    <t xml:space="preserve"> 17)</t>
  </si>
  <si>
    <t>Interessi e altri oneri finanziari</t>
  </si>
  <si>
    <t>D</t>
  </si>
  <si>
    <t>E</t>
  </si>
  <si>
    <t>PROVENTI E ONERI STRAORDINARI</t>
  </si>
  <si>
    <t xml:space="preserve"> 20)</t>
  </si>
  <si>
    <t xml:space="preserve"> 21)</t>
  </si>
  <si>
    <t>Oneri</t>
  </si>
  <si>
    <t xml:space="preserve"> 22)</t>
  </si>
  <si>
    <t>RETT. DI VALORE DI ATTIVITA' FINANZIARIE</t>
  </si>
  <si>
    <t>AVANZO / DISAVANZO DI GESTIONE</t>
  </si>
  <si>
    <t xml:space="preserve"> - Ammortamento immob.immateriali</t>
  </si>
  <si>
    <t xml:space="preserve">Imposte dell'esercizio </t>
  </si>
  <si>
    <t xml:space="preserve"> - Ammortamento immob materiali</t>
  </si>
  <si>
    <t>Il bilancio triennale è stato effettuato in ragione delle seguenti variazioni:</t>
  </si>
  <si>
    <t>RICAVI</t>
  </si>
  <si>
    <t>C.D.I.</t>
  </si>
  <si>
    <t>COSTI</t>
  </si>
  <si>
    <t>R.S.A. "ISABELLA D'ESTE" E "LUIGI BIANCHI"</t>
  </si>
  <si>
    <t>IMPOSTE D'ESERCIZIO</t>
  </si>
  <si>
    <t>c)</t>
  </si>
  <si>
    <t xml:space="preserve"> - Altri accantonamenti </t>
  </si>
  <si>
    <t>FISIOTERAPIA</t>
  </si>
  <si>
    <t>S.A.D. e VOUCHER</t>
  </si>
  <si>
    <t>Costi del personale</t>
  </si>
  <si>
    <t>I</t>
  </si>
  <si>
    <t>e)</t>
  </si>
  <si>
    <t>g)</t>
  </si>
  <si>
    <t>AREA INTEGRAZIONE SOCIALE</t>
  </si>
  <si>
    <t>AREA MINORI</t>
  </si>
  <si>
    <t>COMUNITA' ALLOGGIO HANDICAP</t>
  </si>
  <si>
    <t>PROVENTI AFFITTI E CONTRATTO DI SERVIZIO FARMACIE</t>
  </si>
  <si>
    <t>QUOTE FORFETTARIE SSN</t>
  </si>
  <si>
    <t>CONTRIBUTO PIANO DI ZONA</t>
  </si>
  <si>
    <t>CONTRIBUTO REGIONE LOMBARDIA EX-CIRCOLARE 4</t>
  </si>
  <si>
    <t>Fisioterapia</t>
  </si>
  <si>
    <t>SAD e Voucher</t>
  </si>
  <si>
    <t>Centro Diurno Integrato</t>
  </si>
  <si>
    <t>Area Minori</t>
  </si>
  <si>
    <t>RSA "Isabella D'Este"</t>
  </si>
  <si>
    <t>RSA "Luigi Bianchi"</t>
  </si>
  <si>
    <t xml:space="preserve">      -</t>
  </si>
  <si>
    <t>di cui: contributi in conto esercizio</t>
  </si>
  <si>
    <t xml:space="preserve"> contributo Fondo Sanitario Regionale</t>
  </si>
  <si>
    <t xml:space="preserve"> contributo Regionale per lavori I.D'Este</t>
  </si>
  <si>
    <t>R.S.A. "Luigi Bianchi"</t>
  </si>
  <si>
    <t>contributo Fondo Sanitario Regionale</t>
  </si>
  <si>
    <t xml:space="preserve"> contributo Regionale per lavori L.Bianchi</t>
  </si>
  <si>
    <t>S.A.D. - Voucher</t>
  </si>
  <si>
    <t>contributo ASL ex circolare 4</t>
  </si>
  <si>
    <t>contributo Piano di Zona Dormitorio</t>
  </si>
  <si>
    <t xml:space="preserve">Area Minori </t>
  </si>
  <si>
    <t>Servizio Affidi</t>
  </si>
  <si>
    <t xml:space="preserve">Altri ricavi e proventi </t>
  </si>
  <si>
    <t>Ristorazione</t>
  </si>
  <si>
    <t>Servizio Trasporto Protetto</t>
  </si>
  <si>
    <t>-</t>
  </si>
  <si>
    <t>Costi comuni</t>
  </si>
  <si>
    <t>Compensi C.d.A.</t>
  </si>
  <si>
    <t>Compensi Collegio Revisori</t>
  </si>
  <si>
    <t xml:space="preserve"> - Oneri sociali (al netto fiscalizzazione)</t>
  </si>
  <si>
    <t xml:space="preserve"> - Trattamento di quiescienza e simili</t>
  </si>
  <si>
    <t>MARGINE OPERATIVO LORDO</t>
  </si>
  <si>
    <t>IRAP</t>
  </si>
  <si>
    <t>IRES</t>
  </si>
  <si>
    <t>Compensi Amministratori e Collegio Revisori</t>
  </si>
  <si>
    <t>ALTRI RICAVI PER PERSONALE IN DISTACCO/COMANDO</t>
  </si>
  <si>
    <t>Proventi</t>
  </si>
  <si>
    <t>progetto Alzheimer</t>
  </si>
  <si>
    <t xml:space="preserve">Area Integrazione Sociale </t>
  </si>
  <si>
    <t>Contributo  Ente Proprietario</t>
  </si>
  <si>
    <t>Contributo Ente proprietario</t>
  </si>
  <si>
    <t xml:space="preserve">C. A. H. Viale Gorizia </t>
  </si>
  <si>
    <t>Studentato</t>
  </si>
  <si>
    <t xml:space="preserve"> - Altri costi per il personale </t>
  </si>
  <si>
    <t>STUDENTATO</t>
  </si>
  <si>
    <t>Bilancio di Previsione Triennale  2010 - 2011 - 2012</t>
  </si>
  <si>
    <r>
      <t xml:space="preserve">Per gli anni 2011 e 2012 inserito tra i Progetti dell'Assessorato: Licata, Angeloni, e n° 2 Educatori per un importo pari ad euro </t>
    </r>
    <r>
      <rPr>
        <b/>
        <sz val="10"/>
        <rFont val="Arial"/>
        <family val="2"/>
      </rPr>
      <t>118.000,00.</t>
    </r>
  </si>
  <si>
    <r>
      <t xml:space="preserve">Per l'anno 2010 l' affitto della farmacia Gramsci è di 75.000 mentre la Farmacia Due Pini è pari ad euro 60.000 per un totale di </t>
    </r>
    <r>
      <rPr>
        <b/>
        <sz val="10"/>
        <rFont val="Arial"/>
        <family val="2"/>
      </rPr>
      <t>135.000,00</t>
    </r>
    <r>
      <rPr>
        <sz val="10"/>
        <rFont val="Arial"/>
        <family val="0"/>
      </rPr>
      <t xml:space="preserve"> e il contratto di servizio a </t>
    </r>
    <r>
      <rPr>
        <b/>
        <sz val="10"/>
        <rFont val="Arial"/>
        <family val="2"/>
      </rPr>
      <t>12.500,00</t>
    </r>
    <r>
      <rPr>
        <sz val="10"/>
        <rFont val="Arial"/>
        <family val="0"/>
      </rPr>
      <t xml:space="preserve">. </t>
    </r>
  </si>
  <si>
    <r>
      <t xml:space="preserve">Per gli anni 2011 e 2012 </t>
    </r>
    <r>
      <rPr>
        <b/>
        <sz val="10"/>
        <rFont val="Arial"/>
        <family val="2"/>
      </rPr>
      <t>NESSUN AUMENTO</t>
    </r>
  </si>
  <si>
    <t>Nessun aumento per gli anni 2011 e 2012</t>
  </si>
  <si>
    <t>contributo Ente Proprietario</t>
  </si>
  <si>
    <t>contributo Piano di Zona ex circolare 4</t>
  </si>
  <si>
    <t>Altri ricavi e proventi Contratto di Servizio e Affitti Farm.</t>
  </si>
  <si>
    <t>NOTE AL TRIENNALE  2010 - 2011 - 2012</t>
  </si>
  <si>
    <t>Saturazione 100% 6 posti letto</t>
  </si>
  <si>
    <r>
      <t xml:space="preserve">Anno 2010  </t>
    </r>
    <r>
      <rPr>
        <b/>
        <sz val="10"/>
        <rFont val="Arial"/>
        <family val="2"/>
      </rPr>
      <t>450.000</t>
    </r>
    <r>
      <rPr>
        <sz val="10"/>
        <rFont val="Arial"/>
        <family val="2"/>
      </rPr>
      <t xml:space="preserve"> - Anno 2011 </t>
    </r>
    <r>
      <rPr>
        <b/>
        <sz val="10"/>
        <rFont val="Arial"/>
        <family val="2"/>
      </rPr>
      <t>420.000</t>
    </r>
    <r>
      <rPr>
        <sz val="10"/>
        <rFont val="Arial"/>
        <family val="2"/>
      </rPr>
      <t xml:space="preserve">   Anno 2012 </t>
    </r>
    <r>
      <rPr>
        <b/>
        <sz val="10"/>
        <rFont val="Arial"/>
        <family val="2"/>
      </rPr>
      <t>390.000</t>
    </r>
  </si>
  <si>
    <r>
      <t xml:space="preserve">Per l'anno 2010 inserito tra i Progetti dell'Assessorato: Licata, Angeloni, Rovesta e n° 2 Educatori per un importo pari ad euro </t>
    </r>
    <r>
      <rPr>
        <b/>
        <sz val="10"/>
        <rFont val="Arial"/>
        <family val="2"/>
      </rPr>
      <t xml:space="preserve">118.000,00. Il costo della Longhini (20.000) </t>
    </r>
  </si>
  <si>
    <t xml:space="preserve">Per l'anno 2011 è pari a quello del 2010 cosi come per il 2012 </t>
  </si>
  <si>
    <t>E' stato previsto un' aumento rispetto al 2011 e 2012 del 1% .</t>
  </si>
  <si>
    <r>
      <t xml:space="preserve">Tra i proventi da partecipazione troviamo gli utili delle Farmacie Mantovane Srl che per l'anno 2010 è previsto pari ad €. 264.469,08 mentre per l'anno 2011 è previsto un aumento del 5% pari ad euro </t>
    </r>
    <r>
      <rPr>
        <b/>
        <sz val="10"/>
        <rFont val="Arial"/>
        <family val="2"/>
      </rPr>
      <t>277.692</t>
    </r>
    <r>
      <rPr>
        <sz val="10"/>
        <rFont val="Arial"/>
        <family val="0"/>
      </rPr>
      <t xml:space="preserve"> e per l'anno 2011 è previsto un aumento del 7% pari ad euro </t>
    </r>
    <r>
      <rPr>
        <b/>
        <sz val="10"/>
        <rFont val="Arial"/>
        <family val="2"/>
      </rPr>
      <t>297.131</t>
    </r>
    <r>
      <rPr>
        <sz val="10"/>
        <rFont val="Arial"/>
        <family val="0"/>
      </rPr>
      <t>.</t>
    </r>
  </si>
  <si>
    <t>Aumento dell'1% anno 2011 e 2012</t>
  </si>
  <si>
    <t xml:space="preserve">Servizio Affidi </t>
  </si>
  <si>
    <t>Comunità Alloggio Handicap</t>
  </si>
  <si>
    <t xml:space="preserve">contributo Piano di Zona </t>
  </si>
  <si>
    <r>
      <t xml:space="preserve">Per l'anno 2012 aumento di euro 1 tasso di saturazione 99% = 1*174*365**99/100 = </t>
    </r>
    <r>
      <rPr>
        <b/>
        <sz val="10"/>
        <rFont val="Arial"/>
        <family val="2"/>
      </rPr>
      <t>62.875</t>
    </r>
  </si>
  <si>
    <t>Aumento del 12% anno 2011 e 2012</t>
  </si>
  <si>
    <t>Aumento nel 2011 e nel 2012 pari al 3%. Finito Progetto Alzehimer</t>
  </si>
  <si>
    <t>Nessun aumento</t>
  </si>
  <si>
    <t xml:space="preserve">Aumentato tasso di saturazione per arrivare al 80% nel 2011 e 90% 2012 </t>
  </si>
  <si>
    <t>Nessun aumento rette sia nel 2011 che nel 2012</t>
  </si>
  <si>
    <r>
      <t xml:space="preserve">Per l' anno 2010 </t>
    </r>
    <r>
      <rPr>
        <b/>
        <sz val="10"/>
        <rFont val="Arial"/>
        <family val="2"/>
      </rPr>
      <t>NESSUN AUMENTO RETTE.</t>
    </r>
    <r>
      <rPr>
        <sz val="10"/>
        <rFont val="Arial"/>
        <family val="0"/>
      </rPr>
      <t xml:space="preserve"> </t>
    </r>
  </si>
  <si>
    <r>
      <t xml:space="preserve">Per l'anno 2011 aumento di euro 0,5 tasso di saturazione 99% = 0,5*174*365**99/100 = </t>
    </r>
    <r>
      <rPr>
        <b/>
        <sz val="10"/>
        <rFont val="Arial"/>
        <family val="2"/>
      </rPr>
      <t xml:space="preserve">31.437 </t>
    </r>
  </si>
  <si>
    <t>Aumento posti accreditati del 3% saturazione al 100% per gli anni 2011 e 2012</t>
  </si>
  <si>
    <t>Invariato il contributo per gli anni 2011 e 2012 Affidi e Dormitorio.</t>
  </si>
  <si>
    <t xml:space="preserve">I costi d'esercizio per l'anno 2011 e 2012 relativi agli acquisti, servizi, ammortamenti e oneri diversi di gestione sono aumentati del 1% ad eccezzione delle gare d'appalto. </t>
  </si>
  <si>
    <t>Tra gli altri proventi abbiamo stimato interessi attivi di conto corrente di tesoreria pari ad euro 13.350 nel 2011 e per il 2012 è di 10.600,00.</t>
  </si>
  <si>
    <t>Tra gli interessi ed altri oneri finanziari abbiamo calcolato interessi passivi su mutui pari ad 79.318 per l'anno 2011 mentre per l'anno 2012 l'importo è pari ad euro 74.203,00.</t>
  </si>
  <si>
    <r>
      <t xml:space="preserve">Per l'anno </t>
    </r>
    <r>
      <rPr>
        <b/>
        <sz val="10"/>
        <rFont val="Arial"/>
        <family val="2"/>
      </rPr>
      <t>2011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IRAP</t>
    </r>
    <r>
      <rPr>
        <sz val="10"/>
        <rFont val="Arial"/>
        <family val="2"/>
      </rPr>
      <t xml:space="preserve"> 93.715,00 e </t>
    </r>
    <r>
      <rPr>
        <b/>
        <sz val="10"/>
        <rFont val="Arial"/>
        <family val="2"/>
      </rPr>
      <t>IRES</t>
    </r>
    <r>
      <rPr>
        <sz val="10"/>
        <rFont val="Arial"/>
        <family val="2"/>
      </rPr>
      <t xml:space="preserve"> 25.778,00. Per l'anno </t>
    </r>
    <r>
      <rPr>
        <b/>
        <sz val="10"/>
        <rFont val="Arial"/>
        <family val="2"/>
      </rPr>
      <t>2012 IRAP</t>
    </r>
    <r>
      <rPr>
        <sz val="10"/>
        <rFont val="Arial"/>
        <family val="2"/>
      </rPr>
      <t xml:space="preserve"> 94.822,00 e IRES 26.401,00.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</si>
</sst>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00_);\(#,##0.0000000\)"/>
    <numFmt numFmtId="172" formatCode="00000"/>
  </numFmts>
  <fonts count="27">
    <font>
      <sz val="10"/>
      <name val="Arial"/>
      <family val="0"/>
    </font>
    <font>
      <sz val="10"/>
      <name val="Times New Roman"/>
      <family val="1"/>
    </font>
    <font>
      <sz val="18"/>
      <name val="Times New Roman"/>
      <family val="1"/>
    </font>
    <font>
      <sz val="18"/>
      <name val="Swis721 Hv BT"/>
      <family val="2"/>
    </font>
    <font>
      <sz val="12"/>
      <name val="Times New Roman"/>
      <family val="1"/>
    </font>
    <font>
      <sz val="12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name val="Times New Roman"/>
      <family val="1"/>
    </font>
    <font>
      <sz val="22"/>
      <name val="Times New Roman"/>
      <family val="1"/>
    </font>
    <font>
      <sz val="22"/>
      <name val="Swis721 Hv BT"/>
      <family val="0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0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6"/>
      <name val="Times New Roman"/>
      <family val="1"/>
    </font>
    <font>
      <i/>
      <sz val="16"/>
      <color indexed="9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i/>
      <sz val="12"/>
      <name val="Geneva"/>
      <family val="0"/>
    </font>
    <font>
      <i/>
      <sz val="12"/>
      <name val="Arial"/>
      <family val="2"/>
    </font>
    <font>
      <i/>
      <sz val="12"/>
      <name val="Geneve"/>
      <family val="0"/>
    </font>
    <font>
      <i/>
      <sz val="12"/>
      <name val="GeN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justify" vertical="justify" wrapText="1"/>
    </xf>
    <xf numFmtId="0" fontId="8" fillId="0" borderId="0" xfId="0" applyFont="1" applyAlignment="1">
      <alignment horizontal="justify" vertical="justify" wrapText="1"/>
    </xf>
    <xf numFmtId="0" fontId="8" fillId="0" borderId="0" xfId="0" applyFont="1" applyAlignment="1">
      <alignment horizontal="center" vertical="justify" wrapText="1"/>
    </xf>
    <xf numFmtId="0" fontId="9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Font="1" applyAlignment="1">
      <alignment horizontal="justify" vertical="justify" wrapText="1"/>
    </xf>
    <xf numFmtId="4" fontId="10" fillId="0" borderId="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170" fontId="14" fillId="4" borderId="3" xfId="0" applyNumberFormat="1" applyFont="1" applyFill="1" applyBorder="1" applyAlignment="1" applyProtection="1">
      <alignment horizontal="center" vertical="center"/>
      <protection/>
    </xf>
    <xf numFmtId="0" fontId="13" fillId="3" borderId="4" xfId="0" applyFont="1" applyFill="1" applyBorder="1" applyAlignment="1">
      <alignment/>
    </xf>
    <xf numFmtId="0" fontId="13" fillId="3" borderId="3" xfId="0" applyFont="1" applyFill="1" applyBorder="1" applyAlignment="1">
      <alignment/>
    </xf>
    <xf numFmtId="170" fontId="14" fillId="4" borderId="2" xfId="0" applyNumberFormat="1" applyFont="1" applyFill="1" applyBorder="1" applyAlignment="1" applyProtection="1">
      <alignment horizontal="center" vertical="center"/>
      <protection/>
    </xf>
    <xf numFmtId="0" fontId="10" fillId="3" borderId="1" xfId="0" applyFont="1" applyFill="1" applyBorder="1" applyAlignment="1">
      <alignment horizontal="center"/>
    </xf>
    <xf numFmtId="0" fontId="15" fillId="0" borderId="0" xfId="0" applyFont="1" applyAlignment="1">
      <alignment/>
    </xf>
    <xf numFmtId="170" fontId="14" fillId="4" borderId="5" xfId="0" applyNumberFormat="1" applyFont="1" applyFill="1" applyBorder="1" applyAlignment="1" applyProtection="1">
      <alignment horizontal="center" vertical="center"/>
      <protection/>
    </xf>
    <xf numFmtId="170" fontId="14" fillId="4" borderId="6" xfId="0" applyNumberFormat="1" applyFont="1" applyFill="1" applyBorder="1" applyAlignment="1" applyProtection="1">
      <alignment vertical="center"/>
      <protection/>
    </xf>
    <xf numFmtId="0" fontId="16" fillId="4" borderId="6" xfId="0" applyFont="1" applyFill="1" applyBorder="1" applyAlignment="1" applyProtection="1">
      <alignment vertical="center"/>
      <protection/>
    </xf>
    <xf numFmtId="170" fontId="16" fillId="4" borderId="7" xfId="0" applyNumberFormat="1" applyFont="1" applyFill="1" applyBorder="1" applyAlignment="1" applyProtection="1">
      <alignment vertical="center"/>
      <protection/>
    </xf>
    <xf numFmtId="170" fontId="16" fillId="5" borderId="8" xfId="0" applyNumberFormat="1" applyFont="1" applyFill="1" applyBorder="1" applyAlignment="1" applyProtection="1">
      <alignment/>
      <protection/>
    </xf>
    <xf numFmtId="170" fontId="16" fillId="5" borderId="8" xfId="0" applyNumberFormat="1" applyFont="1" applyFill="1" applyBorder="1" applyAlignment="1" applyProtection="1">
      <alignment/>
      <protection/>
    </xf>
    <xf numFmtId="170" fontId="16" fillId="5" borderId="9" xfId="0" applyNumberFormat="1" applyFont="1" applyFill="1" applyBorder="1" applyAlignment="1" applyProtection="1">
      <alignment/>
      <protection/>
    </xf>
    <xf numFmtId="170" fontId="16" fillId="5" borderId="10" xfId="0" applyNumberFormat="1" applyFont="1" applyFill="1" applyBorder="1" applyAlignment="1" applyProtection="1">
      <alignment/>
      <protection/>
    </xf>
    <xf numFmtId="170" fontId="16" fillId="5" borderId="11" xfId="0" applyNumberFormat="1" applyFont="1" applyFill="1" applyBorder="1" applyAlignment="1" applyProtection="1">
      <alignment/>
      <protection/>
    </xf>
    <xf numFmtId="170" fontId="16" fillId="5" borderId="0" xfId="0" applyNumberFormat="1" applyFont="1" applyFill="1" applyBorder="1" applyAlignment="1" applyProtection="1">
      <alignment/>
      <protection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170" fontId="14" fillId="0" borderId="13" xfId="0" applyNumberFormat="1" applyFont="1" applyFill="1" applyBorder="1" applyAlignment="1" applyProtection="1">
      <alignment horizontal="center" vertical="center"/>
      <protection/>
    </xf>
    <xf numFmtId="170" fontId="1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170" fontId="16" fillId="0" borderId="0" xfId="0" applyNumberFormat="1" applyFont="1" applyFill="1" applyBorder="1" applyAlignment="1" applyProtection="1">
      <alignment vertical="center"/>
      <protection/>
    </xf>
    <xf numFmtId="170" fontId="16" fillId="0" borderId="11" xfId="0" applyNumberFormat="1" applyFont="1" applyFill="1" applyBorder="1" applyAlignment="1" applyProtection="1">
      <alignment/>
      <protection/>
    </xf>
    <xf numFmtId="170" fontId="16" fillId="0" borderId="8" xfId="0" applyNumberFormat="1" applyFont="1" applyFill="1" applyBorder="1" applyAlignment="1" applyProtection="1">
      <alignment/>
      <protection/>
    </xf>
    <xf numFmtId="170" fontId="16" fillId="0" borderId="9" xfId="0" applyNumberFormat="1" applyFont="1" applyFill="1" applyBorder="1" applyAlignment="1" applyProtection="1">
      <alignment/>
      <protection/>
    </xf>
    <xf numFmtId="170" fontId="16" fillId="0" borderId="14" xfId="0" applyNumberFormat="1" applyFont="1" applyFill="1" applyBorder="1" applyAlignment="1" applyProtection="1">
      <alignment/>
      <protection/>
    </xf>
    <xf numFmtId="170" fontId="16" fillId="0" borderId="11" xfId="0" applyNumberFormat="1" applyFont="1" applyFill="1" applyBorder="1" applyAlignment="1" applyProtection="1">
      <alignment/>
      <protection/>
    </xf>
    <xf numFmtId="170" fontId="16" fillId="0" borderId="0" xfId="0" applyNumberFormat="1" applyFont="1" applyFill="1" applyBorder="1" applyAlignment="1" applyProtection="1">
      <alignment/>
      <protection/>
    </xf>
    <xf numFmtId="0" fontId="13" fillId="0" borderId="12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170" fontId="17" fillId="5" borderId="0" xfId="0" applyNumberFormat="1" applyFont="1" applyFill="1" applyBorder="1" applyAlignment="1" applyProtection="1">
      <alignment/>
      <protection/>
    </xf>
    <xf numFmtId="0" fontId="16" fillId="5" borderId="0" xfId="0" applyFont="1" applyFill="1" applyBorder="1" applyAlignment="1" applyProtection="1">
      <alignment/>
      <protection/>
    </xf>
    <xf numFmtId="170" fontId="16" fillId="5" borderId="15" xfId="0" applyNumberFormat="1" applyFont="1" applyFill="1" applyBorder="1" applyAlignment="1" applyProtection="1">
      <alignment/>
      <protection/>
    </xf>
    <xf numFmtId="170" fontId="16" fillId="5" borderId="2" xfId="0" applyNumberFormat="1" applyFont="1" applyFill="1" applyBorder="1" applyAlignment="1" applyProtection="1">
      <alignment/>
      <protection/>
    </xf>
    <xf numFmtId="170" fontId="10" fillId="0" borderId="1" xfId="0" applyNumberFormat="1" applyFont="1" applyBorder="1" applyAlignment="1">
      <alignment/>
    </xf>
    <xf numFmtId="170" fontId="16" fillId="5" borderId="0" xfId="0" applyNumberFormat="1" applyFont="1" applyFill="1" applyBorder="1" applyAlignment="1" applyProtection="1">
      <alignment horizontal="center"/>
      <protection/>
    </xf>
    <xf numFmtId="170" fontId="16" fillId="5" borderId="16" xfId="0" applyNumberFormat="1" applyFont="1" applyFill="1" applyBorder="1" applyAlignment="1" applyProtection="1">
      <alignment/>
      <protection/>
    </xf>
    <xf numFmtId="0" fontId="16" fillId="5" borderId="16" xfId="0" applyFont="1" applyFill="1" applyBorder="1" applyAlignment="1" applyProtection="1">
      <alignment/>
      <protection/>
    </xf>
    <xf numFmtId="170" fontId="16" fillId="5" borderId="17" xfId="0" applyNumberFormat="1" applyFont="1" applyFill="1" applyBorder="1" applyAlignment="1" applyProtection="1">
      <alignment/>
      <protection/>
    </xf>
    <xf numFmtId="170" fontId="16" fillId="5" borderId="1" xfId="0" applyNumberFormat="1" applyFont="1" applyFill="1" applyBorder="1" applyAlignment="1" applyProtection="1">
      <alignment/>
      <protection/>
    </xf>
    <xf numFmtId="170" fontId="16" fillId="5" borderId="1" xfId="0" applyNumberFormat="1" applyFont="1" applyFill="1" applyBorder="1" applyAlignment="1" applyProtection="1">
      <alignment/>
      <protection/>
    </xf>
    <xf numFmtId="170" fontId="16" fillId="5" borderId="5" xfId="0" applyNumberFormat="1" applyFont="1" applyFill="1" applyBorder="1" applyAlignment="1" applyProtection="1">
      <alignment/>
      <protection/>
    </xf>
    <xf numFmtId="170" fontId="13" fillId="0" borderId="5" xfId="0" applyNumberFormat="1" applyFont="1" applyBorder="1" applyAlignment="1">
      <alignment/>
    </xf>
    <xf numFmtId="3" fontId="13" fillId="2" borderId="1" xfId="0" applyNumberFormat="1" applyFont="1" applyFill="1" applyBorder="1" applyAlignment="1">
      <alignment/>
    </xf>
    <xf numFmtId="170" fontId="16" fillId="5" borderId="18" xfId="0" applyNumberFormat="1" applyFont="1" applyFill="1" applyBorder="1" applyAlignment="1" applyProtection="1">
      <alignment/>
      <protection/>
    </xf>
    <xf numFmtId="170" fontId="16" fillId="5" borderId="18" xfId="0" applyNumberFormat="1" applyFont="1" applyFill="1" applyBorder="1" applyAlignment="1" applyProtection="1">
      <alignment/>
      <protection/>
    </xf>
    <xf numFmtId="170" fontId="16" fillId="5" borderId="19" xfId="0" applyNumberFormat="1" applyFont="1" applyFill="1" applyBorder="1" applyAlignment="1" applyProtection="1">
      <alignment/>
      <protection/>
    </xf>
    <xf numFmtId="0" fontId="13" fillId="0" borderId="16" xfId="0" applyFont="1" applyBorder="1" applyAlignment="1">
      <alignment/>
    </xf>
    <xf numFmtId="170" fontId="16" fillId="5" borderId="20" xfId="0" applyNumberFormat="1" applyFont="1" applyFill="1" applyBorder="1" applyAlignment="1" applyProtection="1">
      <alignment/>
      <protection/>
    </xf>
    <xf numFmtId="0" fontId="13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 horizontal="right"/>
    </xf>
    <xf numFmtId="170" fontId="16" fillId="0" borderId="1" xfId="0" applyNumberFormat="1" applyFont="1" applyFill="1" applyBorder="1" applyAlignment="1" applyProtection="1">
      <alignment/>
      <protection/>
    </xf>
    <xf numFmtId="170" fontId="17" fillId="5" borderId="16" xfId="0" applyNumberFormat="1" applyFont="1" applyFill="1" applyBorder="1" applyAlignment="1" applyProtection="1">
      <alignment/>
      <protection/>
    </xf>
    <xf numFmtId="170" fontId="16" fillId="5" borderId="21" xfId="0" applyNumberFormat="1" applyFont="1" applyFill="1" applyBorder="1" applyAlignment="1" applyProtection="1">
      <alignment/>
      <protection/>
    </xf>
    <xf numFmtId="170" fontId="16" fillId="5" borderId="21" xfId="0" applyNumberFormat="1" applyFont="1" applyFill="1" applyBorder="1" applyAlignment="1" applyProtection="1">
      <alignment/>
      <protection/>
    </xf>
    <xf numFmtId="170" fontId="16" fillId="5" borderId="22" xfId="0" applyNumberFormat="1" applyFont="1" applyFill="1" applyBorder="1" applyAlignment="1" applyProtection="1">
      <alignment/>
      <protection/>
    </xf>
    <xf numFmtId="170" fontId="16" fillId="5" borderId="23" xfId="0" applyNumberFormat="1" applyFont="1" applyFill="1" applyBorder="1" applyAlignment="1" applyProtection="1">
      <alignment/>
      <protection/>
    </xf>
    <xf numFmtId="170" fontId="16" fillId="5" borderId="24" xfId="0" applyNumberFormat="1" applyFont="1" applyFill="1" applyBorder="1" applyAlignment="1" applyProtection="1">
      <alignment/>
      <protection/>
    </xf>
    <xf numFmtId="170" fontId="10" fillId="0" borderId="5" xfId="0" applyNumberFormat="1" applyFont="1" applyBorder="1" applyAlignment="1">
      <alignment/>
    </xf>
    <xf numFmtId="170" fontId="16" fillId="5" borderId="22" xfId="0" applyNumberFormat="1" applyFont="1" applyFill="1" applyBorder="1" applyAlignment="1" applyProtection="1">
      <alignment/>
      <protection/>
    </xf>
    <xf numFmtId="170" fontId="16" fillId="5" borderId="25" xfId="0" applyNumberFormat="1" applyFont="1" applyFill="1" applyBorder="1" applyAlignment="1" applyProtection="1">
      <alignment/>
      <protection/>
    </xf>
    <xf numFmtId="170" fontId="13" fillId="0" borderId="1" xfId="0" applyNumberFormat="1" applyFont="1" applyBorder="1" applyAlignment="1">
      <alignment/>
    </xf>
    <xf numFmtId="170" fontId="18" fillId="5" borderId="0" xfId="0" applyNumberFormat="1" applyFont="1" applyFill="1" applyBorder="1" applyAlignment="1" applyProtection="1">
      <alignment horizontal="center"/>
      <protection/>
    </xf>
    <xf numFmtId="170" fontId="18" fillId="5" borderId="0" xfId="0" applyNumberFormat="1" applyFont="1" applyFill="1" applyAlignment="1" applyProtection="1">
      <alignment/>
      <protection/>
    </xf>
    <xf numFmtId="0" fontId="16" fillId="5" borderId="0" xfId="0" applyFont="1" applyFill="1" applyAlignment="1" applyProtection="1">
      <alignment/>
      <protection/>
    </xf>
    <xf numFmtId="170" fontId="16" fillId="5" borderId="0" xfId="0" applyNumberFormat="1" applyFont="1" applyFill="1" applyAlignment="1" applyProtection="1">
      <alignment/>
      <protection/>
    </xf>
    <xf numFmtId="170" fontId="10" fillId="0" borderId="10" xfId="0" applyNumberFormat="1" applyFont="1" applyBorder="1" applyAlignment="1">
      <alignment/>
    </xf>
    <xf numFmtId="41" fontId="13" fillId="0" borderId="25" xfId="16" applyFont="1" applyBorder="1" applyAlignment="1">
      <alignment horizontal="right"/>
    </xf>
    <xf numFmtId="0" fontId="13" fillId="0" borderId="24" xfId="0" applyFont="1" applyBorder="1" applyAlignment="1">
      <alignment/>
    </xf>
    <xf numFmtId="170" fontId="16" fillId="5" borderId="14" xfId="0" applyNumberFormat="1" applyFont="1" applyFill="1" applyBorder="1" applyAlignment="1" applyProtection="1">
      <alignment/>
      <protection/>
    </xf>
    <xf numFmtId="170" fontId="16" fillId="5" borderId="14" xfId="0" applyNumberFormat="1" applyFont="1" applyFill="1" applyBorder="1" applyAlignment="1" applyProtection="1">
      <alignment/>
      <protection/>
    </xf>
    <xf numFmtId="170" fontId="16" fillId="5" borderId="16" xfId="0" applyNumberFormat="1" applyFont="1" applyFill="1" applyBorder="1" applyAlignment="1" applyProtection="1">
      <alignment/>
      <protection/>
    </xf>
    <xf numFmtId="170" fontId="13" fillId="0" borderId="12" xfId="0" applyNumberFormat="1" applyFont="1" applyBorder="1" applyAlignment="1">
      <alignment/>
    </xf>
    <xf numFmtId="170" fontId="16" fillId="5" borderId="24" xfId="0" applyNumberFormat="1" applyFont="1" applyFill="1" applyBorder="1" applyAlignment="1" applyProtection="1">
      <alignment horizontal="center"/>
      <protection/>
    </xf>
    <xf numFmtId="170" fontId="16" fillId="5" borderId="0" xfId="0" applyNumberFormat="1" applyFont="1" applyFill="1" applyBorder="1" applyAlignment="1" applyProtection="1">
      <alignment/>
      <protection/>
    </xf>
    <xf numFmtId="41" fontId="13" fillId="0" borderId="19" xfId="16" applyFont="1" applyBorder="1" applyAlignment="1">
      <alignment horizontal="right"/>
    </xf>
    <xf numFmtId="170" fontId="16" fillId="5" borderId="13" xfId="0" applyNumberFormat="1" applyFont="1" applyFill="1" applyBorder="1" applyAlignment="1" applyProtection="1">
      <alignment/>
      <protection/>
    </xf>
    <xf numFmtId="170" fontId="16" fillId="5" borderId="12" xfId="0" applyNumberFormat="1" applyFont="1" applyFill="1" applyBorder="1" applyAlignment="1" applyProtection="1">
      <alignment/>
      <protection/>
    </xf>
    <xf numFmtId="170" fontId="10" fillId="0" borderId="1" xfId="0" applyNumberFormat="1" applyFont="1" applyFill="1" applyBorder="1" applyAlignment="1">
      <alignment/>
    </xf>
    <xf numFmtId="170" fontId="13" fillId="0" borderId="24" xfId="0" applyNumberFormat="1" applyFont="1" applyBorder="1" applyAlignment="1">
      <alignment/>
    </xf>
    <xf numFmtId="0" fontId="10" fillId="0" borderId="16" xfId="0" applyFont="1" applyBorder="1" applyAlignment="1">
      <alignment/>
    </xf>
    <xf numFmtId="170" fontId="14" fillId="6" borderId="10" xfId="0" applyNumberFormat="1" applyFont="1" applyFill="1" applyBorder="1" applyAlignment="1" applyProtection="1">
      <alignment/>
      <protection/>
    </xf>
    <xf numFmtId="170" fontId="14" fillId="6" borderId="10" xfId="0" applyNumberFormat="1" applyFont="1" applyFill="1" applyBorder="1" applyAlignment="1" applyProtection="1">
      <alignment/>
      <protection/>
    </xf>
    <xf numFmtId="170" fontId="10" fillId="7" borderId="2" xfId="0" applyNumberFormat="1" applyFont="1" applyFill="1" applyBorder="1" applyAlignment="1">
      <alignment/>
    </xf>
    <xf numFmtId="170" fontId="16" fillId="0" borderId="13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0" fontId="14" fillId="0" borderId="0" xfId="0" applyNumberFormat="1" applyFont="1" applyFill="1" applyBorder="1" applyAlignment="1" applyProtection="1">
      <alignment/>
      <protection/>
    </xf>
    <xf numFmtId="170" fontId="14" fillId="0" borderId="0" xfId="0" applyNumberFormat="1" applyFont="1" applyFill="1" applyBorder="1" applyAlignment="1" applyProtection="1">
      <alignment/>
      <protection/>
    </xf>
    <xf numFmtId="170" fontId="13" fillId="0" borderId="0" xfId="0" applyNumberFormat="1" applyFont="1" applyFill="1" applyBorder="1" applyAlignment="1">
      <alignment/>
    </xf>
    <xf numFmtId="170" fontId="14" fillId="4" borderId="24" xfId="0" applyNumberFormat="1" applyFont="1" applyFill="1" applyBorder="1" applyAlignment="1" applyProtection="1">
      <alignment vertical="center"/>
      <protection/>
    </xf>
    <xf numFmtId="0" fontId="16" fillId="4" borderId="24" xfId="0" applyFont="1" applyFill="1" applyBorder="1" applyAlignment="1" applyProtection="1">
      <alignment vertical="center"/>
      <protection/>
    </xf>
    <xf numFmtId="170" fontId="16" fillId="4" borderId="24" xfId="0" applyNumberFormat="1" applyFont="1" applyFill="1" applyBorder="1" applyAlignment="1" applyProtection="1">
      <alignment vertical="center"/>
      <protection/>
    </xf>
    <xf numFmtId="170" fontId="16" fillId="0" borderId="14" xfId="0" applyNumberFormat="1" applyFont="1" applyFill="1" applyBorder="1" applyAlignment="1" applyProtection="1">
      <alignment/>
      <protection/>
    </xf>
    <xf numFmtId="170" fontId="16" fillId="0" borderId="19" xfId="0" applyNumberFormat="1" applyFont="1" applyFill="1" applyBorder="1" applyAlignment="1" applyProtection="1">
      <alignment/>
      <protection/>
    </xf>
    <xf numFmtId="170" fontId="16" fillId="0" borderId="10" xfId="0" applyNumberFormat="1" applyFont="1" applyFill="1" applyBorder="1" applyAlignment="1" applyProtection="1">
      <alignment/>
      <protection/>
    </xf>
    <xf numFmtId="3" fontId="15" fillId="0" borderId="1" xfId="0" applyNumberFormat="1" applyFont="1" applyBorder="1" applyAlignment="1">
      <alignment/>
    </xf>
    <xf numFmtId="170" fontId="16" fillId="0" borderId="4" xfId="0" applyNumberFormat="1" applyFont="1" applyFill="1" applyBorder="1" applyAlignment="1" applyProtection="1">
      <alignment/>
      <protection/>
    </xf>
    <xf numFmtId="3" fontId="15" fillId="0" borderId="1" xfId="0" applyNumberFormat="1" applyFont="1" applyFill="1" applyBorder="1" applyAlignment="1">
      <alignment/>
    </xf>
    <xf numFmtId="170" fontId="16" fillId="5" borderId="26" xfId="0" applyNumberFormat="1" applyFont="1" applyFill="1" applyBorder="1" applyAlignment="1" applyProtection="1">
      <alignment/>
      <protection/>
    </xf>
    <xf numFmtId="3" fontId="10" fillId="0" borderId="1" xfId="0" applyNumberFormat="1" applyFont="1" applyBorder="1" applyAlignment="1">
      <alignment/>
    </xf>
    <xf numFmtId="170" fontId="16" fillId="0" borderId="2" xfId="0" applyNumberFormat="1" applyFont="1" applyFill="1" applyBorder="1" applyAlignment="1" applyProtection="1">
      <alignment/>
      <protection/>
    </xf>
    <xf numFmtId="170" fontId="16" fillId="0" borderId="2" xfId="0" applyNumberFormat="1" applyFont="1" applyFill="1" applyBorder="1" applyAlignment="1" applyProtection="1">
      <alignment/>
      <protection/>
    </xf>
    <xf numFmtId="170" fontId="16" fillId="5" borderId="27" xfId="0" applyNumberFormat="1" applyFont="1" applyFill="1" applyBorder="1" applyAlignment="1" applyProtection="1">
      <alignment/>
      <protection/>
    </xf>
    <xf numFmtId="170" fontId="16" fillId="5" borderId="3" xfId="0" applyNumberFormat="1" applyFont="1" applyFill="1" applyBorder="1" applyAlignment="1" applyProtection="1">
      <alignment/>
      <protection/>
    </xf>
    <xf numFmtId="0" fontId="13" fillId="0" borderId="1" xfId="0" applyFont="1" applyBorder="1" applyAlignment="1">
      <alignment/>
    </xf>
    <xf numFmtId="170" fontId="16" fillId="5" borderId="28" xfId="0" applyNumberFormat="1" applyFont="1" applyFill="1" applyBorder="1" applyAlignment="1" applyProtection="1">
      <alignment/>
      <protection/>
    </xf>
    <xf numFmtId="0" fontId="13" fillId="0" borderId="16" xfId="0" applyFont="1" applyBorder="1" applyAlignment="1">
      <alignment/>
    </xf>
    <xf numFmtId="170" fontId="16" fillId="0" borderId="22" xfId="0" applyNumberFormat="1" applyFont="1" applyFill="1" applyBorder="1" applyAlignment="1" applyProtection="1">
      <alignment/>
      <protection/>
    </xf>
    <xf numFmtId="0" fontId="18" fillId="5" borderId="16" xfId="0" applyFont="1" applyFill="1" applyBorder="1" applyAlignment="1" applyProtection="1">
      <alignment/>
      <protection/>
    </xf>
    <xf numFmtId="0" fontId="19" fillId="0" borderId="16" xfId="0" applyFont="1" applyBorder="1" applyAlignment="1">
      <alignment/>
    </xf>
    <xf numFmtId="170" fontId="18" fillId="5" borderId="16" xfId="0" applyNumberFormat="1" applyFont="1" applyFill="1" applyBorder="1" applyAlignment="1" applyProtection="1">
      <alignment/>
      <protection/>
    </xf>
    <xf numFmtId="170" fontId="16" fillId="0" borderId="22" xfId="0" applyNumberFormat="1" applyFont="1" applyFill="1" applyBorder="1" applyAlignment="1" applyProtection="1">
      <alignment/>
      <protection/>
    </xf>
    <xf numFmtId="170" fontId="14" fillId="0" borderId="21" xfId="0" applyNumberFormat="1" applyFont="1" applyFill="1" applyBorder="1" applyAlignment="1" applyProtection="1">
      <alignment/>
      <protection/>
    </xf>
    <xf numFmtId="41" fontId="13" fillId="0" borderId="24" xfId="16" applyFont="1" applyBorder="1" applyAlignment="1">
      <alignment/>
    </xf>
    <xf numFmtId="170" fontId="16" fillId="5" borderId="29" xfId="0" applyNumberFormat="1" applyFont="1" applyFill="1" applyBorder="1" applyAlignment="1" applyProtection="1">
      <alignment/>
      <protection/>
    </xf>
    <xf numFmtId="171" fontId="16" fillId="5" borderId="16" xfId="0" applyNumberFormat="1" applyFont="1" applyFill="1" applyBorder="1" applyAlignment="1" applyProtection="1">
      <alignment/>
      <protection/>
    </xf>
    <xf numFmtId="41" fontId="13" fillId="0" borderId="25" xfId="16" applyFont="1" applyFill="1" applyBorder="1" applyAlignment="1">
      <alignment/>
    </xf>
    <xf numFmtId="41" fontId="13" fillId="0" borderId="25" xfId="16" applyFont="1" applyFill="1" applyBorder="1" applyAlignment="1">
      <alignment/>
    </xf>
    <xf numFmtId="41" fontId="13" fillId="0" borderId="2" xfId="16" applyFont="1" applyFill="1" applyBorder="1" applyAlignment="1">
      <alignment/>
    </xf>
    <xf numFmtId="170" fontId="16" fillId="0" borderId="28" xfId="0" applyNumberFormat="1" applyFont="1" applyFill="1" applyBorder="1" applyAlignment="1" applyProtection="1">
      <alignment/>
      <protection/>
    </xf>
    <xf numFmtId="0" fontId="16" fillId="5" borderId="18" xfId="0" applyFont="1" applyFill="1" applyBorder="1" applyAlignment="1" applyProtection="1">
      <alignment/>
      <protection/>
    </xf>
    <xf numFmtId="0" fontId="13" fillId="0" borderId="0" xfId="0" applyFont="1" applyBorder="1" applyAlignment="1">
      <alignment/>
    </xf>
    <xf numFmtId="170" fontId="18" fillId="5" borderId="0" xfId="0" applyNumberFormat="1" applyFont="1" applyFill="1" applyBorder="1" applyAlignment="1" applyProtection="1">
      <alignment/>
      <protection/>
    </xf>
    <xf numFmtId="0" fontId="16" fillId="5" borderId="1" xfId="0" applyFont="1" applyFill="1" applyBorder="1" applyAlignment="1" applyProtection="1">
      <alignment/>
      <protection/>
    </xf>
    <xf numFmtId="0" fontId="18" fillId="5" borderId="18" xfId="0" applyFont="1" applyFill="1" applyBorder="1" applyAlignment="1" applyProtection="1">
      <alignment/>
      <protection/>
    </xf>
    <xf numFmtId="0" fontId="19" fillId="0" borderId="1" xfId="0" applyFont="1" applyBorder="1" applyAlignment="1">
      <alignment/>
    </xf>
    <xf numFmtId="170" fontId="20" fillId="5" borderId="1" xfId="0" applyNumberFormat="1" applyFont="1" applyFill="1" applyBorder="1" applyAlignment="1" applyProtection="1">
      <alignment/>
      <protection/>
    </xf>
    <xf numFmtId="170" fontId="13" fillId="0" borderId="1" xfId="0" applyNumberFormat="1" applyFont="1" applyBorder="1" applyAlignment="1">
      <alignment/>
    </xf>
    <xf numFmtId="170" fontId="16" fillId="5" borderId="4" xfId="0" applyNumberFormat="1" applyFont="1" applyFill="1" applyBorder="1" applyAlignment="1" applyProtection="1">
      <alignment/>
      <protection/>
    </xf>
    <xf numFmtId="0" fontId="17" fillId="5" borderId="16" xfId="0" applyFont="1" applyFill="1" applyBorder="1" applyAlignment="1" applyProtection="1">
      <alignment/>
      <protection/>
    </xf>
    <xf numFmtId="0" fontId="21" fillId="0" borderId="16" xfId="0" applyFont="1" applyBorder="1" applyAlignment="1">
      <alignment/>
    </xf>
    <xf numFmtId="0" fontId="17" fillId="5" borderId="18" xfId="0" applyFont="1" applyFill="1" applyBorder="1" applyAlignment="1" applyProtection="1">
      <alignment/>
      <protection/>
    </xf>
    <xf numFmtId="0" fontId="21" fillId="0" borderId="1" xfId="0" applyFont="1" applyBorder="1" applyAlignment="1">
      <alignment/>
    </xf>
    <xf numFmtId="170" fontId="17" fillId="5" borderId="1" xfId="0" applyNumberFormat="1" applyFont="1" applyFill="1" applyBorder="1" applyAlignment="1" applyProtection="1">
      <alignment/>
      <protection/>
    </xf>
    <xf numFmtId="170" fontId="16" fillId="5" borderId="10" xfId="0" applyNumberFormat="1" applyFont="1" applyFill="1" applyBorder="1" applyAlignment="1" applyProtection="1">
      <alignment/>
      <protection/>
    </xf>
    <xf numFmtId="3" fontId="13" fillId="0" borderId="10" xfId="0" applyNumberFormat="1" applyFont="1" applyBorder="1" applyAlignment="1">
      <alignment/>
    </xf>
    <xf numFmtId="170" fontId="16" fillId="5" borderId="24" xfId="0" applyNumberFormat="1" applyFont="1" applyFill="1" applyBorder="1" applyAlignment="1" applyProtection="1">
      <alignment/>
      <protection/>
    </xf>
    <xf numFmtId="3" fontId="13" fillId="0" borderId="24" xfId="0" applyNumberFormat="1" applyFont="1" applyBorder="1" applyAlignment="1">
      <alignment/>
    </xf>
    <xf numFmtId="170" fontId="14" fillId="6" borderId="14" xfId="0" applyNumberFormat="1" applyFont="1" applyFill="1" applyBorder="1" applyAlignment="1" applyProtection="1">
      <alignment/>
      <protection/>
    </xf>
    <xf numFmtId="170" fontId="14" fillId="6" borderId="14" xfId="0" applyNumberFormat="1" applyFont="1" applyFill="1" applyBorder="1" applyAlignment="1" applyProtection="1">
      <alignment/>
      <protection/>
    </xf>
    <xf numFmtId="170" fontId="10" fillId="7" borderId="14" xfId="0" applyNumberFormat="1" applyFont="1" applyFill="1" applyBorder="1" applyAlignment="1">
      <alignment/>
    </xf>
    <xf numFmtId="170" fontId="18" fillId="5" borderId="24" xfId="0" applyNumberFormat="1" applyFont="1" applyFill="1" applyBorder="1" applyAlignment="1" applyProtection="1">
      <alignment/>
      <protection/>
    </xf>
    <xf numFmtId="170" fontId="16" fillId="4" borderId="16" xfId="0" applyNumberFormat="1" applyFont="1" applyFill="1" applyBorder="1" applyAlignment="1" applyProtection="1">
      <alignment vertical="center"/>
      <protection/>
    </xf>
    <xf numFmtId="3" fontId="10" fillId="0" borderId="2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70" fontId="17" fillId="0" borderId="13" xfId="0" applyNumberFormat="1" applyFont="1" applyFill="1" applyBorder="1" applyAlignment="1" applyProtection="1">
      <alignment/>
      <protection/>
    </xf>
    <xf numFmtId="0" fontId="21" fillId="0" borderId="24" xfId="0" applyFont="1" applyFill="1" applyBorder="1" applyAlignment="1">
      <alignment/>
    </xf>
    <xf numFmtId="170" fontId="17" fillId="0" borderId="24" xfId="0" applyNumberFormat="1" applyFont="1" applyFill="1" applyBorder="1" applyAlignment="1" applyProtection="1">
      <alignment/>
      <protection/>
    </xf>
    <xf numFmtId="170" fontId="17" fillId="0" borderId="0" xfId="0" applyNumberFormat="1" applyFont="1" applyFill="1" applyBorder="1" applyAlignment="1" applyProtection="1">
      <alignment/>
      <protection/>
    </xf>
    <xf numFmtId="3" fontId="13" fillId="0" borderId="1" xfId="0" applyNumberFormat="1" applyFont="1" applyFill="1" applyBorder="1" applyAlignment="1">
      <alignment/>
    </xf>
    <xf numFmtId="170" fontId="17" fillId="0" borderId="16" xfId="0" applyNumberFormat="1" applyFont="1" applyFill="1" applyBorder="1" applyAlignment="1" applyProtection="1">
      <alignment/>
      <protection/>
    </xf>
    <xf numFmtId="170" fontId="16" fillId="0" borderId="24" xfId="0" applyNumberFormat="1" applyFont="1" applyFill="1" applyBorder="1" applyAlignment="1" applyProtection="1">
      <alignment/>
      <protection/>
    </xf>
    <xf numFmtId="170" fontId="14" fillId="4" borderId="13" xfId="0" applyNumberFormat="1" applyFont="1" applyFill="1" applyBorder="1" applyAlignment="1" applyProtection="1">
      <alignment vertical="center"/>
      <protection/>
    </xf>
    <xf numFmtId="0" fontId="16" fillId="4" borderId="13" xfId="0" applyFont="1" applyFill="1" applyBorder="1" applyAlignment="1" applyProtection="1">
      <alignment vertical="center"/>
      <protection/>
    </xf>
    <xf numFmtId="170" fontId="16" fillId="4" borderId="13" xfId="0" applyNumberFormat="1" applyFont="1" applyFill="1" applyBorder="1" applyAlignment="1" applyProtection="1">
      <alignment vertical="center"/>
      <protection/>
    </xf>
    <xf numFmtId="0" fontId="10" fillId="0" borderId="24" xfId="0" applyFont="1" applyFill="1" applyBorder="1" applyAlignment="1">
      <alignment/>
    </xf>
    <xf numFmtId="170" fontId="14" fillId="0" borderId="24" xfId="0" applyNumberFormat="1" applyFont="1" applyFill="1" applyBorder="1" applyAlignment="1" applyProtection="1">
      <alignment/>
      <protection/>
    </xf>
    <xf numFmtId="170" fontId="14" fillId="5" borderId="0" xfId="0" applyNumberFormat="1" applyFont="1" applyFill="1" applyBorder="1" applyAlignment="1" applyProtection="1">
      <alignment/>
      <protection/>
    </xf>
    <xf numFmtId="170" fontId="16" fillId="5" borderId="30" xfId="0" applyNumberFormat="1" applyFont="1" applyFill="1" applyBorder="1" applyAlignment="1" applyProtection="1">
      <alignment/>
      <protection/>
    </xf>
    <xf numFmtId="170" fontId="14" fillId="5" borderId="24" xfId="0" applyNumberFormat="1" applyFont="1" applyFill="1" applyBorder="1" applyAlignment="1" applyProtection="1">
      <alignment/>
      <protection/>
    </xf>
    <xf numFmtId="170" fontId="16" fillId="4" borderId="28" xfId="0" applyNumberFormat="1" applyFont="1" applyFill="1" applyBorder="1" applyAlignment="1" applyProtection="1">
      <alignment vertical="center"/>
      <protection/>
    </xf>
    <xf numFmtId="0" fontId="15" fillId="0" borderId="24" xfId="0" applyFont="1" applyBorder="1" applyAlignment="1">
      <alignment/>
    </xf>
    <xf numFmtId="0" fontId="15" fillId="0" borderId="0" xfId="0" applyFont="1" applyAlignment="1">
      <alignment/>
    </xf>
    <xf numFmtId="170" fontId="16" fillId="4" borderId="18" xfId="0" applyNumberFormat="1" applyFont="1" applyFill="1" applyBorder="1" applyAlignment="1" applyProtection="1">
      <alignment vertical="center"/>
      <protection/>
    </xf>
    <xf numFmtId="170" fontId="10" fillId="7" borderId="1" xfId="0" applyNumberFormat="1" applyFont="1" applyFill="1" applyBorder="1" applyAlignment="1">
      <alignment vertical="center"/>
    </xf>
    <xf numFmtId="0" fontId="0" fillId="0" borderId="13" xfId="0" applyBorder="1" applyAlignment="1">
      <alignment/>
    </xf>
    <xf numFmtId="170" fontId="10" fillId="0" borderId="12" xfId="0" applyNumberFormat="1" applyFont="1" applyBorder="1" applyAlignment="1">
      <alignment/>
    </xf>
    <xf numFmtId="4" fontId="13" fillId="0" borderId="1" xfId="0" applyNumberFormat="1" applyFont="1" applyFill="1" applyBorder="1" applyAlignment="1">
      <alignment/>
    </xf>
    <xf numFmtId="4" fontId="22" fillId="0" borderId="1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justify" wrapText="1"/>
    </xf>
    <xf numFmtId="0" fontId="16" fillId="0" borderId="16" xfId="0" applyFont="1" applyFill="1" applyBorder="1" applyAlignment="1" applyProtection="1">
      <alignment/>
      <protection/>
    </xf>
    <xf numFmtId="0" fontId="13" fillId="0" borderId="16" xfId="0" applyFont="1" applyFill="1" applyBorder="1" applyAlignment="1">
      <alignment/>
    </xf>
    <xf numFmtId="170" fontId="16" fillId="0" borderId="16" xfId="0" applyNumberFormat="1" applyFont="1" applyFill="1" applyBorder="1" applyAlignment="1" applyProtection="1">
      <alignment/>
      <protection/>
    </xf>
    <xf numFmtId="170" fontId="16" fillId="0" borderId="5" xfId="0" applyNumberFormat="1" applyFont="1" applyFill="1" applyBorder="1" applyAlignment="1" applyProtection="1">
      <alignment/>
      <protection/>
    </xf>
    <xf numFmtId="170" fontId="16" fillId="0" borderId="0" xfId="0" applyNumberFormat="1" applyFont="1" applyFill="1" applyBorder="1" applyAlignment="1" applyProtection="1">
      <alignment horizontal="center"/>
      <protection/>
    </xf>
    <xf numFmtId="41" fontId="13" fillId="0" borderId="25" xfId="16" applyFont="1" applyFill="1" applyBorder="1" applyAlignment="1">
      <alignment horizontal="right"/>
    </xf>
    <xf numFmtId="170" fontId="16" fillId="0" borderId="21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70" fontId="16" fillId="0" borderId="0" xfId="0" applyNumberFormat="1" applyFont="1" applyFill="1" applyBorder="1" applyAlignment="1" applyProtection="1">
      <alignment/>
      <protection/>
    </xf>
    <xf numFmtId="170" fontId="16" fillId="0" borderId="4" xfId="0" applyNumberFormat="1" applyFont="1" applyFill="1" applyBorder="1" applyAlignment="1" applyProtection="1">
      <alignment/>
      <protection/>
    </xf>
    <xf numFmtId="170" fontId="18" fillId="0" borderId="0" xfId="0" applyNumberFormat="1" applyFont="1" applyFill="1" applyBorder="1" applyAlignment="1" applyProtection="1">
      <alignment horizontal="center"/>
      <protection/>
    </xf>
    <xf numFmtId="170" fontId="18" fillId="0" borderId="0" xfId="0" applyNumberFormat="1" applyFont="1" applyFill="1" applyBorder="1" applyAlignment="1" applyProtection="1">
      <alignment/>
      <protection/>
    </xf>
    <xf numFmtId="0" fontId="16" fillId="0" borderId="18" xfId="0" applyFont="1" applyFill="1" applyBorder="1" applyAlignment="1" applyProtection="1">
      <alignment/>
      <protection/>
    </xf>
    <xf numFmtId="170" fontId="16" fillId="0" borderId="17" xfId="0" applyNumberFormat="1" applyFont="1" applyFill="1" applyBorder="1" applyAlignment="1" applyProtection="1">
      <alignment/>
      <protection/>
    </xf>
    <xf numFmtId="0" fontId="13" fillId="0" borderId="24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4" fontId="23" fillId="0" borderId="1" xfId="0" applyNumberFormat="1" applyFont="1" applyFill="1" applyBorder="1" applyAlignment="1" applyProtection="1">
      <alignment/>
      <protection/>
    </xf>
    <xf numFmtId="4" fontId="13" fillId="0" borderId="1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 locked="0"/>
    </xf>
    <xf numFmtId="170" fontId="14" fillId="6" borderId="0" xfId="0" applyNumberFormat="1" applyFont="1" applyFill="1" applyBorder="1" applyAlignment="1" applyProtection="1">
      <alignment/>
      <protection/>
    </xf>
    <xf numFmtId="170" fontId="14" fillId="6" borderId="0" xfId="0" applyNumberFormat="1" applyFont="1" applyFill="1" applyBorder="1" applyAlignment="1" applyProtection="1">
      <alignment/>
      <protection/>
    </xf>
    <xf numFmtId="4" fontId="22" fillId="0" borderId="24" xfId="0" applyNumberFormat="1" applyFont="1" applyFill="1" applyBorder="1" applyAlignment="1">
      <alignment/>
    </xf>
    <xf numFmtId="170" fontId="10" fillId="7" borderId="0" xfId="0" applyNumberFormat="1" applyFont="1" applyFill="1" applyBorder="1" applyAlignment="1">
      <alignment/>
    </xf>
    <xf numFmtId="4" fontId="13" fillId="0" borderId="1" xfId="0" applyNumberFormat="1" applyFont="1" applyBorder="1" applyAlignment="1" applyProtection="1">
      <alignment/>
      <protection locked="0"/>
    </xf>
    <xf numFmtId="4" fontId="22" fillId="0" borderId="18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170" fontId="14" fillId="0" borderId="24" xfId="0" applyNumberFormat="1" applyFont="1" applyFill="1" applyBorder="1" applyAlignment="1" applyProtection="1">
      <alignment horizontal="center" vertical="center"/>
      <protection/>
    </xf>
    <xf numFmtId="4" fontId="23" fillId="0" borderId="1" xfId="0" applyNumberFormat="1" applyFont="1" applyFill="1" applyBorder="1" applyAlignment="1">
      <alignment/>
    </xf>
    <xf numFmtId="4" fontId="25" fillId="0" borderId="1" xfId="0" applyNumberFormat="1" applyFont="1" applyFill="1" applyBorder="1" applyAlignment="1">
      <alignment/>
    </xf>
    <xf numFmtId="4" fontId="26" fillId="0" borderId="1" xfId="0" applyNumberFormat="1" applyFont="1" applyFill="1" applyBorder="1" applyAlignment="1">
      <alignment/>
    </xf>
    <xf numFmtId="170" fontId="14" fillId="0" borderId="17" xfId="0" applyNumberFormat="1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vertical="center"/>
      <protection/>
    </xf>
    <xf numFmtId="170" fontId="16" fillId="0" borderId="3" xfId="0" applyNumberFormat="1" applyFont="1" applyFill="1" applyBorder="1" applyAlignment="1" applyProtection="1">
      <alignment vertical="center"/>
      <protection/>
    </xf>
    <xf numFmtId="170" fontId="14" fillId="0" borderId="18" xfId="0" applyNumberFormat="1" applyFont="1" applyFill="1" applyBorder="1" applyAlignment="1" applyProtection="1">
      <alignment vertical="center"/>
      <protection/>
    </xf>
    <xf numFmtId="0" fontId="16" fillId="0" borderId="1" xfId="0" applyFont="1" applyFill="1" applyBorder="1" applyAlignment="1" applyProtection="1">
      <alignment vertical="center"/>
      <protection/>
    </xf>
    <xf numFmtId="170" fontId="16" fillId="0" borderId="5" xfId="0" applyNumberFormat="1" applyFont="1" applyFill="1" applyBorder="1" applyAlignment="1" applyProtection="1">
      <alignment vertical="center"/>
      <protection/>
    </xf>
    <xf numFmtId="4" fontId="13" fillId="0" borderId="1" xfId="0" applyNumberFormat="1" applyFont="1" applyFill="1" applyBorder="1" applyAlignment="1" applyProtection="1">
      <alignment/>
      <protection locked="0"/>
    </xf>
    <xf numFmtId="0" fontId="24" fillId="0" borderId="0" xfId="0" applyFont="1" applyFill="1" applyAlignment="1">
      <alignment/>
    </xf>
    <xf numFmtId="170" fontId="10" fillId="0" borderId="12" xfId="0" applyNumberFormat="1" applyFont="1" applyFill="1" applyBorder="1" applyAlignment="1">
      <alignment/>
    </xf>
    <xf numFmtId="170" fontId="10" fillId="0" borderId="10" xfId="0" applyNumberFormat="1" applyFont="1" applyFill="1" applyBorder="1" applyAlignment="1">
      <alignment/>
    </xf>
    <xf numFmtId="4" fontId="25" fillId="0" borderId="1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80"/>
  <sheetViews>
    <sheetView zoomScale="75" zoomScaleNormal="75" workbookViewId="0" topLeftCell="A112">
      <selection activeCell="U127" sqref="U127"/>
    </sheetView>
  </sheetViews>
  <sheetFormatPr defaultColWidth="9.140625" defaultRowHeight="12.75"/>
  <cols>
    <col min="1" max="1" width="6.7109375" style="1" customWidth="1"/>
    <col min="2" max="2" width="2.421875" style="1" customWidth="1"/>
    <col min="3" max="3" width="3.8515625" style="1" customWidth="1"/>
    <col min="4" max="4" width="53.7109375" style="1" customWidth="1"/>
    <col min="5" max="5" width="12.57421875" style="13" hidden="1" customWidth="1"/>
    <col min="6" max="6" width="12.57421875" style="1" hidden="1" customWidth="1"/>
    <col min="7" max="8" width="11.7109375" style="1" hidden="1" customWidth="1"/>
    <col min="9" max="10" width="12.57421875" style="1" hidden="1" customWidth="1"/>
    <col min="11" max="14" width="11.7109375" style="1" hidden="1" customWidth="1"/>
    <col min="15" max="15" width="13.7109375" style="1" hidden="1" customWidth="1"/>
    <col min="16" max="17" width="14.00390625" style="1" hidden="1" customWidth="1"/>
    <col min="18" max="18" width="13.8515625" style="1" hidden="1" customWidth="1"/>
    <col min="19" max="19" width="0.13671875" style="1" hidden="1" customWidth="1"/>
    <col min="20" max="21" width="24.7109375" style="0" customWidth="1"/>
    <col min="22" max="22" width="24.57421875" style="0" customWidth="1"/>
    <col min="23" max="25" width="24.7109375" style="9" hidden="1" customWidth="1"/>
  </cols>
  <sheetData>
    <row r="1" ht="27.75" customHeight="1"/>
    <row r="2" spans="1:22" ht="27.75" customHeight="1">
      <c r="A2" s="242" t="s">
        <v>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</row>
    <row r="3" spans="1:22" ht="27.75" customHeight="1">
      <c r="A3" s="242" t="s">
        <v>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</row>
    <row r="4" spans="1:22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8"/>
      <c r="T4" s="7"/>
      <c r="U4" s="7"/>
      <c r="V4" s="7"/>
    </row>
    <row r="5" spans="1:22" ht="27.75" customHeight="1">
      <c r="A5" s="243" t="s">
        <v>126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</row>
    <row r="6" spans="1:22" ht="27.7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18" ht="23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5" s="6" customFormat="1" ht="15.75" customHeight="1">
      <c r="A9" s="5"/>
      <c r="B9" s="5"/>
      <c r="C9" s="5"/>
      <c r="D9" s="5"/>
      <c r="E9" s="1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W9" s="10"/>
      <c r="X9" s="10"/>
      <c r="Y9" s="10"/>
    </row>
    <row r="10" spans="1:25" s="31" customFormat="1" ht="18.75" customHeight="1">
      <c r="A10" s="23"/>
      <c r="B10" s="23"/>
      <c r="C10" s="23"/>
      <c r="D10" s="23"/>
      <c r="E10" s="24" t="s">
        <v>2</v>
      </c>
      <c r="F10" s="25" t="s">
        <v>3</v>
      </c>
      <c r="G10" s="26"/>
      <c r="H10" s="25" t="s">
        <v>4</v>
      </c>
      <c r="I10" s="27"/>
      <c r="J10" s="28"/>
      <c r="K10" s="28"/>
      <c r="L10" s="28"/>
      <c r="M10" s="26" t="s">
        <v>5</v>
      </c>
      <c r="N10" s="29" t="s">
        <v>6</v>
      </c>
      <c r="O10" s="26"/>
      <c r="P10" s="26"/>
      <c r="Q10" s="26"/>
      <c r="R10" s="26"/>
      <c r="S10" s="26"/>
      <c r="T10" s="30">
        <v>2010</v>
      </c>
      <c r="U10" s="30">
        <f>T10+1</f>
        <v>2011</v>
      </c>
      <c r="V10" s="30">
        <f>U10+1</f>
        <v>2012</v>
      </c>
      <c r="W10" s="30">
        <v>2002</v>
      </c>
      <c r="X10" s="30">
        <v>2003</v>
      </c>
      <c r="Y10" s="30">
        <v>2004</v>
      </c>
    </row>
    <row r="11" spans="1:25" s="31" customFormat="1" ht="15.75" customHeight="1">
      <c r="A11" s="32" t="s">
        <v>7</v>
      </c>
      <c r="B11" s="33" t="s">
        <v>8</v>
      </c>
      <c r="C11" s="34"/>
      <c r="D11" s="35"/>
      <c r="E11" s="36"/>
      <c r="F11" s="37"/>
      <c r="G11" s="37"/>
      <c r="H11" s="38"/>
      <c r="I11" s="39"/>
      <c r="J11" s="40"/>
      <c r="K11" s="37"/>
      <c r="L11" s="37"/>
      <c r="M11" s="38"/>
      <c r="N11" s="39"/>
      <c r="O11" s="39"/>
      <c r="P11" s="41"/>
      <c r="Q11" s="41"/>
      <c r="R11" s="41"/>
      <c r="S11" s="41"/>
      <c r="T11" s="42"/>
      <c r="U11" s="42"/>
      <c r="V11" s="43"/>
      <c r="W11" s="42"/>
      <c r="X11" s="42"/>
      <c r="Y11" s="43"/>
    </row>
    <row r="12" spans="1:25" s="56" customFormat="1" ht="15.75" customHeight="1">
      <c r="A12" s="44"/>
      <c r="B12" s="45"/>
      <c r="C12" s="46"/>
      <c r="D12" s="47"/>
      <c r="E12" s="48"/>
      <c r="F12" s="49"/>
      <c r="G12" s="49"/>
      <c r="H12" s="50"/>
      <c r="I12" s="51"/>
      <c r="J12" s="52"/>
      <c r="K12" s="49"/>
      <c r="L12" s="49"/>
      <c r="M12" s="50"/>
      <c r="N12" s="51"/>
      <c r="O12" s="51"/>
      <c r="P12" s="53"/>
      <c r="Q12" s="53"/>
      <c r="R12" s="53"/>
      <c r="S12" s="53"/>
      <c r="T12" s="54"/>
      <c r="U12" s="54"/>
      <c r="V12" s="55"/>
      <c r="W12" s="54"/>
      <c r="X12" s="54"/>
      <c r="Y12" s="55"/>
    </row>
    <row r="13" spans="1:25" s="31" customFormat="1" ht="18" customHeight="1">
      <c r="A13" s="57" t="s">
        <v>9</v>
      </c>
      <c r="B13" s="57"/>
      <c r="C13" s="58"/>
      <c r="D13" s="41"/>
      <c r="E13" s="59"/>
      <c r="F13" s="37"/>
      <c r="G13" s="37"/>
      <c r="H13" s="38"/>
      <c r="I13" s="60"/>
      <c r="J13" s="40"/>
      <c r="K13" s="37"/>
      <c r="L13" s="37"/>
      <c r="M13" s="38"/>
      <c r="N13" s="60"/>
      <c r="O13" s="60"/>
      <c r="P13" s="41"/>
      <c r="Q13" s="41"/>
      <c r="R13" s="41"/>
      <c r="S13" s="41"/>
      <c r="T13" s="197">
        <f aca="true" t="shared" si="0" ref="T13:Y13">SUM(T14:T23)</f>
        <v>4459130.02</v>
      </c>
      <c r="U13" s="197">
        <f t="shared" si="0"/>
        <v>4594085.466899999</v>
      </c>
      <c r="V13" s="197">
        <f t="shared" si="0"/>
        <v>4725137.059072999</v>
      </c>
      <c r="W13" s="61">
        <f t="shared" si="0"/>
        <v>3961504157</v>
      </c>
      <c r="X13" s="61">
        <f t="shared" si="0"/>
        <v>4735633844.256</v>
      </c>
      <c r="Y13" s="61">
        <f t="shared" si="0"/>
        <v>5509914731.512108</v>
      </c>
    </row>
    <row r="14" spans="1:25" s="31" customFormat="1" ht="18" customHeight="1">
      <c r="A14" s="62" t="s">
        <v>10</v>
      </c>
      <c r="B14" s="63" t="s">
        <v>89</v>
      </c>
      <c r="C14" s="64"/>
      <c r="D14" s="65"/>
      <c r="E14" s="66">
        <v>2140000000</v>
      </c>
      <c r="F14" s="67"/>
      <c r="G14" s="67"/>
      <c r="H14" s="67"/>
      <c r="I14" s="67"/>
      <c r="J14" s="67"/>
      <c r="K14" s="67"/>
      <c r="L14" s="67"/>
      <c r="M14" s="67"/>
      <c r="N14" s="67"/>
      <c r="O14" s="68"/>
      <c r="P14" s="68"/>
      <c r="Q14" s="68"/>
      <c r="R14" s="68"/>
      <c r="S14" s="68"/>
      <c r="T14" s="196">
        <v>1875029.25</v>
      </c>
      <c r="U14" s="196">
        <f>T14+((119*1*365)*99/100)-26001.29</f>
        <v>1892028.6099999999</v>
      </c>
      <c r="V14" s="196">
        <f>U14+((119*1*365)*99/100)</f>
        <v>1935029.2599999998</v>
      </c>
      <c r="W14" s="69">
        <f>2604350000+50000000</f>
        <v>2654350000</v>
      </c>
      <c r="X14" s="70">
        <f>(W14*1.05)+(73000*180*40)</f>
        <v>3312667500</v>
      </c>
      <c r="Y14" s="70">
        <f>(W14*1.1)+(73000*360*40)</f>
        <v>3970985000</v>
      </c>
    </row>
    <row r="15" spans="1:25" s="31" customFormat="1" ht="18" customHeight="1">
      <c r="A15" s="62" t="s">
        <v>11</v>
      </c>
      <c r="B15" s="63" t="s">
        <v>90</v>
      </c>
      <c r="C15" s="64"/>
      <c r="D15" s="71"/>
      <c r="E15" s="72"/>
      <c r="F15" s="67"/>
      <c r="G15" s="67"/>
      <c r="H15" s="67"/>
      <c r="I15" s="67"/>
      <c r="J15" s="67"/>
      <c r="K15" s="67"/>
      <c r="L15" s="67"/>
      <c r="M15" s="67"/>
      <c r="N15" s="67"/>
      <c r="O15" s="68"/>
      <c r="P15" s="68"/>
      <c r="Q15" s="68"/>
      <c r="R15" s="68"/>
      <c r="S15" s="68"/>
      <c r="T15" s="196">
        <v>960683.65</v>
      </c>
      <c r="U15" s="196">
        <f>T15+((55*1*365)*99/100)</f>
        <v>980557.9</v>
      </c>
      <c r="V15" s="196">
        <f>U15+((55*1*365)*99/100)</f>
        <v>1000432.15</v>
      </c>
      <c r="W15" s="69"/>
      <c r="X15" s="70"/>
      <c r="Y15" s="70"/>
    </row>
    <row r="16" spans="1:25" s="31" customFormat="1" ht="18.75" customHeight="1">
      <c r="A16" s="62" t="s">
        <v>70</v>
      </c>
      <c r="B16" s="63" t="s">
        <v>85</v>
      </c>
      <c r="C16" s="64"/>
      <c r="D16" s="71"/>
      <c r="E16" s="72"/>
      <c r="F16" s="67"/>
      <c r="G16" s="67"/>
      <c r="H16" s="67"/>
      <c r="I16" s="67"/>
      <c r="J16" s="67"/>
      <c r="K16" s="67"/>
      <c r="L16" s="67"/>
      <c r="M16" s="67"/>
      <c r="N16" s="67"/>
      <c r="O16" s="68"/>
      <c r="P16" s="68"/>
      <c r="Q16" s="68"/>
      <c r="R16" s="68"/>
      <c r="S16" s="68"/>
      <c r="T16" s="196">
        <v>127282</v>
      </c>
      <c r="U16" s="196">
        <f>T16+31437.45-16000</f>
        <v>142719.45</v>
      </c>
      <c r="V16" s="196">
        <f>U16+31437.45-16000</f>
        <v>158156.90000000002</v>
      </c>
      <c r="W16" s="69"/>
      <c r="X16" s="70"/>
      <c r="Y16" s="70"/>
    </row>
    <row r="17" spans="1:25" s="31" customFormat="1" ht="18.75" customHeight="1">
      <c r="A17" s="62" t="s">
        <v>12</v>
      </c>
      <c r="B17" s="63" t="s">
        <v>86</v>
      </c>
      <c r="C17" s="64"/>
      <c r="D17" s="73"/>
      <c r="E17" s="72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8"/>
      <c r="Q17" s="68"/>
      <c r="R17" s="68"/>
      <c r="S17" s="68"/>
      <c r="T17" s="196">
        <v>511704.58</v>
      </c>
      <c r="U17" s="196">
        <f>T17+16000</f>
        <v>527704.5800000001</v>
      </c>
      <c r="V17" s="196">
        <f>U17+16000</f>
        <v>543704.5800000001</v>
      </c>
      <c r="W17" s="69">
        <f>245280000+445447490</f>
        <v>690727490</v>
      </c>
      <c r="X17" s="70">
        <f>W17*1.025</f>
        <v>707995677.2499999</v>
      </c>
      <c r="Y17" s="70">
        <f>W17*1.05</f>
        <v>725263864.5</v>
      </c>
    </row>
    <row r="18" spans="1:25" s="31" customFormat="1" ht="18.75" customHeight="1">
      <c r="A18" s="62" t="s">
        <v>76</v>
      </c>
      <c r="B18" s="64" t="s">
        <v>87</v>
      </c>
      <c r="C18" s="74"/>
      <c r="D18" s="75"/>
      <c r="E18" s="72"/>
      <c r="F18" s="67"/>
      <c r="G18" s="67">
        <v>65000000</v>
      </c>
      <c r="H18" s="67"/>
      <c r="I18" s="67"/>
      <c r="J18" s="67"/>
      <c r="K18" s="67"/>
      <c r="L18" s="67"/>
      <c r="M18" s="76"/>
      <c r="N18" s="67"/>
      <c r="O18" s="68"/>
      <c r="P18" s="68"/>
      <c r="Q18" s="68"/>
      <c r="R18" s="68"/>
      <c r="S18" s="68"/>
      <c r="T18" s="196">
        <v>67352.34</v>
      </c>
      <c r="U18" s="196">
        <f>T18*1.03</f>
        <v>69372.9102</v>
      </c>
      <c r="V18" s="196">
        <f>U18*1.03</f>
        <v>71454.097506</v>
      </c>
      <c r="W18" s="69">
        <v>149760000</v>
      </c>
      <c r="X18" s="70">
        <f>(W18*1.025)+(12*40000*180)</f>
        <v>239904000</v>
      </c>
      <c r="Y18" s="70">
        <f>(W18*1.05)+(12*40000*360)</f>
        <v>330048000</v>
      </c>
    </row>
    <row r="19" spans="1:25" s="31" customFormat="1" ht="18" customHeight="1">
      <c r="A19" s="62" t="s">
        <v>13</v>
      </c>
      <c r="B19" s="64" t="s">
        <v>119</v>
      </c>
      <c r="C19" s="74"/>
      <c r="D19" s="75"/>
      <c r="E19" s="72"/>
      <c r="F19" s="67"/>
      <c r="G19" s="67"/>
      <c r="H19" s="67"/>
      <c r="I19" s="67"/>
      <c r="J19" s="67"/>
      <c r="K19" s="67">
        <v>45000000</v>
      </c>
      <c r="L19" s="67"/>
      <c r="M19" s="76"/>
      <c r="N19" s="67"/>
      <c r="O19" s="68"/>
      <c r="P19" s="68"/>
      <c r="Q19" s="68"/>
      <c r="R19" s="68"/>
      <c r="S19" s="68"/>
      <c r="T19" s="196">
        <v>142510.75</v>
      </c>
      <c r="U19" s="196">
        <f>T19</f>
        <v>142510.75</v>
      </c>
      <c r="V19" s="196">
        <f>U19</f>
        <v>142510.75</v>
      </c>
      <c r="W19" s="69">
        <v>14000000</v>
      </c>
      <c r="X19" s="77">
        <f aca="true" t="shared" si="1" ref="X19:Y23">W19*1.018</f>
        <v>14252000</v>
      </c>
      <c r="Y19" s="77">
        <f t="shared" si="1"/>
        <v>14508536</v>
      </c>
    </row>
    <row r="20" spans="1:25" s="31" customFormat="1" ht="18" customHeight="1">
      <c r="A20" s="62" t="s">
        <v>77</v>
      </c>
      <c r="B20" s="64" t="s">
        <v>105</v>
      </c>
      <c r="C20" s="74"/>
      <c r="D20" s="75"/>
      <c r="E20" s="72"/>
      <c r="F20" s="67"/>
      <c r="G20" s="67"/>
      <c r="H20" s="67"/>
      <c r="I20" s="67"/>
      <c r="J20" s="67"/>
      <c r="K20" s="67"/>
      <c r="L20" s="67"/>
      <c r="M20" s="67"/>
      <c r="N20" s="67"/>
      <c r="O20" s="68"/>
      <c r="P20" s="68"/>
      <c r="Q20" s="68"/>
      <c r="R20" s="68"/>
      <c r="S20" s="68"/>
      <c r="T20" s="196">
        <v>15221.78</v>
      </c>
      <c r="U20" s="196">
        <f>T20</f>
        <v>15221.78</v>
      </c>
      <c r="V20" s="196">
        <f>U20</f>
        <v>15221.78</v>
      </c>
      <c r="W20" s="69">
        <f>156666667+296000000</f>
        <v>452666667</v>
      </c>
      <c r="X20" s="77">
        <f t="shared" si="1"/>
        <v>460814667.006</v>
      </c>
      <c r="Y20" s="77">
        <f t="shared" si="1"/>
        <v>469109331.01210797</v>
      </c>
    </row>
    <row r="21" spans="1:25" s="31" customFormat="1" ht="18" customHeight="1">
      <c r="A21" s="62" t="s">
        <v>14</v>
      </c>
      <c r="B21" s="64" t="s">
        <v>88</v>
      </c>
      <c r="C21" s="74"/>
      <c r="D21" s="75"/>
      <c r="E21" s="72"/>
      <c r="F21" s="67"/>
      <c r="G21" s="67"/>
      <c r="H21" s="67"/>
      <c r="I21" s="67"/>
      <c r="J21" s="67"/>
      <c r="K21" s="67"/>
      <c r="L21" s="67"/>
      <c r="M21" s="78"/>
      <c r="N21" s="67">
        <v>15000000</v>
      </c>
      <c r="O21" s="68"/>
      <c r="P21" s="68"/>
      <c r="Q21" s="68"/>
      <c r="R21" s="68"/>
      <c r="S21" s="68"/>
      <c r="T21" s="196">
        <v>342381.67</v>
      </c>
      <c r="U21" s="196">
        <f>T21*1.01</f>
        <v>345805.4867</v>
      </c>
      <c r="V21" s="196">
        <f>U21*1.01</f>
        <v>349263.54156700004</v>
      </c>
      <c r="W21" s="69">
        <v>0</v>
      </c>
      <c r="X21" s="77">
        <f t="shared" si="1"/>
        <v>0</v>
      </c>
      <c r="Y21" s="77">
        <f t="shared" si="1"/>
        <v>0</v>
      </c>
    </row>
    <row r="22" spans="1:25" s="31" customFormat="1" ht="18" customHeight="1">
      <c r="A22" s="62" t="s">
        <v>15</v>
      </c>
      <c r="B22" s="64" t="s">
        <v>123</v>
      </c>
      <c r="C22" s="74"/>
      <c r="D22" s="63"/>
      <c r="E22" s="72"/>
      <c r="F22" s="67"/>
      <c r="G22" s="67"/>
      <c r="H22" s="67"/>
      <c r="I22" s="67"/>
      <c r="J22" s="67"/>
      <c r="K22" s="67"/>
      <c r="L22" s="67"/>
      <c r="M22" s="78"/>
      <c r="N22" s="67"/>
      <c r="O22" s="68"/>
      <c r="P22" s="68"/>
      <c r="Q22" s="68"/>
      <c r="R22" s="68"/>
      <c r="S22" s="68"/>
      <c r="T22" s="196">
        <v>218400</v>
      </c>
      <c r="U22" s="196">
        <f>(104*250*12)*80/100</f>
        <v>249600</v>
      </c>
      <c r="V22" s="196">
        <f>(104*250*12)*90/100</f>
        <v>280800</v>
      </c>
      <c r="W22" s="69"/>
      <c r="X22" s="77"/>
      <c r="Y22" s="77"/>
    </row>
    <row r="23" spans="1:25" s="31" customFormat="1" ht="18.75" customHeight="1">
      <c r="A23" s="62" t="s">
        <v>16</v>
      </c>
      <c r="B23" s="63" t="s">
        <v>122</v>
      </c>
      <c r="C23" s="64"/>
      <c r="D23" s="63"/>
      <c r="E23" s="66"/>
      <c r="F23" s="67"/>
      <c r="G23" s="67"/>
      <c r="H23" s="67"/>
      <c r="I23" s="67"/>
      <c r="J23" s="79"/>
      <c r="K23" s="67"/>
      <c r="L23" s="67"/>
      <c r="M23" s="67"/>
      <c r="N23" s="67"/>
      <c r="O23" s="68"/>
      <c r="P23" s="68"/>
      <c r="Q23" s="68"/>
      <c r="R23" s="68"/>
      <c r="S23" s="68"/>
      <c r="T23" s="196">
        <v>198564</v>
      </c>
      <c r="U23" s="196">
        <f>T23+30000</f>
        <v>228564</v>
      </c>
      <c r="V23" s="196">
        <f>U23</f>
        <v>228564</v>
      </c>
      <c r="W23" s="69">
        <v>0</v>
      </c>
      <c r="X23" s="77">
        <f t="shared" si="1"/>
        <v>0</v>
      </c>
      <c r="Y23" s="77">
        <f t="shared" si="1"/>
        <v>0</v>
      </c>
    </row>
    <row r="24" spans="1:25" s="31" customFormat="1" ht="15.75" customHeight="1">
      <c r="A24" s="57" t="s">
        <v>17</v>
      </c>
      <c r="B24" s="80"/>
      <c r="C24" s="64"/>
      <c r="D24" s="63"/>
      <c r="E24" s="81"/>
      <c r="F24" s="82"/>
      <c r="G24" s="82"/>
      <c r="H24" s="82"/>
      <c r="I24" s="83"/>
      <c r="J24" s="82"/>
      <c r="K24" s="82"/>
      <c r="L24" s="82"/>
      <c r="M24" s="82"/>
      <c r="N24" s="84"/>
      <c r="O24" s="85"/>
      <c r="P24" s="68"/>
      <c r="Q24" s="68"/>
      <c r="R24" s="68"/>
      <c r="S24" s="68"/>
      <c r="T24" s="22">
        <v>0</v>
      </c>
      <c r="U24" s="22">
        <v>0</v>
      </c>
      <c r="V24" s="22">
        <v>0</v>
      </c>
      <c r="W24" s="86">
        <f aca="true" t="shared" si="2" ref="W24:Y26">SUM(H24:V24)</f>
        <v>0</v>
      </c>
      <c r="X24" s="86">
        <f t="shared" si="2"/>
        <v>0</v>
      </c>
      <c r="Y24" s="61">
        <f t="shared" si="2"/>
        <v>0</v>
      </c>
    </row>
    <row r="25" spans="1:25" s="31" customFormat="1" ht="15.75" customHeight="1">
      <c r="A25" s="57" t="s">
        <v>18</v>
      </c>
      <c r="B25" s="80"/>
      <c r="C25" s="64"/>
      <c r="D25" s="63"/>
      <c r="E25" s="87"/>
      <c r="F25" s="83"/>
      <c r="G25" s="83"/>
      <c r="H25" s="83"/>
      <c r="I25" s="37"/>
      <c r="J25" s="83"/>
      <c r="K25" s="83"/>
      <c r="L25" s="83"/>
      <c r="M25" s="83"/>
      <c r="N25" s="88"/>
      <c r="O25" s="63"/>
      <c r="P25" s="68"/>
      <c r="Q25" s="68"/>
      <c r="R25" s="68"/>
      <c r="S25" s="68"/>
      <c r="T25" s="22">
        <v>0</v>
      </c>
      <c r="U25" s="22">
        <v>0</v>
      </c>
      <c r="V25" s="22">
        <v>0</v>
      </c>
      <c r="W25" s="86">
        <f t="shared" si="2"/>
        <v>0</v>
      </c>
      <c r="X25" s="86">
        <f t="shared" si="2"/>
        <v>0</v>
      </c>
      <c r="Y25" s="61">
        <f t="shared" si="2"/>
        <v>0</v>
      </c>
    </row>
    <row r="26" spans="1:25" s="31" customFormat="1" ht="15.75" customHeight="1">
      <c r="A26" s="57" t="s">
        <v>19</v>
      </c>
      <c r="B26" s="80"/>
      <c r="C26" s="64"/>
      <c r="D26" s="63"/>
      <c r="E26" s="36"/>
      <c r="F26" s="37"/>
      <c r="G26" s="37"/>
      <c r="H26" s="37"/>
      <c r="I26" s="67"/>
      <c r="J26" s="37"/>
      <c r="K26" s="37"/>
      <c r="L26" s="37"/>
      <c r="M26" s="37"/>
      <c r="N26" s="37"/>
      <c r="O26" s="41"/>
      <c r="P26" s="68"/>
      <c r="Q26" s="68"/>
      <c r="R26" s="68"/>
      <c r="S26" s="68"/>
      <c r="T26" s="22">
        <v>0</v>
      </c>
      <c r="U26" s="22">
        <v>0</v>
      </c>
      <c r="V26" s="22">
        <v>0</v>
      </c>
      <c r="W26" s="86">
        <f t="shared" si="2"/>
        <v>0</v>
      </c>
      <c r="X26" s="86">
        <f t="shared" si="2"/>
        <v>0</v>
      </c>
      <c r="Y26" s="61">
        <f t="shared" si="2"/>
        <v>0</v>
      </c>
    </row>
    <row r="27" spans="1:25" s="31" customFormat="1" ht="15.75" customHeight="1">
      <c r="A27" s="57" t="s">
        <v>20</v>
      </c>
      <c r="B27" s="80"/>
      <c r="C27" s="64"/>
      <c r="D27" s="63"/>
      <c r="E27" s="66"/>
      <c r="F27" s="67"/>
      <c r="G27" s="67"/>
      <c r="H27" s="67"/>
      <c r="I27" s="67"/>
      <c r="J27" s="67"/>
      <c r="K27" s="67"/>
      <c r="L27" s="67"/>
      <c r="M27" s="67"/>
      <c r="N27" s="67"/>
      <c r="O27" s="68"/>
      <c r="P27" s="68"/>
      <c r="Q27" s="68"/>
      <c r="R27" s="68"/>
      <c r="S27" s="68"/>
      <c r="T27" s="22">
        <f>W27/1936.27</f>
        <v>0</v>
      </c>
      <c r="U27" s="22">
        <v>0</v>
      </c>
      <c r="V27" s="22">
        <v>0</v>
      </c>
      <c r="W27" s="86"/>
      <c r="X27" s="69"/>
      <c r="Y27" s="89"/>
    </row>
    <row r="28" spans="1:25" s="31" customFormat="1" ht="18.75" customHeight="1">
      <c r="A28" s="90"/>
      <c r="B28" s="91"/>
      <c r="C28" s="92"/>
      <c r="D28" s="93"/>
      <c r="E28" s="66"/>
      <c r="F28" s="67"/>
      <c r="G28" s="67"/>
      <c r="H28" s="23"/>
      <c r="I28" s="67"/>
      <c r="J28" s="67"/>
      <c r="K28" s="67"/>
      <c r="L28" s="67"/>
      <c r="M28" s="23"/>
      <c r="N28" s="23"/>
      <c r="O28" s="68"/>
      <c r="P28" s="68"/>
      <c r="Q28" s="68"/>
      <c r="R28" s="68"/>
      <c r="S28" s="68"/>
      <c r="T28" s="197">
        <f>T29+T33+T37+T41+T44+T48+T51+T54+T58+T59+T60</f>
        <v>3951586.68</v>
      </c>
      <c r="U28" s="197">
        <f>U29+U33+U37+U41+U44+U48+U51+U54+U58+U59+U60</f>
        <v>3831586.68</v>
      </c>
      <c r="V28" s="197">
        <f>V29+V33+V37+V41+V44+V48+V51+V54+V58+V59+V60</f>
        <v>3801586.68</v>
      </c>
      <c r="W28" s="94">
        <f>SUM(W31:W32)</f>
        <v>594879675</v>
      </c>
      <c r="X28" s="94">
        <f>SUM(X31:X32)</f>
        <v>605587509.15</v>
      </c>
      <c r="Y28" s="94">
        <f>SUM(Y31:Y32)</f>
        <v>616488084.3147</v>
      </c>
    </row>
    <row r="29" spans="1:25" s="31" customFormat="1" ht="18.75" customHeight="1">
      <c r="A29" s="90" t="s">
        <v>91</v>
      </c>
      <c r="B29" s="63" t="s">
        <v>89</v>
      </c>
      <c r="C29" s="92"/>
      <c r="D29" s="93"/>
      <c r="E29" s="99"/>
      <c r="F29" s="65"/>
      <c r="G29" s="63"/>
      <c r="H29" s="23"/>
      <c r="I29" s="85"/>
      <c r="J29" s="63"/>
      <c r="K29" s="63"/>
      <c r="L29" s="63"/>
      <c r="M29" s="23"/>
      <c r="N29" s="23"/>
      <c r="O29" s="68"/>
      <c r="P29" s="68"/>
      <c r="Q29" s="68"/>
      <c r="R29" s="68"/>
      <c r="S29" s="68"/>
      <c r="T29" s="218">
        <f>T30</f>
        <v>1870713.11</v>
      </c>
      <c r="U29" s="196">
        <f>U30</f>
        <v>1870713.11</v>
      </c>
      <c r="V29" s="196">
        <f>V30</f>
        <v>1870713.11</v>
      </c>
      <c r="W29" s="195"/>
      <c r="X29" s="94"/>
      <c r="Y29" s="94"/>
    </row>
    <row r="30" spans="1:25" s="31" customFormat="1" ht="18" customHeight="1">
      <c r="A30" s="90"/>
      <c r="B30" s="214" t="s">
        <v>92</v>
      </c>
      <c r="C30" s="64"/>
      <c r="D30" s="63"/>
      <c r="E30" s="99"/>
      <c r="F30" s="65"/>
      <c r="G30" s="63"/>
      <c r="H30" s="23"/>
      <c r="I30" s="85"/>
      <c r="J30" s="63"/>
      <c r="K30" s="63"/>
      <c r="L30" s="63"/>
      <c r="M30" s="23"/>
      <c r="N30" s="23"/>
      <c r="O30" s="68"/>
      <c r="P30" s="68"/>
      <c r="Q30" s="68"/>
      <c r="R30" s="68"/>
      <c r="S30" s="68"/>
      <c r="T30" s="217">
        <f>SUM(T31:T32)</f>
        <v>1870713.11</v>
      </c>
      <c r="U30" s="217">
        <f>SUM(U31:U32)</f>
        <v>1870713.11</v>
      </c>
      <c r="V30" s="217">
        <f>SUM(V31:V32)</f>
        <v>1870713.11</v>
      </c>
      <c r="W30" s="195"/>
      <c r="X30" s="94"/>
      <c r="Y30" s="94"/>
    </row>
    <row r="31" spans="1:25" s="31" customFormat="1" ht="18.75" customHeight="1">
      <c r="A31" s="62"/>
      <c r="B31" s="215" t="s">
        <v>93</v>
      </c>
      <c r="C31" s="74"/>
      <c r="D31" s="63"/>
      <c r="E31" s="87"/>
      <c r="F31" s="95"/>
      <c r="G31" s="83"/>
      <c r="H31" s="83"/>
      <c r="I31" s="82"/>
      <c r="J31" s="83"/>
      <c r="K31" s="83"/>
      <c r="L31" s="83"/>
      <c r="M31" s="83"/>
      <c r="N31" s="23"/>
      <c r="O31" s="68"/>
      <c r="P31" s="67"/>
      <c r="Q31" s="68"/>
      <c r="R31" s="68"/>
      <c r="S31" s="68"/>
      <c r="T31" s="217">
        <v>1793557.11</v>
      </c>
      <c r="U31" s="228">
        <f>T31</f>
        <v>1793557.11</v>
      </c>
      <c r="V31" s="228">
        <f>U31</f>
        <v>1793557.11</v>
      </c>
      <c r="W31" s="69"/>
      <c r="X31" s="77"/>
      <c r="Y31" s="77"/>
    </row>
    <row r="32" spans="1:25" s="31" customFormat="1" ht="19.5" customHeight="1">
      <c r="A32" s="203"/>
      <c r="B32" s="215" t="s">
        <v>94</v>
      </c>
      <c r="C32" s="200"/>
      <c r="D32" s="201"/>
      <c r="E32" s="140">
        <v>764572000</v>
      </c>
      <c r="F32" s="204"/>
      <c r="G32" s="136"/>
      <c r="H32" s="136"/>
      <c r="I32" s="205"/>
      <c r="J32" s="136"/>
      <c r="K32" s="136"/>
      <c r="L32" s="136"/>
      <c r="M32" s="136"/>
      <c r="N32" s="206"/>
      <c r="O32" s="202"/>
      <c r="P32" s="79"/>
      <c r="Q32" s="202"/>
      <c r="R32" s="202"/>
      <c r="S32" s="202"/>
      <c r="T32" s="217">
        <v>77156</v>
      </c>
      <c r="U32" s="228">
        <f>T32</f>
        <v>77156</v>
      </c>
      <c r="V32" s="228">
        <f>U32</f>
        <v>77156</v>
      </c>
      <c r="W32" s="69">
        <f>456072550+101320000+37487125</f>
        <v>594879675</v>
      </c>
      <c r="X32" s="77">
        <f>W32*1.018</f>
        <v>605587509.15</v>
      </c>
      <c r="Y32" s="77">
        <f>X32*1.018</f>
        <v>616488084.3147</v>
      </c>
    </row>
    <row r="33" spans="1:25" s="31" customFormat="1" ht="18" customHeight="1">
      <c r="A33" s="62" t="s">
        <v>91</v>
      </c>
      <c r="B33" s="216" t="s">
        <v>95</v>
      </c>
      <c r="C33" s="96"/>
      <c r="D33" s="85"/>
      <c r="E33" s="102"/>
      <c r="F33" s="41"/>
      <c r="G33" s="41"/>
      <c r="H33" s="41"/>
      <c r="I33" s="41"/>
      <c r="J33" s="41"/>
      <c r="K33" s="41"/>
      <c r="L33" s="41"/>
      <c r="M33" s="41"/>
      <c r="N33" s="41"/>
      <c r="O33" s="157"/>
      <c r="P33" s="157"/>
      <c r="Q33" s="157"/>
      <c r="R33" s="157"/>
      <c r="S33" s="157"/>
      <c r="T33" s="218">
        <f>T34</f>
        <v>770791.25</v>
      </c>
      <c r="U33" s="196">
        <f>U34</f>
        <v>770791.25</v>
      </c>
      <c r="V33" s="196">
        <f>V34</f>
        <v>770791.25</v>
      </c>
      <c r="W33" s="100"/>
      <c r="X33" s="164"/>
      <c r="Y33" s="164"/>
    </row>
    <row r="34" spans="1:25" s="31" customFormat="1" ht="18.75" customHeight="1">
      <c r="A34" s="90"/>
      <c r="B34" s="214" t="s">
        <v>92</v>
      </c>
      <c r="C34" s="92"/>
      <c r="D34" s="93"/>
      <c r="E34" s="97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217">
        <f>SUM(T35:T36)</f>
        <v>770791.25</v>
      </c>
      <c r="U34" s="217">
        <f>SUM(U35:U36)</f>
        <v>770791.25</v>
      </c>
      <c r="V34" s="217">
        <f>SUM(V35:V36)</f>
        <v>770791.25</v>
      </c>
      <c r="W34" s="94" t="e">
        <f>SUM(#REF!)</f>
        <v>#REF!</v>
      </c>
      <c r="X34" s="94" t="e">
        <f>SUM(#REF!)</f>
        <v>#REF!</v>
      </c>
      <c r="Y34" s="94" t="e">
        <f>SUM(#REF!)</f>
        <v>#REF!</v>
      </c>
    </row>
    <row r="35" spans="1:25" s="31" customFormat="1" ht="18.75" customHeight="1">
      <c r="A35" s="90"/>
      <c r="B35" s="215" t="s">
        <v>96</v>
      </c>
      <c r="C35" s="64"/>
      <c r="D35" s="65"/>
      <c r="E35" s="97"/>
      <c r="F35" s="98"/>
      <c r="G35" s="98"/>
      <c r="H35" s="98"/>
      <c r="I35" s="41"/>
      <c r="J35" s="41"/>
      <c r="K35" s="98"/>
      <c r="L35" s="98"/>
      <c r="M35" s="98"/>
      <c r="N35" s="98"/>
      <c r="O35" s="157"/>
      <c r="P35" s="157"/>
      <c r="Q35" s="157"/>
      <c r="R35" s="157"/>
      <c r="S35" s="157"/>
      <c r="T35" s="217">
        <v>761978.75</v>
      </c>
      <c r="U35" s="229">
        <f>T35</f>
        <v>761978.75</v>
      </c>
      <c r="V35" s="229">
        <f>U35</f>
        <v>761978.75</v>
      </c>
      <c r="W35" s="195"/>
      <c r="X35" s="94"/>
      <c r="Y35" s="94"/>
    </row>
    <row r="36" spans="1:25" s="31" customFormat="1" ht="18" customHeight="1">
      <c r="A36" s="209"/>
      <c r="B36" s="215" t="s">
        <v>97</v>
      </c>
      <c r="C36" s="200"/>
      <c r="D36" s="212"/>
      <c r="E36" s="121"/>
      <c r="F36" s="51"/>
      <c r="G36" s="51"/>
      <c r="H36" s="51"/>
      <c r="I36" s="53"/>
      <c r="J36" s="53"/>
      <c r="K36" s="51"/>
      <c r="L36" s="51"/>
      <c r="M36" s="51"/>
      <c r="N36" s="51"/>
      <c r="O36" s="208"/>
      <c r="P36" s="208"/>
      <c r="Q36" s="208"/>
      <c r="R36" s="208"/>
      <c r="S36" s="208"/>
      <c r="T36" s="217">
        <v>8812.5</v>
      </c>
      <c r="U36" s="229">
        <f>T36</f>
        <v>8812.5</v>
      </c>
      <c r="V36" s="229">
        <f>U36</f>
        <v>8812.5</v>
      </c>
      <c r="W36" s="195"/>
      <c r="X36" s="94"/>
      <c r="Y36" s="94"/>
    </row>
    <row r="37" spans="1:25" s="31" customFormat="1" ht="18" customHeight="1">
      <c r="A37" s="209" t="s">
        <v>91</v>
      </c>
      <c r="B37" s="216" t="s">
        <v>98</v>
      </c>
      <c r="C37" s="200"/>
      <c r="D37" s="201"/>
      <c r="E37" s="121"/>
      <c r="F37" s="51"/>
      <c r="G37" s="51"/>
      <c r="H37" s="51"/>
      <c r="I37" s="53"/>
      <c r="J37" s="53"/>
      <c r="K37" s="51"/>
      <c r="L37" s="51"/>
      <c r="M37" s="51"/>
      <c r="N37" s="51"/>
      <c r="O37" s="208"/>
      <c r="P37" s="208"/>
      <c r="Q37" s="208"/>
      <c r="R37" s="208"/>
      <c r="S37" s="208"/>
      <c r="T37" s="218">
        <f>T38</f>
        <v>147328.05</v>
      </c>
      <c r="U37" s="196">
        <f>U38</f>
        <v>57328.05</v>
      </c>
      <c r="V37" s="196">
        <f>V38</f>
        <v>57328.05</v>
      </c>
      <c r="W37" s="195"/>
      <c r="X37" s="94"/>
      <c r="Y37" s="94"/>
    </row>
    <row r="38" spans="1:25" s="31" customFormat="1" ht="18" customHeight="1">
      <c r="A38" s="209"/>
      <c r="B38" s="214" t="s">
        <v>92</v>
      </c>
      <c r="C38" s="200"/>
      <c r="D38" s="201"/>
      <c r="E38" s="121"/>
      <c r="F38" s="51"/>
      <c r="G38" s="51"/>
      <c r="H38" s="51"/>
      <c r="I38" s="53"/>
      <c r="J38" s="53"/>
      <c r="K38" s="51"/>
      <c r="L38" s="51"/>
      <c r="M38" s="51"/>
      <c r="N38" s="51"/>
      <c r="O38" s="208"/>
      <c r="P38" s="208"/>
      <c r="Q38" s="208"/>
      <c r="R38" s="208"/>
      <c r="S38" s="208"/>
      <c r="T38" s="217">
        <f>SUM(T39:T40)</f>
        <v>147328.05</v>
      </c>
      <c r="U38" s="217">
        <f>SUM(U39:U40)</f>
        <v>57328.05</v>
      </c>
      <c r="V38" s="217">
        <f>SUM(V39:V40)</f>
        <v>57328.05</v>
      </c>
      <c r="W38" s="195"/>
      <c r="X38" s="94"/>
      <c r="Y38" s="94"/>
    </row>
    <row r="39" spans="1:25" s="31" customFormat="1" ht="18" customHeight="1">
      <c r="A39" s="209"/>
      <c r="B39" s="215" t="s">
        <v>132</v>
      </c>
      <c r="C39" s="200"/>
      <c r="D39" s="201"/>
      <c r="E39" s="121"/>
      <c r="F39" s="51"/>
      <c r="G39" s="51"/>
      <c r="H39" s="51"/>
      <c r="I39" s="53"/>
      <c r="J39" s="53"/>
      <c r="K39" s="51"/>
      <c r="L39" s="51"/>
      <c r="M39" s="51"/>
      <c r="N39" s="51"/>
      <c r="O39" s="208"/>
      <c r="P39" s="208"/>
      <c r="Q39" s="208"/>
      <c r="R39" s="208"/>
      <c r="S39" s="208"/>
      <c r="T39" s="217">
        <v>57328.05</v>
      </c>
      <c r="U39" s="230">
        <f>T39</f>
        <v>57328.05</v>
      </c>
      <c r="V39" s="230">
        <f>U39</f>
        <v>57328.05</v>
      </c>
      <c r="W39" s="195"/>
      <c r="X39" s="94"/>
      <c r="Y39" s="94"/>
    </row>
    <row r="40" spans="1:25" s="56" customFormat="1" ht="18" customHeight="1">
      <c r="A40" s="209"/>
      <c r="B40" s="238" t="s">
        <v>118</v>
      </c>
      <c r="C40" s="200"/>
      <c r="D40" s="201"/>
      <c r="E40" s="121"/>
      <c r="F40" s="51"/>
      <c r="G40" s="51"/>
      <c r="H40" s="51"/>
      <c r="I40" s="53"/>
      <c r="J40" s="53"/>
      <c r="K40" s="51"/>
      <c r="L40" s="51"/>
      <c r="M40" s="51"/>
      <c r="N40" s="51"/>
      <c r="O40" s="208"/>
      <c r="P40" s="208"/>
      <c r="Q40" s="208"/>
      <c r="R40" s="208"/>
      <c r="S40" s="208"/>
      <c r="T40" s="241">
        <v>90000</v>
      </c>
      <c r="U40" s="241">
        <v>0</v>
      </c>
      <c r="V40" s="241">
        <v>0</v>
      </c>
      <c r="W40" s="239"/>
      <c r="X40" s="240"/>
      <c r="Y40" s="240"/>
    </row>
    <row r="41" spans="1:25" s="31" customFormat="1" ht="18" customHeight="1">
      <c r="A41" s="209" t="s">
        <v>91</v>
      </c>
      <c r="B41" s="216" t="s">
        <v>87</v>
      </c>
      <c r="C41" s="200"/>
      <c r="D41" s="201"/>
      <c r="E41" s="121"/>
      <c r="F41" s="51"/>
      <c r="G41" s="51"/>
      <c r="H41" s="51"/>
      <c r="I41" s="53"/>
      <c r="J41" s="53"/>
      <c r="K41" s="51"/>
      <c r="L41" s="51"/>
      <c r="M41" s="51"/>
      <c r="N41" s="51"/>
      <c r="O41" s="208"/>
      <c r="P41" s="208"/>
      <c r="Q41" s="208"/>
      <c r="R41" s="208"/>
      <c r="S41" s="208"/>
      <c r="T41" s="218">
        <f aca="true" t="shared" si="3" ref="T41:V42">T42</f>
        <v>85002.66</v>
      </c>
      <c r="U41" s="196">
        <f t="shared" si="3"/>
        <v>85002.66</v>
      </c>
      <c r="V41" s="196">
        <f t="shared" si="3"/>
        <v>85002.66</v>
      </c>
      <c r="W41" s="195"/>
      <c r="X41" s="94"/>
      <c r="Y41" s="94"/>
    </row>
    <row r="42" spans="1:25" s="31" customFormat="1" ht="18" customHeight="1">
      <c r="A42" s="209"/>
      <c r="B42" s="214" t="s">
        <v>92</v>
      </c>
      <c r="C42" s="200"/>
      <c r="D42" s="201"/>
      <c r="E42" s="121"/>
      <c r="F42" s="51"/>
      <c r="G42" s="51"/>
      <c r="H42" s="51"/>
      <c r="I42" s="53"/>
      <c r="J42" s="53"/>
      <c r="K42" s="51"/>
      <c r="L42" s="51"/>
      <c r="M42" s="51"/>
      <c r="N42" s="51"/>
      <c r="O42" s="208"/>
      <c r="P42" s="208"/>
      <c r="Q42" s="208"/>
      <c r="R42" s="208"/>
      <c r="S42" s="208"/>
      <c r="T42" s="217">
        <f t="shared" si="3"/>
        <v>85002.66</v>
      </c>
      <c r="U42" s="230">
        <f t="shared" si="3"/>
        <v>85002.66</v>
      </c>
      <c r="V42" s="230">
        <f t="shared" si="3"/>
        <v>85002.66</v>
      </c>
      <c r="W42" s="195"/>
      <c r="X42" s="94"/>
      <c r="Y42" s="94"/>
    </row>
    <row r="43" spans="1:25" s="31" customFormat="1" ht="18" customHeight="1">
      <c r="A43" s="209"/>
      <c r="B43" s="215" t="s">
        <v>96</v>
      </c>
      <c r="C43" s="200"/>
      <c r="D43" s="201"/>
      <c r="E43" s="121"/>
      <c r="F43" s="51"/>
      <c r="G43" s="51"/>
      <c r="H43" s="51"/>
      <c r="I43" s="53"/>
      <c r="J43" s="53"/>
      <c r="K43" s="51"/>
      <c r="L43" s="51"/>
      <c r="M43" s="51"/>
      <c r="N43" s="51"/>
      <c r="O43" s="208"/>
      <c r="P43" s="208"/>
      <c r="Q43" s="208"/>
      <c r="R43" s="208"/>
      <c r="S43" s="208"/>
      <c r="T43" s="217">
        <v>85002.66</v>
      </c>
      <c r="U43" s="230">
        <f>T43</f>
        <v>85002.66</v>
      </c>
      <c r="V43" s="230">
        <f>U43</f>
        <v>85002.66</v>
      </c>
      <c r="W43" s="195"/>
      <c r="X43" s="94"/>
      <c r="Y43" s="94"/>
    </row>
    <row r="44" spans="1:25" s="31" customFormat="1" ht="18" customHeight="1">
      <c r="A44" s="209" t="s">
        <v>91</v>
      </c>
      <c r="B44" s="216" t="s">
        <v>119</v>
      </c>
      <c r="C44" s="200"/>
      <c r="D44" s="201"/>
      <c r="E44" s="121"/>
      <c r="F44" s="51"/>
      <c r="G44" s="51"/>
      <c r="H44" s="51"/>
      <c r="I44" s="53"/>
      <c r="J44" s="53"/>
      <c r="K44" s="51"/>
      <c r="L44" s="51"/>
      <c r="M44" s="51"/>
      <c r="N44" s="51"/>
      <c r="O44" s="208"/>
      <c r="P44" s="208"/>
      <c r="Q44" s="208"/>
      <c r="R44" s="208"/>
      <c r="S44" s="208"/>
      <c r="T44" s="218">
        <f>T45</f>
        <v>178000</v>
      </c>
      <c r="U44" s="196">
        <f>U45</f>
        <v>178000</v>
      </c>
      <c r="V44" s="196">
        <f>V45</f>
        <v>178000</v>
      </c>
      <c r="W44" s="195"/>
      <c r="X44" s="94"/>
      <c r="Y44" s="94"/>
    </row>
    <row r="45" spans="1:25" s="31" customFormat="1" ht="18" customHeight="1">
      <c r="A45" s="209"/>
      <c r="B45" s="214" t="s">
        <v>92</v>
      </c>
      <c r="C45" s="200"/>
      <c r="D45" s="201"/>
      <c r="E45" s="121"/>
      <c r="F45" s="51"/>
      <c r="G45" s="51"/>
      <c r="H45" s="51"/>
      <c r="I45" s="53"/>
      <c r="J45" s="53"/>
      <c r="K45" s="51"/>
      <c r="L45" s="51"/>
      <c r="M45" s="51"/>
      <c r="N45" s="51"/>
      <c r="O45" s="208"/>
      <c r="P45" s="208"/>
      <c r="Q45" s="208"/>
      <c r="R45" s="208"/>
      <c r="S45" s="208"/>
      <c r="T45" s="217">
        <f>SUM(T46:T47)</f>
        <v>178000</v>
      </c>
      <c r="U45" s="217">
        <f>SUM(U46:U47)</f>
        <v>178000</v>
      </c>
      <c r="V45" s="217">
        <f>SUM(V46:V47)</f>
        <v>178000</v>
      </c>
      <c r="W45" s="195"/>
      <c r="X45" s="94"/>
      <c r="Y45" s="94"/>
    </row>
    <row r="46" spans="1:25" s="31" customFormat="1" ht="18" customHeight="1">
      <c r="A46" s="209"/>
      <c r="B46" s="215" t="s">
        <v>100</v>
      </c>
      <c r="C46" s="200"/>
      <c r="D46" s="201"/>
      <c r="E46" s="121"/>
      <c r="F46" s="51"/>
      <c r="G46" s="51"/>
      <c r="H46" s="51"/>
      <c r="I46" s="53"/>
      <c r="J46" s="53"/>
      <c r="K46" s="51"/>
      <c r="L46" s="51"/>
      <c r="M46" s="51"/>
      <c r="N46" s="51"/>
      <c r="O46" s="208"/>
      <c r="P46" s="208"/>
      <c r="Q46" s="208"/>
      <c r="R46" s="208"/>
      <c r="S46" s="208"/>
      <c r="T46" s="217">
        <v>100000</v>
      </c>
      <c r="U46" s="230">
        <f>T46</f>
        <v>100000</v>
      </c>
      <c r="V46" s="230">
        <f>U46</f>
        <v>100000</v>
      </c>
      <c r="W46" s="195"/>
      <c r="X46" s="94"/>
      <c r="Y46" s="94"/>
    </row>
    <row r="47" spans="1:25" s="31" customFormat="1" ht="18" customHeight="1">
      <c r="A47" s="209"/>
      <c r="B47" s="215" t="s">
        <v>131</v>
      </c>
      <c r="C47" s="200"/>
      <c r="D47" s="201"/>
      <c r="E47" s="121"/>
      <c r="F47" s="51"/>
      <c r="G47" s="51"/>
      <c r="H47" s="51"/>
      <c r="I47" s="53"/>
      <c r="J47" s="53"/>
      <c r="K47" s="51"/>
      <c r="L47" s="51"/>
      <c r="M47" s="51"/>
      <c r="N47" s="51"/>
      <c r="O47" s="208"/>
      <c r="P47" s="208"/>
      <c r="Q47" s="208"/>
      <c r="R47" s="208"/>
      <c r="S47" s="208"/>
      <c r="T47" s="217">
        <v>78000</v>
      </c>
      <c r="U47" s="230">
        <f>T47</f>
        <v>78000</v>
      </c>
      <c r="V47" s="230">
        <f>U47</f>
        <v>78000</v>
      </c>
      <c r="W47" s="195"/>
      <c r="X47" s="94"/>
      <c r="Y47" s="94"/>
    </row>
    <row r="48" spans="1:25" s="31" customFormat="1" ht="18" customHeight="1">
      <c r="A48" s="209" t="s">
        <v>91</v>
      </c>
      <c r="B48" s="216" t="s">
        <v>101</v>
      </c>
      <c r="C48" s="200"/>
      <c r="D48" s="201"/>
      <c r="E48" s="121"/>
      <c r="F48" s="51"/>
      <c r="G48" s="51"/>
      <c r="H48" s="51"/>
      <c r="I48" s="53"/>
      <c r="J48" s="53"/>
      <c r="K48" s="51"/>
      <c r="L48" s="51"/>
      <c r="M48" s="51"/>
      <c r="N48" s="51"/>
      <c r="O48" s="208"/>
      <c r="P48" s="208"/>
      <c r="Q48" s="208"/>
      <c r="R48" s="208"/>
      <c r="S48" s="208"/>
      <c r="T48" s="218">
        <f>T49</f>
        <v>33377.67</v>
      </c>
      <c r="U48" s="196">
        <f>U49</f>
        <v>33377.67</v>
      </c>
      <c r="V48" s="196">
        <f>V49</f>
        <v>33377.67</v>
      </c>
      <c r="W48" s="195"/>
      <c r="X48" s="94"/>
      <c r="Y48" s="94"/>
    </row>
    <row r="49" spans="1:25" s="31" customFormat="1" ht="18" customHeight="1">
      <c r="A49" s="209"/>
      <c r="B49" s="214" t="s">
        <v>92</v>
      </c>
      <c r="C49" s="200"/>
      <c r="D49" s="201"/>
      <c r="E49" s="121"/>
      <c r="F49" s="51"/>
      <c r="G49" s="51"/>
      <c r="H49" s="51"/>
      <c r="I49" s="53"/>
      <c r="J49" s="53"/>
      <c r="K49" s="51"/>
      <c r="L49" s="51"/>
      <c r="M49" s="51"/>
      <c r="N49" s="51"/>
      <c r="O49" s="208"/>
      <c r="P49" s="208"/>
      <c r="Q49" s="208"/>
      <c r="R49" s="208"/>
      <c r="S49" s="208"/>
      <c r="T49" s="217">
        <f>SUM(T50:T50)</f>
        <v>33377.67</v>
      </c>
      <c r="U49" s="217">
        <f>SUM(U50:U50)</f>
        <v>33377.67</v>
      </c>
      <c r="V49" s="217">
        <f>SUM(V50:V50)</f>
        <v>33377.67</v>
      </c>
      <c r="W49" s="195"/>
      <c r="X49" s="94"/>
      <c r="Y49" s="94"/>
    </row>
    <row r="50" spans="1:25" s="31" customFormat="1" ht="18" customHeight="1">
      <c r="A50" s="209"/>
      <c r="B50" s="215" t="s">
        <v>132</v>
      </c>
      <c r="C50" s="200"/>
      <c r="D50" s="201"/>
      <c r="E50" s="121"/>
      <c r="F50" s="51"/>
      <c r="G50" s="51"/>
      <c r="H50" s="51"/>
      <c r="I50" s="53"/>
      <c r="J50" s="53"/>
      <c r="K50" s="51"/>
      <c r="L50" s="51"/>
      <c r="M50" s="51"/>
      <c r="N50" s="51"/>
      <c r="O50" s="208"/>
      <c r="P50" s="208"/>
      <c r="Q50" s="208"/>
      <c r="R50" s="208"/>
      <c r="S50" s="208"/>
      <c r="T50" s="217">
        <v>33377.67</v>
      </c>
      <c r="U50" s="230">
        <f>T50</f>
        <v>33377.67</v>
      </c>
      <c r="V50" s="230">
        <f>U50</f>
        <v>33377.67</v>
      </c>
      <c r="W50" s="195"/>
      <c r="X50" s="94"/>
      <c r="Y50" s="94"/>
    </row>
    <row r="51" spans="1:25" s="31" customFormat="1" ht="18" customHeight="1">
      <c r="A51" s="209" t="s">
        <v>91</v>
      </c>
      <c r="B51" s="23" t="s">
        <v>142</v>
      </c>
      <c r="C51" s="200"/>
      <c r="D51" s="201"/>
      <c r="E51" s="121"/>
      <c r="F51" s="51"/>
      <c r="G51" s="51"/>
      <c r="H51" s="51"/>
      <c r="I51" s="53"/>
      <c r="J51" s="53"/>
      <c r="K51" s="51"/>
      <c r="L51" s="51"/>
      <c r="M51" s="51"/>
      <c r="N51" s="51"/>
      <c r="O51" s="208"/>
      <c r="P51" s="208"/>
      <c r="Q51" s="208"/>
      <c r="R51" s="208"/>
      <c r="S51" s="208"/>
      <c r="T51" s="218">
        <f>T52</f>
        <v>55000</v>
      </c>
      <c r="U51" s="196">
        <f>U52</f>
        <v>55000</v>
      </c>
      <c r="V51" s="196">
        <f>V52</f>
        <v>55000</v>
      </c>
      <c r="W51" s="195"/>
      <c r="X51" s="94"/>
      <c r="Y51" s="94"/>
    </row>
    <row r="52" spans="1:25" s="31" customFormat="1" ht="18" customHeight="1">
      <c r="A52" s="209"/>
      <c r="B52" s="215" t="s">
        <v>92</v>
      </c>
      <c r="C52" s="200"/>
      <c r="D52" s="201"/>
      <c r="E52" s="121"/>
      <c r="F52" s="51"/>
      <c r="G52" s="51"/>
      <c r="H52" s="51"/>
      <c r="I52" s="53"/>
      <c r="J52" s="53"/>
      <c r="K52" s="51"/>
      <c r="L52" s="51"/>
      <c r="M52" s="51"/>
      <c r="N52" s="51"/>
      <c r="O52" s="208"/>
      <c r="P52" s="208"/>
      <c r="Q52" s="208"/>
      <c r="R52" s="208"/>
      <c r="S52" s="208"/>
      <c r="T52" s="217">
        <f>SUM(T53)</f>
        <v>55000</v>
      </c>
      <c r="U52" s="217">
        <f>SUM(U53)</f>
        <v>55000</v>
      </c>
      <c r="V52" s="230">
        <f>U52</f>
        <v>55000</v>
      </c>
      <c r="W52" s="195"/>
      <c r="X52" s="94"/>
      <c r="Y52" s="94"/>
    </row>
    <row r="53" spans="1:25" s="31" customFormat="1" ht="18" customHeight="1">
      <c r="A53" s="209"/>
      <c r="B53" s="215" t="s">
        <v>144</v>
      </c>
      <c r="C53" s="200"/>
      <c r="D53" s="201"/>
      <c r="E53" s="121"/>
      <c r="F53" s="51"/>
      <c r="G53" s="51"/>
      <c r="H53" s="51"/>
      <c r="I53" s="53"/>
      <c r="J53" s="53"/>
      <c r="K53" s="51"/>
      <c r="L53" s="51"/>
      <c r="M53" s="51"/>
      <c r="N53" s="51"/>
      <c r="O53" s="208"/>
      <c r="P53" s="208"/>
      <c r="Q53" s="208"/>
      <c r="R53" s="208"/>
      <c r="S53" s="208"/>
      <c r="T53" s="217">
        <v>55000</v>
      </c>
      <c r="U53" s="230">
        <f>T53</f>
        <v>55000</v>
      </c>
      <c r="V53" s="230">
        <f>U53</f>
        <v>55000</v>
      </c>
      <c r="W53" s="195"/>
      <c r="X53" s="94"/>
      <c r="Y53" s="94"/>
    </row>
    <row r="54" spans="1:25" s="31" customFormat="1" ht="18" customHeight="1">
      <c r="A54" s="209"/>
      <c r="B54" s="23" t="s">
        <v>143</v>
      </c>
      <c r="C54" s="200"/>
      <c r="D54" s="201"/>
      <c r="E54" s="121"/>
      <c r="F54" s="51"/>
      <c r="G54" s="51"/>
      <c r="H54" s="51"/>
      <c r="I54" s="53"/>
      <c r="J54" s="53"/>
      <c r="K54" s="51"/>
      <c r="L54" s="51"/>
      <c r="M54" s="51"/>
      <c r="N54" s="51"/>
      <c r="O54" s="208"/>
      <c r="P54" s="208"/>
      <c r="Q54" s="208"/>
      <c r="R54" s="208"/>
      <c r="S54" s="208"/>
      <c r="T54" s="218">
        <f>T55</f>
        <v>66128.66</v>
      </c>
      <c r="U54" s="218">
        <f>U55</f>
        <v>66128.66</v>
      </c>
      <c r="V54" s="218">
        <f>V55</f>
        <v>66128.66</v>
      </c>
      <c r="W54" s="195"/>
      <c r="X54" s="94"/>
      <c r="Y54" s="94"/>
    </row>
    <row r="55" spans="1:25" s="31" customFormat="1" ht="18" customHeight="1">
      <c r="A55" s="209"/>
      <c r="B55" s="214" t="s">
        <v>92</v>
      </c>
      <c r="C55" s="200"/>
      <c r="D55" s="201"/>
      <c r="E55" s="121"/>
      <c r="F55" s="51"/>
      <c r="G55" s="51"/>
      <c r="H55" s="51"/>
      <c r="I55" s="53"/>
      <c r="J55" s="53"/>
      <c r="K55" s="51"/>
      <c r="L55" s="51"/>
      <c r="M55" s="51"/>
      <c r="N55" s="51"/>
      <c r="O55" s="208"/>
      <c r="P55" s="208"/>
      <c r="Q55" s="208"/>
      <c r="R55" s="208"/>
      <c r="S55" s="208"/>
      <c r="T55" s="217">
        <f>SUM(T56:T57)</f>
        <v>66128.66</v>
      </c>
      <c r="U55" s="217">
        <f>SUM(U56:U57)</f>
        <v>66128.66</v>
      </c>
      <c r="V55" s="217">
        <f>SUM(V56:V57)</f>
        <v>66128.66</v>
      </c>
      <c r="W55" s="195"/>
      <c r="X55" s="94"/>
      <c r="Y55" s="94"/>
    </row>
    <row r="56" spans="1:25" s="31" customFormat="1" ht="18" customHeight="1">
      <c r="A56" s="209"/>
      <c r="B56" s="215" t="s">
        <v>96</v>
      </c>
      <c r="C56" s="200"/>
      <c r="D56" s="201"/>
      <c r="E56" s="121"/>
      <c r="F56" s="51"/>
      <c r="G56" s="51"/>
      <c r="H56" s="51"/>
      <c r="I56" s="53"/>
      <c r="J56" s="53"/>
      <c r="K56" s="51"/>
      <c r="L56" s="51"/>
      <c r="M56" s="51"/>
      <c r="N56" s="51"/>
      <c r="O56" s="208"/>
      <c r="P56" s="208"/>
      <c r="Q56" s="208"/>
      <c r="R56" s="208"/>
      <c r="S56" s="208"/>
      <c r="T56" s="217">
        <v>38128.66</v>
      </c>
      <c r="U56" s="230">
        <f>T56</f>
        <v>38128.66</v>
      </c>
      <c r="V56" s="230">
        <f>U56</f>
        <v>38128.66</v>
      </c>
      <c r="W56" s="195"/>
      <c r="X56" s="94"/>
      <c r="Y56" s="94"/>
    </row>
    <row r="57" spans="1:25" s="31" customFormat="1" ht="18" customHeight="1">
      <c r="A57" s="209"/>
      <c r="B57" s="215" t="s">
        <v>99</v>
      </c>
      <c r="C57" s="200"/>
      <c r="D57" s="201"/>
      <c r="E57" s="121"/>
      <c r="F57" s="51"/>
      <c r="G57" s="51"/>
      <c r="H57" s="51"/>
      <c r="I57" s="53"/>
      <c r="J57" s="53"/>
      <c r="K57" s="51"/>
      <c r="L57" s="51"/>
      <c r="M57" s="51"/>
      <c r="N57" s="51"/>
      <c r="O57" s="208"/>
      <c r="P57" s="208"/>
      <c r="Q57" s="208"/>
      <c r="R57" s="208"/>
      <c r="S57" s="208"/>
      <c r="T57" s="217">
        <v>28000</v>
      </c>
      <c r="U57" s="217">
        <v>28000</v>
      </c>
      <c r="V57" s="217">
        <v>28000</v>
      </c>
      <c r="W57" s="195"/>
      <c r="X57" s="94"/>
      <c r="Y57" s="94"/>
    </row>
    <row r="58" spans="1:25" s="31" customFormat="1" ht="18" customHeight="1">
      <c r="A58" s="209" t="s">
        <v>91</v>
      </c>
      <c r="B58" s="23" t="s">
        <v>120</v>
      </c>
      <c r="C58" s="200"/>
      <c r="D58" s="201"/>
      <c r="E58" s="121"/>
      <c r="F58" s="51"/>
      <c r="G58" s="51"/>
      <c r="H58" s="51"/>
      <c r="I58" s="53"/>
      <c r="J58" s="53"/>
      <c r="K58" s="51"/>
      <c r="L58" s="51"/>
      <c r="M58" s="51"/>
      <c r="N58" s="51"/>
      <c r="O58" s="208"/>
      <c r="P58" s="208"/>
      <c r="Q58" s="208"/>
      <c r="R58" s="208"/>
      <c r="S58" s="208"/>
      <c r="T58" s="196">
        <v>450000</v>
      </c>
      <c r="U58" s="196">
        <v>420000</v>
      </c>
      <c r="V58" s="196">
        <v>390000</v>
      </c>
      <c r="W58" s="195"/>
      <c r="X58" s="94"/>
      <c r="Y58" s="94"/>
    </row>
    <row r="59" spans="1:25" s="31" customFormat="1" ht="18" customHeight="1">
      <c r="A59" s="209" t="s">
        <v>91</v>
      </c>
      <c r="B59" s="219" t="s">
        <v>133</v>
      </c>
      <c r="C59" s="200"/>
      <c r="D59" s="201"/>
      <c r="E59" s="121"/>
      <c r="F59" s="51"/>
      <c r="G59" s="51"/>
      <c r="H59" s="51"/>
      <c r="I59" s="53"/>
      <c r="J59" s="53"/>
      <c r="K59" s="51"/>
      <c r="L59" s="51"/>
      <c r="M59" s="51"/>
      <c r="N59" s="51"/>
      <c r="O59" s="208"/>
      <c r="P59" s="208"/>
      <c r="Q59" s="208"/>
      <c r="R59" s="208"/>
      <c r="S59" s="208"/>
      <c r="T59" s="218">
        <v>147500</v>
      </c>
      <c r="U59" s="196">
        <f>T59</f>
        <v>147500</v>
      </c>
      <c r="V59" s="196">
        <f>U59</f>
        <v>147500</v>
      </c>
      <c r="W59" s="195"/>
      <c r="X59" s="94"/>
      <c r="Y59" s="94"/>
    </row>
    <row r="60" spans="1:25" s="31" customFormat="1" ht="18" customHeight="1">
      <c r="A60" s="209" t="s">
        <v>91</v>
      </c>
      <c r="B60" s="219" t="s">
        <v>103</v>
      </c>
      <c r="C60" s="200"/>
      <c r="D60" s="201"/>
      <c r="E60" s="121"/>
      <c r="F60" s="51"/>
      <c r="G60" s="51"/>
      <c r="H60" s="51"/>
      <c r="I60" s="53"/>
      <c r="J60" s="53"/>
      <c r="K60" s="51"/>
      <c r="L60" s="51"/>
      <c r="M60" s="51"/>
      <c r="N60" s="51"/>
      <c r="O60" s="208"/>
      <c r="P60" s="208"/>
      <c r="Q60" s="208"/>
      <c r="R60" s="208"/>
      <c r="S60" s="208"/>
      <c r="T60" s="237">
        <v>147745.28</v>
      </c>
      <c r="U60" s="196">
        <f>T60</f>
        <v>147745.28</v>
      </c>
      <c r="V60" s="196">
        <f>U60</f>
        <v>147745.28</v>
      </c>
      <c r="W60" s="195"/>
      <c r="X60" s="94"/>
      <c r="Y60" s="94"/>
    </row>
    <row r="61" spans="1:25" s="31" customFormat="1" ht="15.75" customHeight="1">
      <c r="A61" s="101"/>
      <c r="B61" s="64"/>
      <c r="C61" s="74"/>
      <c r="D61" s="63"/>
      <c r="E61" s="102"/>
      <c r="F61" s="103"/>
      <c r="G61" s="41"/>
      <c r="H61" s="41"/>
      <c r="I61" s="104"/>
      <c r="J61" s="41"/>
      <c r="K61" s="41"/>
      <c r="L61" s="41"/>
      <c r="M61" s="41"/>
      <c r="N61" s="23"/>
      <c r="O61" s="105"/>
      <c r="P61" s="39"/>
      <c r="Q61" s="105"/>
      <c r="R61" s="105"/>
      <c r="S61" s="105"/>
      <c r="T61" s="106"/>
      <c r="U61" s="22"/>
      <c r="V61" s="22"/>
      <c r="W61" s="107"/>
      <c r="X61" s="107"/>
      <c r="Y61" s="107"/>
    </row>
    <row r="62" spans="1:25" s="31" customFormat="1" ht="18" customHeight="1">
      <c r="A62" s="68"/>
      <c r="B62" s="108" t="s">
        <v>21</v>
      </c>
      <c r="C62" s="108"/>
      <c r="D62" s="71"/>
      <c r="E62" s="109">
        <f aca="true" t="shared" si="4" ref="E62:S62">SUM(E14:E34)</f>
        <v>2904572000</v>
      </c>
      <c r="F62" s="110">
        <f t="shared" si="4"/>
        <v>0</v>
      </c>
      <c r="G62" s="110">
        <f t="shared" si="4"/>
        <v>65000000</v>
      </c>
      <c r="H62" s="110">
        <f t="shared" si="4"/>
        <v>0</v>
      </c>
      <c r="I62" s="110">
        <f t="shared" si="4"/>
        <v>0</v>
      </c>
      <c r="J62" s="110">
        <f t="shared" si="4"/>
        <v>0</v>
      </c>
      <c r="K62" s="110">
        <f t="shared" si="4"/>
        <v>45000000</v>
      </c>
      <c r="L62" s="110">
        <f t="shared" si="4"/>
        <v>0</v>
      </c>
      <c r="M62" s="110">
        <f t="shared" si="4"/>
        <v>0</v>
      </c>
      <c r="N62" s="110">
        <f t="shared" si="4"/>
        <v>15000000</v>
      </c>
      <c r="O62" s="110">
        <f t="shared" si="4"/>
        <v>0</v>
      </c>
      <c r="P62" s="110">
        <f t="shared" si="4"/>
        <v>0</v>
      </c>
      <c r="Q62" s="110">
        <f t="shared" si="4"/>
        <v>0</v>
      </c>
      <c r="R62" s="110">
        <f t="shared" si="4"/>
        <v>0</v>
      </c>
      <c r="S62" s="110">
        <f t="shared" si="4"/>
        <v>0</v>
      </c>
      <c r="T62" s="197">
        <f>T13+T28</f>
        <v>8410716.7</v>
      </c>
      <c r="U62" s="197">
        <f>U13+U28</f>
        <v>8425672.1469</v>
      </c>
      <c r="V62" s="197">
        <f>V13+V28</f>
        <v>8526723.739072999</v>
      </c>
      <c r="W62" s="111" t="e">
        <f>SUM(W13+W24+W25+W26+W28+W34)</f>
        <v>#REF!</v>
      </c>
      <c r="X62" s="111" t="e">
        <f>SUM(X13+X24+X25+X26+X28+X34)</f>
        <v>#REF!</v>
      </c>
      <c r="Y62" s="111" t="e">
        <f>SUM(Y13+Y24+Y25+Y26+Y28+Y34)</f>
        <v>#REF!</v>
      </c>
    </row>
    <row r="63" spans="1:25" s="31" customFormat="1" ht="20.25">
      <c r="A63" s="112"/>
      <c r="B63" s="113" t="s">
        <v>22</v>
      </c>
      <c r="C63" s="114"/>
      <c r="D63" s="53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06"/>
      <c r="U63" s="106"/>
      <c r="V63" s="106"/>
      <c r="W63" s="117"/>
      <c r="X63" s="116"/>
      <c r="Y63" s="116"/>
    </row>
    <row r="64" spans="1:25" s="31" customFormat="1" ht="18" customHeight="1">
      <c r="A64" s="74"/>
      <c r="B64" s="23"/>
      <c r="C64" s="23"/>
      <c r="D64" s="23"/>
      <c r="E64" s="24" t="s">
        <v>2</v>
      </c>
      <c r="F64" s="25" t="s">
        <v>3</v>
      </c>
      <c r="G64" s="26"/>
      <c r="H64" s="25" t="s">
        <v>4</v>
      </c>
      <c r="I64" s="27"/>
      <c r="J64" s="28"/>
      <c r="K64" s="28"/>
      <c r="L64" s="28"/>
      <c r="M64" s="26" t="s">
        <v>5</v>
      </c>
      <c r="N64" s="29" t="s">
        <v>6</v>
      </c>
      <c r="O64" s="26"/>
      <c r="P64" s="26"/>
      <c r="Q64" s="26"/>
      <c r="R64" s="26"/>
      <c r="S64" s="26"/>
      <c r="T64" s="30">
        <v>2010</v>
      </c>
      <c r="U64" s="30">
        <f>T64+1</f>
        <v>2011</v>
      </c>
      <c r="V64" s="30">
        <f>U64+1</f>
        <v>2012</v>
      </c>
      <c r="W64" s="30">
        <v>2002</v>
      </c>
      <c r="X64" s="30">
        <v>2003</v>
      </c>
      <c r="Y64" s="30">
        <v>2004</v>
      </c>
    </row>
    <row r="65" spans="1:25" s="31" customFormat="1" ht="15.75" customHeight="1">
      <c r="A65" s="32" t="s">
        <v>23</v>
      </c>
      <c r="B65" s="118" t="s">
        <v>24</v>
      </c>
      <c r="C65" s="119"/>
      <c r="D65" s="120"/>
      <c r="E65" s="121"/>
      <c r="F65" s="51"/>
      <c r="G65" s="51"/>
      <c r="H65" s="51"/>
      <c r="I65" s="122"/>
      <c r="J65" s="122"/>
      <c r="K65" s="122"/>
      <c r="L65" s="122"/>
      <c r="M65" s="122"/>
      <c r="N65" s="53"/>
      <c r="O65" s="123"/>
      <c r="P65" s="123"/>
      <c r="Q65" s="123"/>
      <c r="R65" s="123"/>
      <c r="S65" s="123"/>
      <c r="T65" s="124"/>
      <c r="U65" s="124"/>
      <c r="V65" s="124"/>
      <c r="W65" s="124"/>
      <c r="X65" s="124"/>
      <c r="Y65" s="124"/>
    </row>
    <row r="66" spans="1:25" s="56" customFormat="1" ht="15.75" customHeight="1">
      <c r="A66" s="44"/>
      <c r="B66" s="45"/>
      <c r="C66" s="46"/>
      <c r="D66" s="47"/>
      <c r="E66" s="125"/>
      <c r="F66" s="53"/>
      <c r="G66" s="53"/>
      <c r="H66" s="53"/>
      <c r="I66" s="53"/>
      <c r="J66" s="53"/>
      <c r="K66" s="53"/>
      <c r="L66" s="53"/>
      <c r="M66" s="53"/>
      <c r="N66" s="53"/>
      <c r="O66" s="51"/>
      <c r="P66" s="51"/>
      <c r="Q66" s="51"/>
      <c r="R66" s="51"/>
      <c r="S66" s="51"/>
      <c r="T66" s="126"/>
      <c r="U66" s="126"/>
      <c r="V66" s="126"/>
      <c r="W66" s="126"/>
      <c r="X66" s="126"/>
      <c r="Y66" s="126"/>
    </row>
    <row r="67" spans="1:25" s="31" customFormat="1" ht="18.75" customHeight="1">
      <c r="A67" s="57" t="s">
        <v>25</v>
      </c>
      <c r="B67" s="91"/>
      <c r="C67" s="92"/>
      <c r="D67" s="93"/>
      <c r="E67" s="127"/>
      <c r="F67" s="37"/>
      <c r="G67" s="37"/>
      <c r="H67" s="37"/>
      <c r="I67" s="37"/>
      <c r="J67" s="37"/>
      <c r="K67" s="37"/>
      <c r="L67" s="37"/>
      <c r="M67" s="37"/>
      <c r="N67" s="38"/>
      <c r="O67" s="98"/>
      <c r="P67" s="98"/>
      <c r="Q67" s="98"/>
      <c r="R67" s="98"/>
      <c r="S67" s="98"/>
      <c r="T67" s="197">
        <f aca="true" t="shared" si="5" ref="T67:Y67">SUM(T68:T80)</f>
        <v>855034.9199999999</v>
      </c>
      <c r="U67" s="197">
        <f t="shared" si="5"/>
        <v>893585.2692000001</v>
      </c>
      <c r="V67" s="197">
        <f t="shared" si="5"/>
        <v>902521.1218920001</v>
      </c>
      <c r="W67" s="128">
        <f t="shared" si="5"/>
        <v>5844497534</v>
      </c>
      <c r="X67" s="128">
        <f t="shared" si="5"/>
        <v>5949698489.6119995</v>
      </c>
      <c r="Y67" s="128">
        <f t="shared" si="5"/>
        <v>6169634083.968509</v>
      </c>
    </row>
    <row r="68" spans="1:25" s="31" customFormat="1" ht="19.5" customHeight="1">
      <c r="A68" s="41"/>
      <c r="B68" s="64" t="s">
        <v>106</v>
      </c>
      <c r="C68" s="63" t="s">
        <v>89</v>
      </c>
      <c r="D68" s="63"/>
      <c r="E68" s="129">
        <v>455000000</v>
      </c>
      <c r="F68" s="130"/>
      <c r="G68" s="60"/>
      <c r="H68" s="130"/>
      <c r="I68" s="130"/>
      <c r="J68" s="130"/>
      <c r="K68" s="130"/>
      <c r="L68" s="130"/>
      <c r="M68" s="130"/>
      <c r="N68" s="60">
        <v>3150000</v>
      </c>
      <c r="O68" s="130"/>
      <c r="P68" s="130"/>
      <c r="Q68" s="130"/>
      <c r="R68" s="130"/>
      <c r="S68" s="130"/>
      <c r="T68" s="218">
        <v>315911.76</v>
      </c>
      <c r="U68" s="196">
        <f>T68*1.01+15000</f>
        <v>334070.8776</v>
      </c>
      <c r="V68" s="196">
        <f>U68*1.01+5000</f>
        <v>342411.586376</v>
      </c>
      <c r="W68" s="77">
        <f>395600000-95600000</f>
        <v>300000000</v>
      </c>
      <c r="X68" s="77">
        <f aca="true" t="shared" si="6" ref="X68:Y84">W68*1.018</f>
        <v>305400000</v>
      </c>
      <c r="Y68" s="77">
        <f t="shared" si="6"/>
        <v>310897200</v>
      </c>
    </row>
    <row r="69" spans="1:25" s="31" customFormat="1" ht="19.5" customHeight="1">
      <c r="A69" s="41"/>
      <c r="B69" s="64" t="s">
        <v>106</v>
      </c>
      <c r="C69" s="63" t="s">
        <v>90</v>
      </c>
      <c r="D69" s="63"/>
      <c r="E69" s="87">
        <v>405000000</v>
      </c>
      <c r="F69" s="83"/>
      <c r="G69" s="83">
        <v>3000000</v>
      </c>
      <c r="H69" s="83">
        <v>1000000</v>
      </c>
      <c r="I69" s="83"/>
      <c r="J69" s="83"/>
      <c r="K69" s="83"/>
      <c r="L69" s="83">
        <v>2000000</v>
      </c>
      <c r="M69" s="83"/>
      <c r="N69" s="131"/>
      <c r="O69" s="132"/>
      <c r="P69" s="132"/>
      <c r="Q69" s="132"/>
      <c r="R69" s="132"/>
      <c r="S69" s="132"/>
      <c r="T69" s="218">
        <v>144050.16</v>
      </c>
      <c r="U69" s="196">
        <f>T69*1.01+15000</f>
        <v>160490.6616</v>
      </c>
      <c r="V69" s="196">
        <f>U69*1.01+5000</f>
        <v>167095.56821599999</v>
      </c>
      <c r="W69" s="77">
        <v>148406747</v>
      </c>
      <c r="X69" s="77">
        <f t="shared" si="6"/>
        <v>151078068.446</v>
      </c>
      <c r="Y69" s="77">
        <f t="shared" si="6"/>
        <v>153797473.67802802</v>
      </c>
    </row>
    <row r="70" spans="1:25" s="31" customFormat="1" ht="18" customHeight="1">
      <c r="A70" s="41"/>
      <c r="B70" s="64" t="s">
        <v>106</v>
      </c>
      <c r="C70" s="63" t="s">
        <v>85</v>
      </c>
      <c r="D70" s="63"/>
      <c r="E70" s="87">
        <v>17000000</v>
      </c>
      <c r="F70" s="83"/>
      <c r="G70" s="83">
        <v>17400000</v>
      </c>
      <c r="H70" s="83"/>
      <c r="I70" s="83"/>
      <c r="J70" s="83"/>
      <c r="K70" s="83"/>
      <c r="L70" s="83"/>
      <c r="M70" s="83"/>
      <c r="N70" s="131"/>
      <c r="O70" s="68"/>
      <c r="P70" s="68"/>
      <c r="Q70" s="68"/>
      <c r="R70" s="68"/>
      <c r="S70" s="68"/>
      <c r="T70" s="218">
        <v>22326.52</v>
      </c>
      <c r="U70" s="196">
        <f aca="true" t="shared" si="7" ref="U70:U80">T70*1.01</f>
        <v>22549.785200000002</v>
      </c>
      <c r="V70" s="196">
        <f aca="true" t="shared" si="8" ref="V70:V80">U70*1.01</f>
        <v>22775.283052000002</v>
      </c>
      <c r="W70" s="77">
        <v>1958811</v>
      </c>
      <c r="X70" s="77">
        <f t="shared" si="6"/>
        <v>1994069.598</v>
      </c>
      <c r="Y70" s="77">
        <f t="shared" si="6"/>
        <v>2029962.850764</v>
      </c>
    </row>
    <row r="71" spans="1:25" s="31" customFormat="1" ht="18" customHeight="1">
      <c r="A71" s="41"/>
      <c r="B71" s="64" t="s">
        <v>106</v>
      </c>
      <c r="C71" s="74" t="s">
        <v>104</v>
      </c>
      <c r="D71" s="63"/>
      <c r="E71" s="133"/>
      <c r="F71" s="134"/>
      <c r="G71" s="83"/>
      <c r="H71" s="83"/>
      <c r="I71" s="83"/>
      <c r="J71" s="83"/>
      <c r="K71" s="83"/>
      <c r="L71" s="83"/>
      <c r="M71" s="83"/>
      <c r="N71" s="131"/>
      <c r="O71" s="68"/>
      <c r="P71" s="68"/>
      <c r="Q71" s="68"/>
      <c r="R71" s="68"/>
      <c r="S71" s="68"/>
      <c r="T71" s="218">
        <v>243279.8</v>
      </c>
      <c r="U71" s="196">
        <f t="shared" si="7"/>
        <v>245712.598</v>
      </c>
      <c r="V71" s="196">
        <f t="shared" si="8"/>
        <v>248169.72398</v>
      </c>
      <c r="W71" s="77">
        <f>157445327+1720000000+2561000000+300000000+300000000</f>
        <v>5038445327</v>
      </c>
      <c r="X71" s="70">
        <f>W71*1.018</f>
        <v>5129137342.886</v>
      </c>
      <c r="Y71" s="70">
        <f>X71*1.04</f>
        <v>5334302836.601439</v>
      </c>
    </row>
    <row r="72" spans="1:25" s="31" customFormat="1" ht="18" customHeight="1">
      <c r="A72" s="41"/>
      <c r="B72" s="64" t="s">
        <v>106</v>
      </c>
      <c r="C72" s="63" t="s">
        <v>86</v>
      </c>
      <c r="D72" s="63"/>
      <c r="E72" s="135"/>
      <c r="F72" s="134"/>
      <c r="G72" s="83"/>
      <c r="H72" s="83"/>
      <c r="I72" s="83"/>
      <c r="J72" s="83"/>
      <c r="K72" s="83"/>
      <c r="L72" s="83"/>
      <c r="M72" s="83"/>
      <c r="N72" s="131"/>
      <c r="O72" s="68"/>
      <c r="P72" s="68"/>
      <c r="Q72" s="68"/>
      <c r="R72" s="68"/>
      <c r="S72" s="68"/>
      <c r="T72" s="218">
        <v>4256.64</v>
      </c>
      <c r="U72" s="196">
        <f t="shared" si="7"/>
        <v>4299.2064</v>
      </c>
      <c r="V72" s="196">
        <f t="shared" si="8"/>
        <v>4342.198464</v>
      </c>
      <c r="W72" s="77"/>
      <c r="X72" s="70"/>
      <c r="Y72" s="70"/>
    </row>
    <row r="73" spans="1:25" s="31" customFormat="1" ht="18" customHeight="1">
      <c r="A73" s="41"/>
      <c r="B73" s="64" t="s">
        <v>106</v>
      </c>
      <c r="C73" s="64" t="s">
        <v>87</v>
      </c>
      <c r="D73" s="63"/>
      <c r="E73" s="87">
        <v>7500000</v>
      </c>
      <c r="F73" s="83">
        <v>3150000</v>
      </c>
      <c r="G73" s="83">
        <v>2500000</v>
      </c>
      <c r="H73" s="83">
        <v>500000</v>
      </c>
      <c r="I73" s="83">
        <v>500000</v>
      </c>
      <c r="J73" s="83">
        <v>500000</v>
      </c>
      <c r="K73" s="83">
        <v>1000000</v>
      </c>
      <c r="L73" s="83">
        <v>500000</v>
      </c>
      <c r="M73" s="83">
        <v>1500000</v>
      </c>
      <c r="N73" s="131">
        <v>4000000</v>
      </c>
      <c r="O73" s="68">
        <v>500000</v>
      </c>
      <c r="P73" s="68">
        <v>500000</v>
      </c>
      <c r="Q73" s="68"/>
      <c r="R73" s="68"/>
      <c r="S73" s="68"/>
      <c r="T73" s="218">
        <v>4736.34</v>
      </c>
      <c r="U73" s="196">
        <f t="shared" si="7"/>
        <v>4783.7034</v>
      </c>
      <c r="V73" s="196">
        <f t="shared" si="8"/>
        <v>4831.5404340000005</v>
      </c>
      <c r="W73" s="77">
        <f>30762221+7500000+7404989+2575015+360000+1962591+1556943+3000000+4579332+500000-3000000</f>
        <v>57201091</v>
      </c>
      <c r="X73" s="77">
        <f t="shared" si="6"/>
        <v>58230710.638000004</v>
      </c>
      <c r="Y73" s="77">
        <f t="shared" si="6"/>
        <v>59278863.429484</v>
      </c>
    </row>
    <row r="74" spans="1:25" s="31" customFormat="1" ht="18.75" customHeight="1">
      <c r="A74" s="41"/>
      <c r="B74" s="64" t="s">
        <v>106</v>
      </c>
      <c r="C74" s="64" t="s">
        <v>119</v>
      </c>
      <c r="D74" s="63"/>
      <c r="E74" s="87"/>
      <c r="F74" s="83"/>
      <c r="G74" s="83"/>
      <c r="H74" s="83"/>
      <c r="I74" s="83"/>
      <c r="J74" s="83"/>
      <c r="K74" s="83"/>
      <c r="L74" s="83"/>
      <c r="M74" s="83"/>
      <c r="N74" s="131"/>
      <c r="O74" s="68"/>
      <c r="P74" s="68"/>
      <c r="Q74" s="68"/>
      <c r="R74" s="68"/>
      <c r="S74" s="68">
        <v>40000000</v>
      </c>
      <c r="T74" s="218">
        <v>32839.22</v>
      </c>
      <c r="U74" s="196">
        <f t="shared" si="7"/>
        <v>33167.6122</v>
      </c>
      <c r="V74" s="196">
        <f t="shared" si="8"/>
        <v>33499.288322</v>
      </c>
      <c r="W74" s="77">
        <f>56937127+4000000+800000+1000000+2000000+1000000+1000000+500000+25000000-16500000</f>
        <v>75737127</v>
      </c>
      <c r="X74" s="77">
        <f t="shared" si="6"/>
        <v>77100395.286</v>
      </c>
      <c r="Y74" s="77">
        <f t="shared" si="6"/>
        <v>78488202.401148</v>
      </c>
    </row>
    <row r="75" spans="1:25" s="31" customFormat="1" ht="18" customHeight="1">
      <c r="A75" s="41"/>
      <c r="B75" s="64" t="s">
        <v>106</v>
      </c>
      <c r="C75" s="64" t="s">
        <v>105</v>
      </c>
      <c r="D75" s="63"/>
      <c r="E75" s="87">
        <v>2100000</v>
      </c>
      <c r="F75" s="136">
        <v>11500000</v>
      </c>
      <c r="G75" s="83">
        <v>2100000</v>
      </c>
      <c r="H75" s="83"/>
      <c r="I75" s="83"/>
      <c r="J75" s="83"/>
      <c r="K75" s="83">
        <v>12500000</v>
      </c>
      <c r="L75" s="83">
        <v>1050000</v>
      </c>
      <c r="M75" s="83">
        <v>500000</v>
      </c>
      <c r="N75" s="131"/>
      <c r="O75" s="68"/>
      <c r="P75" s="68"/>
      <c r="Q75" s="68"/>
      <c r="R75" s="68"/>
      <c r="S75" s="68"/>
      <c r="T75" s="218">
        <v>6380</v>
      </c>
      <c r="U75" s="196">
        <f t="shared" si="7"/>
        <v>6443.8</v>
      </c>
      <c r="V75" s="196">
        <f t="shared" si="8"/>
        <v>6508.238</v>
      </c>
      <c r="W75" s="77">
        <f>652692+181868+45000+75000+450000+350000+211885+4442149-211885</f>
        <v>6196709</v>
      </c>
      <c r="X75" s="77">
        <f t="shared" si="6"/>
        <v>6308249.762</v>
      </c>
      <c r="Y75" s="77">
        <f t="shared" si="6"/>
        <v>6421798.257716</v>
      </c>
    </row>
    <row r="76" spans="1:25" s="31" customFormat="1" ht="17.25" customHeight="1">
      <c r="A76" s="41"/>
      <c r="B76" s="58" t="s">
        <v>106</v>
      </c>
      <c r="C76" s="64" t="s">
        <v>88</v>
      </c>
      <c r="D76" s="63"/>
      <c r="E76" s="87"/>
      <c r="F76" s="136"/>
      <c r="G76" s="83"/>
      <c r="H76" s="83"/>
      <c r="I76" s="83"/>
      <c r="J76" s="83"/>
      <c r="K76" s="83"/>
      <c r="L76" s="83"/>
      <c r="M76" s="83"/>
      <c r="N76" s="131"/>
      <c r="O76" s="68"/>
      <c r="P76" s="68"/>
      <c r="Q76" s="68"/>
      <c r="R76" s="68"/>
      <c r="S76" s="68"/>
      <c r="T76" s="218">
        <v>15522.88</v>
      </c>
      <c r="U76" s="196">
        <f t="shared" si="7"/>
        <v>15678.1088</v>
      </c>
      <c r="V76" s="196">
        <f t="shared" si="8"/>
        <v>15834.889888</v>
      </c>
      <c r="W76" s="77"/>
      <c r="X76" s="77"/>
      <c r="Y76" s="77"/>
    </row>
    <row r="77" spans="1:25" s="31" customFormat="1" ht="18" customHeight="1">
      <c r="A77" s="41"/>
      <c r="B77" s="64" t="s">
        <v>106</v>
      </c>
      <c r="C77" s="199" t="s">
        <v>123</v>
      </c>
      <c r="D77" s="63"/>
      <c r="E77" s="87">
        <v>210000000</v>
      </c>
      <c r="F77" s="83">
        <v>3000000</v>
      </c>
      <c r="G77" s="83"/>
      <c r="H77" s="83">
        <v>8000000</v>
      </c>
      <c r="I77" s="83"/>
      <c r="J77" s="83"/>
      <c r="K77" s="83"/>
      <c r="L77" s="83"/>
      <c r="M77" s="83">
        <v>8000000</v>
      </c>
      <c r="N77" s="131"/>
      <c r="O77" s="68"/>
      <c r="P77" s="68"/>
      <c r="Q77" s="68"/>
      <c r="R77" s="68"/>
      <c r="S77" s="68"/>
      <c r="T77" s="218">
        <v>47731.6</v>
      </c>
      <c r="U77" s="196">
        <f t="shared" si="7"/>
        <v>48208.916</v>
      </c>
      <c r="V77" s="196">
        <f>U77*1.01-10000</f>
        <v>38691.00516</v>
      </c>
      <c r="W77" s="77">
        <v>24189162</v>
      </c>
      <c r="X77" s="77">
        <f t="shared" si="6"/>
        <v>24624566.916</v>
      </c>
      <c r="Y77" s="77">
        <f t="shared" si="6"/>
        <v>25067809.120488003</v>
      </c>
    </row>
    <row r="78" spans="1:25" s="31" customFormat="1" ht="18" customHeight="1">
      <c r="A78" s="41"/>
      <c r="B78" s="64" t="s">
        <v>106</v>
      </c>
      <c r="C78" s="199" t="s">
        <v>102</v>
      </c>
      <c r="D78" s="63"/>
      <c r="E78" s="87"/>
      <c r="F78" s="83"/>
      <c r="G78" s="83"/>
      <c r="H78" s="83"/>
      <c r="I78" s="83"/>
      <c r="J78" s="83"/>
      <c r="K78" s="83"/>
      <c r="L78" s="83"/>
      <c r="M78" s="83"/>
      <c r="N78" s="131"/>
      <c r="O78" s="68"/>
      <c r="P78" s="68"/>
      <c r="Q78" s="68"/>
      <c r="R78" s="68"/>
      <c r="S78" s="68"/>
      <c r="T78" s="218">
        <v>500</v>
      </c>
      <c r="U78" s="196">
        <f t="shared" si="7"/>
        <v>505</v>
      </c>
      <c r="V78" s="196">
        <f t="shared" si="8"/>
        <v>510.05</v>
      </c>
      <c r="W78" s="77"/>
      <c r="X78" s="77"/>
      <c r="Y78" s="77"/>
    </row>
    <row r="79" spans="1:25" s="31" customFormat="1" ht="18" customHeight="1">
      <c r="A79" s="41"/>
      <c r="B79" s="64" t="s">
        <v>106</v>
      </c>
      <c r="C79" s="63" t="s">
        <v>122</v>
      </c>
      <c r="D79" s="63"/>
      <c r="E79" s="87"/>
      <c r="F79" s="83"/>
      <c r="G79" s="83"/>
      <c r="H79" s="83"/>
      <c r="I79" s="83"/>
      <c r="J79" s="83"/>
      <c r="K79" s="83"/>
      <c r="L79" s="83"/>
      <c r="M79" s="83"/>
      <c r="N79" s="131"/>
      <c r="O79" s="68"/>
      <c r="P79" s="68"/>
      <c r="Q79" s="68"/>
      <c r="R79" s="68"/>
      <c r="S79" s="68"/>
      <c r="T79" s="218">
        <v>4500</v>
      </c>
      <c r="U79" s="196">
        <f t="shared" si="7"/>
        <v>4545</v>
      </c>
      <c r="V79" s="196">
        <f t="shared" si="8"/>
        <v>4590.45</v>
      </c>
      <c r="W79" s="77"/>
      <c r="X79" s="77"/>
      <c r="Y79" s="77"/>
    </row>
    <row r="80" spans="1:25" s="31" customFormat="1" ht="18" customHeight="1">
      <c r="A80" s="41"/>
      <c r="B80" s="64" t="s">
        <v>106</v>
      </c>
      <c r="C80" s="74" t="s">
        <v>107</v>
      </c>
      <c r="D80" s="63"/>
      <c r="E80" s="87">
        <v>15000000</v>
      </c>
      <c r="F80" s="83"/>
      <c r="G80" s="83"/>
      <c r="H80" s="83">
        <v>750000</v>
      </c>
      <c r="I80" s="136"/>
      <c r="J80" s="136"/>
      <c r="K80" s="83"/>
      <c r="L80" s="83"/>
      <c r="M80" s="83"/>
      <c r="N80" s="131"/>
      <c r="O80" s="68"/>
      <c r="P80" s="68"/>
      <c r="Q80" s="68"/>
      <c r="R80" s="68"/>
      <c r="S80" s="68"/>
      <c r="T80" s="218">
        <v>13000</v>
      </c>
      <c r="U80" s="196">
        <f t="shared" si="7"/>
        <v>13130</v>
      </c>
      <c r="V80" s="196">
        <f t="shared" si="8"/>
        <v>13261.3</v>
      </c>
      <c r="W80" s="77">
        <v>192362560</v>
      </c>
      <c r="X80" s="77">
        <f t="shared" si="6"/>
        <v>195825086.08</v>
      </c>
      <c r="Y80" s="77">
        <f t="shared" si="6"/>
        <v>199349937.62944</v>
      </c>
    </row>
    <row r="81" spans="1:25" s="31" customFormat="1" ht="19.5" customHeight="1">
      <c r="A81" s="57" t="s">
        <v>26</v>
      </c>
      <c r="B81" s="137"/>
      <c r="C81" s="138"/>
      <c r="D81" s="139"/>
      <c r="E81" s="87">
        <v>35000000</v>
      </c>
      <c r="F81" s="83">
        <v>500000</v>
      </c>
      <c r="G81" s="83">
        <v>2750000</v>
      </c>
      <c r="H81" s="83">
        <v>4500000</v>
      </c>
      <c r="I81" s="83">
        <v>3885000</v>
      </c>
      <c r="J81" s="82">
        <v>3000000</v>
      </c>
      <c r="K81" s="83"/>
      <c r="L81" s="83"/>
      <c r="M81" s="83">
        <v>4000000</v>
      </c>
      <c r="N81" s="131">
        <v>9000000</v>
      </c>
      <c r="O81" s="68"/>
      <c r="P81" s="68">
        <v>2900000</v>
      </c>
      <c r="Q81" s="68"/>
      <c r="R81" s="68"/>
      <c r="S81" s="68"/>
      <c r="T81" s="197">
        <f aca="true" t="shared" si="9" ref="T81:Y81">SUM(T82:T96)</f>
        <v>4144190.6499999994</v>
      </c>
      <c r="U81" s="197">
        <f t="shared" si="9"/>
        <v>4097718.5796</v>
      </c>
      <c r="V81" s="197">
        <f t="shared" si="9"/>
        <v>4185841.800196001</v>
      </c>
      <c r="W81" s="128">
        <f t="shared" si="9"/>
        <v>542137580</v>
      </c>
      <c r="X81" s="128">
        <f t="shared" si="9"/>
        <v>551896056.4399999</v>
      </c>
      <c r="Y81" s="128">
        <f t="shared" si="9"/>
        <v>561830185.45592</v>
      </c>
    </row>
    <row r="82" spans="1:25" s="31" customFormat="1" ht="18" customHeight="1">
      <c r="A82" s="41"/>
      <c r="B82" s="64" t="s">
        <v>106</v>
      </c>
      <c r="C82" s="63" t="s">
        <v>89</v>
      </c>
      <c r="D82" s="63"/>
      <c r="E82" s="140">
        <v>200000</v>
      </c>
      <c r="F82" s="83">
        <v>200000</v>
      </c>
      <c r="G82" s="83">
        <v>200000</v>
      </c>
      <c r="H82" s="83">
        <v>200000</v>
      </c>
      <c r="I82" s="83">
        <v>200000</v>
      </c>
      <c r="J82" s="83">
        <v>200000</v>
      </c>
      <c r="K82" s="83">
        <v>200000</v>
      </c>
      <c r="L82" s="83">
        <v>200000</v>
      </c>
      <c r="M82" s="83">
        <v>200000</v>
      </c>
      <c r="N82" s="131">
        <v>200000</v>
      </c>
      <c r="O82" s="60">
        <v>200000</v>
      </c>
      <c r="P82" s="68">
        <v>200000</v>
      </c>
      <c r="Q82" s="68"/>
      <c r="R82" s="68"/>
      <c r="S82" s="68"/>
      <c r="T82" s="218">
        <v>1658972.06</v>
      </c>
      <c r="U82" s="196">
        <f>T82+4747.39</f>
        <v>1663719.45</v>
      </c>
      <c r="V82" s="196">
        <f>U82+44000</f>
        <v>1707719.45</v>
      </c>
      <c r="W82" s="77">
        <f>1130057+4138834+3500000-3500000</f>
        <v>5268891</v>
      </c>
      <c r="X82" s="77">
        <f t="shared" si="6"/>
        <v>5363731.038</v>
      </c>
      <c r="Y82" s="77">
        <f t="shared" si="6"/>
        <v>5460278.196684</v>
      </c>
    </row>
    <row r="83" spans="1:25" s="31" customFormat="1" ht="16.5" customHeight="1">
      <c r="A83" s="41"/>
      <c r="B83" s="64" t="s">
        <v>106</v>
      </c>
      <c r="C83" s="63" t="s">
        <v>90</v>
      </c>
      <c r="D83" s="85"/>
      <c r="E83" s="81">
        <v>88000000</v>
      </c>
      <c r="F83" s="141"/>
      <c r="G83" s="82">
        <v>4200000</v>
      </c>
      <c r="H83" s="83">
        <v>5000000</v>
      </c>
      <c r="I83" s="82">
        <v>1000000</v>
      </c>
      <c r="J83" s="82">
        <v>1000000</v>
      </c>
      <c r="K83" s="82"/>
      <c r="L83" s="82"/>
      <c r="M83" s="142">
        <v>40000000</v>
      </c>
      <c r="N83" s="143">
        <v>30000000</v>
      </c>
      <c r="O83" s="67"/>
      <c r="P83" s="68">
        <v>27000000</v>
      </c>
      <c r="Q83" s="68"/>
      <c r="R83" s="68"/>
      <c r="S83" s="68"/>
      <c r="T83" s="218">
        <v>999718</v>
      </c>
      <c r="U83" s="196">
        <f>T83+30000</f>
        <v>1029718</v>
      </c>
      <c r="V83" s="196">
        <f>U83+40050.95</f>
        <v>1069768.95</v>
      </c>
      <c r="W83" s="77">
        <v>117278194</v>
      </c>
      <c r="X83" s="77">
        <f t="shared" si="6"/>
        <v>119389201.492</v>
      </c>
      <c r="Y83" s="77">
        <f t="shared" si="6"/>
        <v>121538207.118856</v>
      </c>
    </row>
    <row r="84" spans="1:25" s="31" customFormat="1" ht="18" customHeight="1">
      <c r="A84" s="41"/>
      <c r="B84" s="64" t="s">
        <v>106</v>
      </c>
      <c r="C84" s="63" t="s">
        <v>85</v>
      </c>
      <c r="D84" s="63"/>
      <c r="E84" s="140">
        <v>25000000</v>
      </c>
      <c r="F84" s="83">
        <v>500000</v>
      </c>
      <c r="G84" s="83">
        <v>800000</v>
      </c>
      <c r="H84" s="83">
        <v>1800000</v>
      </c>
      <c r="I84" s="83">
        <v>350000</v>
      </c>
      <c r="J84" s="136">
        <v>1000000</v>
      </c>
      <c r="K84" s="83"/>
      <c r="L84" s="83"/>
      <c r="M84" s="83">
        <v>1000000</v>
      </c>
      <c r="N84" s="131">
        <v>500000</v>
      </c>
      <c r="O84" s="60"/>
      <c r="P84" s="68">
        <v>800000</v>
      </c>
      <c r="Q84" s="68"/>
      <c r="R84" s="68"/>
      <c r="S84" s="68"/>
      <c r="T84" s="218">
        <v>25000.83</v>
      </c>
      <c r="U84" s="196">
        <f aca="true" t="shared" si="10" ref="U84:V86">T84*1.01</f>
        <v>25250.838300000003</v>
      </c>
      <c r="V84" s="196">
        <f t="shared" si="10"/>
        <v>25503.346683000003</v>
      </c>
      <c r="W84" s="77">
        <v>97028419</v>
      </c>
      <c r="X84" s="77">
        <f t="shared" si="6"/>
        <v>98774930.542</v>
      </c>
      <c r="Y84" s="77">
        <f t="shared" si="6"/>
        <v>100552879.291756</v>
      </c>
    </row>
    <row r="85" spans="1:25" s="31" customFormat="1" ht="18" customHeight="1">
      <c r="A85" s="41"/>
      <c r="B85" s="64" t="s">
        <v>106</v>
      </c>
      <c r="C85" s="74" t="s">
        <v>104</v>
      </c>
      <c r="D85" s="63"/>
      <c r="E85" s="140"/>
      <c r="F85" s="83"/>
      <c r="G85" s="83"/>
      <c r="H85" s="83"/>
      <c r="I85" s="83"/>
      <c r="J85" s="136"/>
      <c r="K85" s="83"/>
      <c r="L85" s="83"/>
      <c r="M85" s="83"/>
      <c r="N85" s="131"/>
      <c r="O85" s="63"/>
      <c r="P85" s="63"/>
      <c r="Q85" s="63"/>
      <c r="R85" s="63"/>
      <c r="S85" s="63"/>
      <c r="T85" s="218">
        <v>48629.78</v>
      </c>
      <c r="U85" s="196">
        <f t="shared" si="10"/>
        <v>49116.0778</v>
      </c>
      <c r="V85" s="196">
        <f t="shared" si="10"/>
        <v>49607.238578</v>
      </c>
      <c r="W85" s="77"/>
      <c r="X85" s="77"/>
      <c r="Y85" s="77"/>
    </row>
    <row r="86" spans="1:25" s="31" customFormat="1" ht="18" customHeight="1">
      <c r="A86" s="41"/>
      <c r="B86" s="64" t="s">
        <v>106</v>
      </c>
      <c r="C86" s="63" t="s">
        <v>86</v>
      </c>
      <c r="D86" s="63"/>
      <c r="E86" s="140">
        <f>32744250+3000000</f>
        <v>35744250</v>
      </c>
      <c r="F86" s="83">
        <v>4851000</v>
      </c>
      <c r="G86" s="83">
        <v>2182950</v>
      </c>
      <c r="H86" s="83">
        <v>2129400</v>
      </c>
      <c r="I86" s="83">
        <v>10914750</v>
      </c>
      <c r="J86" s="83">
        <v>14553000</v>
      </c>
      <c r="K86" s="83">
        <v>727650</v>
      </c>
      <c r="L86" s="83">
        <v>693000</v>
      </c>
      <c r="M86" s="83">
        <v>2079000</v>
      </c>
      <c r="N86" s="131">
        <v>1000000</v>
      </c>
      <c r="O86" s="131">
        <v>1000000</v>
      </c>
      <c r="P86" s="131">
        <v>1000000</v>
      </c>
      <c r="Q86" s="131"/>
      <c r="R86" s="131"/>
      <c r="S86" s="131"/>
      <c r="T86" s="218">
        <v>488255.02</v>
      </c>
      <c r="U86" s="196">
        <f>T86-90000</f>
        <v>398255.02</v>
      </c>
      <c r="V86" s="196">
        <f t="shared" si="10"/>
        <v>402237.5702</v>
      </c>
      <c r="W86" s="77">
        <v>21480415</v>
      </c>
      <c r="X86" s="77">
        <f aca="true" t="shared" si="11" ref="X86:Y90">W86*1.018</f>
        <v>21867062.47</v>
      </c>
      <c r="Y86" s="77">
        <f t="shared" si="11"/>
        <v>22260669.59446</v>
      </c>
    </row>
    <row r="87" spans="1:25" s="31" customFormat="1" ht="18" customHeight="1">
      <c r="A87" s="41"/>
      <c r="B87" s="64" t="s">
        <v>106</v>
      </c>
      <c r="C87" s="64" t="s">
        <v>87</v>
      </c>
      <c r="D87" s="144"/>
      <c r="E87" s="87">
        <f>25573000-2200000</f>
        <v>23373000</v>
      </c>
      <c r="F87" s="83">
        <v>4350000</v>
      </c>
      <c r="G87" s="83">
        <v>1750000</v>
      </c>
      <c r="H87" s="83">
        <v>1975000</v>
      </c>
      <c r="I87" s="83">
        <f>8134000-3000000</f>
        <v>5134000</v>
      </c>
      <c r="J87" s="83">
        <f>11900000-3000000</f>
        <v>8900000</v>
      </c>
      <c r="K87" s="83">
        <v>592000</v>
      </c>
      <c r="L87" s="83">
        <v>590000</v>
      </c>
      <c r="M87" s="83">
        <v>1584000</v>
      </c>
      <c r="N87" s="83">
        <v>592000</v>
      </c>
      <c r="O87" s="83">
        <v>592000</v>
      </c>
      <c r="P87" s="83">
        <v>592000</v>
      </c>
      <c r="Q87" s="83"/>
      <c r="R87" s="83"/>
      <c r="S87" s="83"/>
      <c r="T87" s="218">
        <v>13466.13</v>
      </c>
      <c r="U87" s="196">
        <f>T87*1.01+2020.57</f>
        <v>15621.361299999999</v>
      </c>
      <c r="V87" s="196">
        <f>U87*1.01+2060.99</f>
        <v>17838.564913</v>
      </c>
      <c r="W87" s="77">
        <f>29343011+500000+1000000+334750+643750+953486</f>
        <v>32774997</v>
      </c>
      <c r="X87" s="77">
        <f t="shared" si="11"/>
        <v>33364946.946000002</v>
      </c>
      <c r="Y87" s="77">
        <f t="shared" si="11"/>
        <v>33965515.991028</v>
      </c>
    </row>
    <row r="88" spans="1:25" s="31" customFormat="1" ht="18" customHeight="1">
      <c r="A88" s="41"/>
      <c r="B88" s="64" t="s">
        <v>106</v>
      </c>
      <c r="C88" s="64" t="s">
        <v>119</v>
      </c>
      <c r="D88" s="63"/>
      <c r="E88" s="87">
        <v>55000000</v>
      </c>
      <c r="F88" s="83">
        <v>2000000</v>
      </c>
      <c r="G88" s="83"/>
      <c r="H88" s="83"/>
      <c r="I88" s="83">
        <v>1500000</v>
      </c>
      <c r="J88" s="83">
        <v>1000000</v>
      </c>
      <c r="K88" s="83"/>
      <c r="L88" s="83"/>
      <c r="M88" s="83"/>
      <c r="N88" s="83"/>
      <c r="O88" s="83">
        <v>500000</v>
      </c>
      <c r="P88" s="83"/>
      <c r="Q88" s="83"/>
      <c r="R88" s="83"/>
      <c r="S88" s="83"/>
      <c r="T88" s="218">
        <v>118096.36</v>
      </c>
      <c r="U88" s="196">
        <f>T88</f>
        <v>118096.36</v>
      </c>
      <c r="V88" s="196">
        <f>U88*1.01</f>
        <v>119277.3236</v>
      </c>
      <c r="W88" s="77">
        <v>181458400</v>
      </c>
      <c r="X88" s="77">
        <f t="shared" si="11"/>
        <v>184724651.2</v>
      </c>
      <c r="Y88" s="77">
        <f t="shared" si="11"/>
        <v>188049694.92159998</v>
      </c>
    </row>
    <row r="89" spans="1:25" s="31" customFormat="1" ht="18" customHeight="1">
      <c r="A89" s="41"/>
      <c r="B89" s="64" t="s">
        <v>106</v>
      </c>
      <c r="C89" s="64" t="s">
        <v>105</v>
      </c>
      <c r="D89" s="63"/>
      <c r="E89" s="145">
        <f>48800000+6600000+2200000</f>
        <v>57600000</v>
      </c>
      <c r="F89" s="146">
        <v>2200000</v>
      </c>
      <c r="G89" s="146">
        <v>2200000</v>
      </c>
      <c r="H89" s="146">
        <v>2200000</v>
      </c>
      <c r="I89" s="147">
        <f>11350033-5000000</f>
        <v>6350033</v>
      </c>
      <c r="J89" s="148">
        <f>12430524-7000000</f>
        <v>5430524</v>
      </c>
      <c r="K89" s="83">
        <v>2200000</v>
      </c>
      <c r="L89" s="83"/>
      <c r="M89" s="83">
        <v>2200000</v>
      </c>
      <c r="N89" s="83">
        <v>2200000</v>
      </c>
      <c r="O89" s="83">
        <v>2200000</v>
      </c>
      <c r="P89" s="83">
        <v>2200000</v>
      </c>
      <c r="Q89" s="83"/>
      <c r="R89" s="83"/>
      <c r="S89" s="83"/>
      <c r="T89" s="218">
        <v>13533.82</v>
      </c>
      <c r="U89" s="196">
        <f>T89*1.01</f>
        <v>13669.1582</v>
      </c>
      <c r="V89" s="196">
        <f>U89*1.01</f>
        <v>13805.849782</v>
      </c>
      <c r="W89" s="77">
        <v>67692000</v>
      </c>
      <c r="X89" s="77">
        <f t="shared" si="11"/>
        <v>68910456</v>
      </c>
      <c r="Y89" s="77">
        <f t="shared" si="11"/>
        <v>70150844.208</v>
      </c>
    </row>
    <row r="90" spans="1:25" s="31" customFormat="1" ht="18" customHeight="1">
      <c r="A90" s="41"/>
      <c r="B90" s="58" t="s">
        <v>106</v>
      </c>
      <c r="C90" s="64" t="s">
        <v>88</v>
      </c>
      <c r="D90" s="63"/>
      <c r="E90" s="87">
        <f>(47250000-5000000)-1500000</f>
        <v>40750000</v>
      </c>
      <c r="F90" s="83"/>
      <c r="G90" s="83">
        <v>5000000</v>
      </c>
      <c r="H90" s="83"/>
      <c r="I90" s="83"/>
      <c r="J90" s="83"/>
      <c r="K90" s="83"/>
      <c r="L90" s="83"/>
      <c r="M90" s="83"/>
      <c r="N90" s="131"/>
      <c r="O90" s="60"/>
      <c r="P90" s="68">
        <v>1500000</v>
      </c>
      <c r="Q90" s="68"/>
      <c r="R90" s="68"/>
      <c r="S90" s="68"/>
      <c r="T90" s="218">
        <v>242401</v>
      </c>
      <c r="U90" s="196">
        <f>T90+3423.82</f>
        <v>245824.82</v>
      </c>
      <c r="V90" s="196">
        <f>U90+3458.05</f>
        <v>249282.87</v>
      </c>
      <c r="W90" s="77">
        <f>36806888+2349376-20000000</f>
        <v>19156264</v>
      </c>
      <c r="X90" s="77">
        <f t="shared" si="11"/>
        <v>19501076.752</v>
      </c>
      <c r="Y90" s="77">
        <f t="shared" si="11"/>
        <v>19852096.133536</v>
      </c>
    </row>
    <row r="91" spans="1:25" s="31" customFormat="1" ht="18" customHeight="1">
      <c r="A91" s="41"/>
      <c r="B91" s="64" t="s">
        <v>106</v>
      </c>
      <c r="C91" s="199" t="s">
        <v>123</v>
      </c>
      <c r="D91" s="63"/>
      <c r="E91" s="87"/>
      <c r="F91" s="83"/>
      <c r="G91" s="83"/>
      <c r="H91" s="83"/>
      <c r="I91" s="83"/>
      <c r="J91" s="83"/>
      <c r="K91" s="83"/>
      <c r="L91" s="83"/>
      <c r="M91" s="83"/>
      <c r="N91" s="131"/>
      <c r="O91" s="60"/>
      <c r="P91" s="68"/>
      <c r="Q91" s="68"/>
      <c r="R91" s="68"/>
      <c r="S91" s="68"/>
      <c r="T91" s="218">
        <v>45473</v>
      </c>
      <c r="U91" s="196">
        <f>T91*1.01</f>
        <v>45927.73</v>
      </c>
      <c r="V91" s="196">
        <f>U91*1.01-10000</f>
        <v>36387.007300000005</v>
      </c>
      <c r="W91" s="77"/>
      <c r="X91" s="77"/>
      <c r="Y91" s="77"/>
    </row>
    <row r="92" spans="1:25" s="31" customFormat="1" ht="18.75" customHeight="1">
      <c r="A92" s="41"/>
      <c r="B92" s="64" t="s">
        <v>106</v>
      </c>
      <c r="C92" s="199" t="s">
        <v>102</v>
      </c>
      <c r="D92" s="63"/>
      <c r="E92" s="87"/>
      <c r="F92" s="83"/>
      <c r="G92" s="83"/>
      <c r="H92" s="83"/>
      <c r="I92" s="83"/>
      <c r="J92" s="83"/>
      <c r="K92" s="83"/>
      <c r="L92" s="83"/>
      <c r="M92" s="83"/>
      <c r="N92" s="131"/>
      <c r="O92" s="60"/>
      <c r="P92" s="68"/>
      <c r="Q92" s="68"/>
      <c r="R92" s="68"/>
      <c r="S92" s="68"/>
      <c r="T92" s="218">
        <v>27000</v>
      </c>
      <c r="U92" s="196">
        <f>T92*1.01</f>
        <v>27270</v>
      </c>
      <c r="V92" s="196">
        <f>U92*1.01</f>
        <v>27542.7</v>
      </c>
      <c r="W92" s="77"/>
      <c r="X92" s="77"/>
      <c r="Y92" s="77"/>
    </row>
    <row r="93" spans="1:25" s="31" customFormat="1" ht="18" customHeight="1">
      <c r="A93" s="41"/>
      <c r="B93" s="64" t="s">
        <v>106</v>
      </c>
      <c r="C93" s="63" t="s">
        <v>122</v>
      </c>
      <c r="D93" s="63"/>
      <c r="E93" s="87"/>
      <c r="F93" s="83"/>
      <c r="G93" s="83"/>
      <c r="H93" s="83"/>
      <c r="I93" s="83"/>
      <c r="J93" s="83"/>
      <c r="K93" s="83"/>
      <c r="L93" s="83"/>
      <c r="M93" s="83"/>
      <c r="N93" s="131"/>
      <c r="O93" s="60"/>
      <c r="P93" s="68"/>
      <c r="Q93" s="68"/>
      <c r="R93" s="68"/>
      <c r="S93" s="68"/>
      <c r="T93" s="218">
        <v>183682.21</v>
      </c>
      <c r="U93" s="196">
        <f aca="true" t="shared" si="12" ref="U93:V95">T93</f>
        <v>183682.21</v>
      </c>
      <c r="V93" s="196">
        <f t="shared" si="12"/>
        <v>183682.21</v>
      </c>
      <c r="W93" s="77"/>
      <c r="X93" s="77"/>
      <c r="Y93" s="77"/>
    </row>
    <row r="94" spans="1:25" s="31" customFormat="1" ht="18" customHeight="1">
      <c r="A94" s="41"/>
      <c r="B94" s="64" t="s">
        <v>106</v>
      </c>
      <c r="C94" s="74" t="s">
        <v>108</v>
      </c>
      <c r="D94" s="63"/>
      <c r="E94" s="87"/>
      <c r="F94" s="83"/>
      <c r="G94" s="83"/>
      <c r="H94" s="83"/>
      <c r="I94" s="83"/>
      <c r="J94" s="83"/>
      <c r="K94" s="83"/>
      <c r="L94" s="83"/>
      <c r="M94" s="83"/>
      <c r="N94" s="131"/>
      <c r="O94" s="60"/>
      <c r="P94" s="68"/>
      <c r="Q94" s="68"/>
      <c r="R94" s="68"/>
      <c r="S94" s="68"/>
      <c r="T94" s="218">
        <v>88919.04</v>
      </c>
      <c r="U94" s="196">
        <f t="shared" si="12"/>
        <v>88919.04</v>
      </c>
      <c r="V94" s="196">
        <f t="shared" si="12"/>
        <v>88919.04</v>
      </c>
      <c r="W94" s="77"/>
      <c r="X94" s="77"/>
      <c r="Y94" s="77"/>
    </row>
    <row r="95" spans="1:25" s="31" customFormat="1" ht="18.75" customHeight="1">
      <c r="A95" s="41"/>
      <c r="B95" s="64" t="s">
        <v>106</v>
      </c>
      <c r="C95" s="74" t="s">
        <v>109</v>
      </c>
      <c r="D95" s="63"/>
      <c r="E95" s="87"/>
      <c r="F95" s="83"/>
      <c r="G95" s="83"/>
      <c r="H95" s="83"/>
      <c r="I95" s="83"/>
      <c r="J95" s="83"/>
      <c r="K95" s="83"/>
      <c r="L95" s="83"/>
      <c r="M95" s="83"/>
      <c r="N95" s="131"/>
      <c r="O95" s="60"/>
      <c r="P95" s="68"/>
      <c r="Q95" s="68"/>
      <c r="R95" s="68"/>
      <c r="S95" s="68"/>
      <c r="T95" s="218">
        <v>30532</v>
      </c>
      <c r="U95" s="196">
        <f t="shared" si="12"/>
        <v>30532</v>
      </c>
      <c r="V95" s="196">
        <f t="shared" si="12"/>
        <v>30532</v>
      </c>
      <c r="W95" s="77"/>
      <c r="X95" s="77"/>
      <c r="Y95" s="77"/>
    </row>
    <row r="96" spans="1:25" s="31" customFormat="1" ht="18" customHeight="1">
      <c r="A96" s="41"/>
      <c r="B96" s="64" t="s">
        <v>106</v>
      </c>
      <c r="C96" s="74" t="s">
        <v>107</v>
      </c>
      <c r="D96" s="63"/>
      <c r="E96" s="87"/>
      <c r="F96" s="83"/>
      <c r="G96" s="83"/>
      <c r="H96" s="83"/>
      <c r="I96" s="83"/>
      <c r="J96" s="83"/>
      <c r="K96" s="83"/>
      <c r="L96" s="83"/>
      <c r="M96" s="83"/>
      <c r="N96" s="131"/>
      <c r="O96" s="60"/>
      <c r="P96" s="68"/>
      <c r="Q96" s="68"/>
      <c r="R96" s="68"/>
      <c r="S96" s="68"/>
      <c r="T96" s="218">
        <v>160511.4</v>
      </c>
      <c r="U96" s="196">
        <f>T96*1.01</f>
        <v>162116.514</v>
      </c>
      <c r="V96" s="196">
        <f>U96*1.01</f>
        <v>163737.67914</v>
      </c>
      <c r="W96" s="77"/>
      <c r="X96" s="77"/>
      <c r="Y96" s="77"/>
    </row>
    <row r="97" spans="1:25" s="31" customFormat="1" ht="19.5" customHeight="1">
      <c r="A97" s="57" t="s">
        <v>27</v>
      </c>
      <c r="B97" s="137"/>
      <c r="C97" s="138"/>
      <c r="D97" s="139"/>
      <c r="E97" s="87"/>
      <c r="F97" s="83"/>
      <c r="G97" s="83"/>
      <c r="H97" s="83"/>
      <c r="I97" s="83"/>
      <c r="J97" s="83"/>
      <c r="K97" s="83"/>
      <c r="L97" s="83"/>
      <c r="M97" s="83"/>
      <c r="N97" s="131"/>
      <c r="O97" s="132"/>
      <c r="P97" s="67"/>
      <c r="Q97" s="67"/>
      <c r="R97" s="67"/>
      <c r="S97" s="63"/>
      <c r="T97" s="197">
        <f>SUM(T98:T101)</f>
        <v>41900</v>
      </c>
      <c r="U97" s="197">
        <f>SUM(U98:U101)</f>
        <v>42319.00000000001</v>
      </c>
      <c r="V97" s="197">
        <f>SUM(V98:V101)</f>
        <v>42742.19</v>
      </c>
      <c r="W97" s="128">
        <f>SUM(W98:W100)</f>
        <v>64321284</v>
      </c>
      <c r="X97" s="128">
        <f>SUM(X98:X100)</f>
        <v>65479067.112</v>
      </c>
      <c r="Y97" s="128">
        <f>SUM(Y98:Y100)</f>
        <v>66657690.320016004</v>
      </c>
    </row>
    <row r="98" spans="1:25" s="31" customFormat="1" ht="18.75" customHeight="1">
      <c r="A98" s="41"/>
      <c r="B98" s="64" t="s">
        <v>106</v>
      </c>
      <c r="C98" s="63" t="s">
        <v>89</v>
      </c>
      <c r="D98" s="63"/>
      <c r="E98" s="66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224">
        <v>13925</v>
      </c>
      <c r="U98" s="196">
        <f>T98*1.01</f>
        <v>14064.25</v>
      </c>
      <c r="V98" s="196">
        <f>U98*1.01</f>
        <v>14204.8925</v>
      </c>
      <c r="W98" s="77">
        <f>27234000+37087284</f>
        <v>64321284</v>
      </c>
      <c r="X98" s="77">
        <f aca="true" t="shared" si="13" ref="X98:Y105">W98*1.018</f>
        <v>65479067.112</v>
      </c>
      <c r="Y98" s="77">
        <f t="shared" si="13"/>
        <v>66657690.320016004</v>
      </c>
    </row>
    <row r="99" spans="1:25" s="31" customFormat="1" ht="18.75" customHeight="1">
      <c r="A99" s="41"/>
      <c r="B99" s="64" t="s">
        <v>106</v>
      </c>
      <c r="C99" s="63" t="s">
        <v>86</v>
      </c>
      <c r="D99" s="63"/>
      <c r="E99" s="66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224">
        <v>1100</v>
      </c>
      <c r="U99" s="196">
        <f aca="true" t="shared" si="14" ref="U99:V101">T99*1.01</f>
        <v>1111</v>
      </c>
      <c r="V99" s="196">
        <f t="shared" si="14"/>
        <v>1122.11</v>
      </c>
      <c r="W99" s="77"/>
      <c r="X99" s="77"/>
      <c r="Y99" s="77"/>
    </row>
    <row r="100" spans="1:25" s="31" customFormat="1" ht="18.75" customHeight="1">
      <c r="A100" s="41"/>
      <c r="B100" s="64" t="s">
        <v>106</v>
      </c>
      <c r="C100" s="64" t="s">
        <v>119</v>
      </c>
      <c r="D100" s="63"/>
      <c r="E100" s="66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224">
        <v>22799</v>
      </c>
      <c r="U100" s="196">
        <f t="shared" si="14"/>
        <v>23026.99</v>
      </c>
      <c r="V100" s="196">
        <f t="shared" si="14"/>
        <v>23257.2599</v>
      </c>
      <c r="W100" s="77"/>
      <c r="X100" s="77"/>
      <c r="Y100" s="77"/>
    </row>
    <row r="101" spans="1:25" s="31" customFormat="1" ht="18" customHeight="1">
      <c r="A101" s="41"/>
      <c r="B101" s="64" t="s">
        <v>106</v>
      </c>
      <c r="C101" s="63" t="s">
        <v>122</v>
      </c>
      <c r="D101" s="63"/>
      <c r="E101" s="66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224">
        <v>4076</v>
      </c>
      <c r="U101" s="196">
        <f t="shared" si="14"/>
        <v>4116.76</v>
      </c>
      <c r="V101" s="196">
        <f t="shared" si="14"/>
        <v>4157.9276</v>
      </c>
      <c r="W101" s="77"/>
      <c r="X101" s="77"/>
      <c r="Y101" s="77"/>
    </row>
    <row r="102" spans="1:25" s="31" customFormat="1" ht="21" customHeight="1">
      <c r="A102" s="57" t="s">
        <v>28</v>
      </c>
      <c r="B102" s="153"/>
      <c r="C102" s="154"/>
      <c r="D102" s="155"/>
      <c r="E102" s="66">
        <v>8544450</v>
      </c>
      <c r="F102" s="79">
        <f>8080000-1150000</f>
        <v>6930000</v>
      </c>
      <c r="G102" s="67">
        <v>1150000</v>
      </c>
      <c r="H102" s="67"/>
      <c r="I102" s="67">
        <v>500000</v>
      </c>
      <c r="J102" s="67">
        <v>500000</v>
      </c>
      <c r="K102" s="67">
        <v>1500000</v>
      </c>
      <c r="L102" s="67">
        <v>505000</v>
      </c>
      <c r="M102" s="67"/>
      <c r="N102" s="67"/>
      <c r="O102" s="67">
        <v>1010000</v>
      </c>
      <c r="P102" s="67"/>
      <c r="Q102" s="67"/>
      <c r="R102" s="67"/>
      <c r="S102" s="67"/>
      <c r="T102" s="197">
        <f>SUM(T103:T107)</f>
        <v>3015084.8</v>
      </c>
      <c r="U102" s="197">
        <f>SUM(U103:U106)</f>
        <v>3045236.448</v>
      </c>
      <c r="V102" s="197">
        <f>SUM(V103:V106)</f>
        <v>3075688.81248</v>
      </c>
      <c r="W102" s="128">
        <f>SUM(W103:W105)</f>
        <v>3517706917</v>
      </c>
      <c r="X102" s="128">
        <f>SUM(X103:X105)</f>
        <v>3581025641.506</v>
      </c>
      <c r="Y102" s="128">
        <f>SUM(Y103:Y105)</f>
        <v>3645484103.053108</v>
      </c>
    </row>
    <row r="103" spans="1:25" s="31" customFormat="1" ht="18" customHeight="1">
      <c r="A103" s="41"/>
      <c r="B103" s="149" t="s">
        <v>29</v>
      </c>
      <c r="C103" s="76"/>
      <c r="D103" s="67"/>
      <c r="E103" s="66">
        <f>32896912-K103</f>
        <v>27468112</v>
      </c>
      <c r="F103" s="79">
        <f>17675000-G103</f>
        <v>14335000</v>
      </c>
      <c r="G103" s="67">
        <v>3340000</v>
      </c>
      <c r="H103" s="67"/>
      <c r="I103" s="67">
        <f>52*5*3*17400</f>
        <v>13572000</v>
      </c>
      <c r="J103" s="67">
        <f>52*5*2*17400</f>
        <v>9048000</v>
      </c>
      <c r="K103" s="67">
        <f>3*52*2*17400</f>
        <v>5428800</v>
      </c>
      <c r="L103" s="67"/>
      <c r="M103" s="67"/>
      <c r="N103" s="67"/>
      <c r="O103" s="67">
        <v>7214430</v>
      </c>
      <c r="P103" s="67"/>
      <c r="Q103" s="67"/>
      <c r="R103" s="67"/>
      <c r="S103" s="67"/>
      <c r="T103" s="196">
        <v>2282977.5</v>
      </c>
      <c r="U103" s="196">
        <f>(T103*1.01)+0.8</f>
        <v>2305808.0749999997</v>
      </c>
      <c r="V103" s="196">
        <f aca="true" t="shared" si="15" ref="U103:V105">(U103*1.01)</f>
        <v>2328866.15575</v>
      </c>
      <c r="W103" s="77">
        <f>2589603822-16666667</f>
        <v>2572937155</v>
      </c>
      <c r="X103" s="77">
        <f t="shared" si="13"/>
        <v>2619250023.79</v>
      </c>
      <c r="Y103" s="77">
        <f t="shared" si="13"/>
        <v>2666396524.21822</v>
      </c>
    </row>
    <row r="104" spans="1:25" s="31" customFormat="1" ht="18" customHeight="1">
      <c r="A104" s="41"/>
      <c r="B104" s="149" t="s">
        <v>110</v>
      </c>
      <c r="C104" s="76"/>
      <c r="D104" s="67"/>
      <c r="E104" s="156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196">
        <v>554106.82</v>
      </c>
      <c r="U104" s="196">
        <f t="shared" si="15"/>
        <v>559647.8881999999</v>
      </c>
      <c r="V104" s="196">
        <f t="shared" si="15"/>
        <v>565244.3670819999</v>
      </c>
      <c r="W104" s="77">
        <v>722717793</v>
      </c>
      <c r="X104" s="77">
        <f t="shared" si="13"/>
        <v>735726713.274</v>
      </c>
      <c r="Y104" s="77">
        <f t="shared" si="13"/>
        <v>748969794.1129321</v>
      </c>
    </row>
    <row r="105" spans="1:25" s="31" customFormat="1" ht="19.5" customHeight="1">
      <c r="A105" s="151"/>
      <c r="B105" s="149" t="s">
        <v>30</v>
      </c>
      <c r="C105" s="76"/>
      <c r="D105" s="67"/>
      <c r="E105" s="66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196">
        <v>178000.48</v>
      </c>
      <c r="U105" s="196">
        <f t="shared" si="15"/>
        <v>179780.4848</v>
      </c>
      <c r="V105" s="196">
        <f t="shared" si="15"/>
        <v>181578.289648</v>
      </c>
      <c r="W105" s="77">
        <v>222051969</v>
      </c>
      <c r="X105" s="77">
        <f t="shared" si="13"/>
        <v>226048904.442</v>
      </c>
      <c r="Y105" s="77">
        <f t="shared" si="13"/>
        <v>230117784.721956</v>
      </c>
    </row>
    <row r="106" spans="1:25" s="31" customFormat="1" ht="15.75" customHeight="1">
      <c r="A106" s="210"/>
      <c r="B106" s="211" t="s">
        <v>111</v>
      </c>
      <c r="C106" s="213"/>
      <c r="D106" s="180"/>
      <c r="E106" s="207"/>
      <c r="F106" s="53"/>
      <c r="G106" s="53"/>
      <c r="H106" s="53"/>
      <c r="I106" s="53"/>
      <c r="J106" s="53"/>
      <c r="K106" s="53"/>
      <c r="L106" s="53"/>
      <c r="M106" s="53"/>
      <c r="N106" s="53"/>
      <c r="O106" s="208"/>
      <c r="P106" s="123"/>
      <c r="Q106" s="53"/>
      <c r="R106" s="123"/>
      <c r="S106" s="123"/>
      <c r="T106" s="196">
        <v>0</v>
      </c>
      <c r="U106" s="196">
        <v>0</v>
      </c>
      <c r="V106" s="196">
        <v>0</v>
      </c>
      <c r="W106" s="77"/>
      <c r="X106" s="77"/>
      <c r="Y106" s="77"/>
    </row>
    <row r="107" spans="1:25" s="31" customFormat="1" ht="15.75" customHeight="1">
      <c r="A107" s="151"/>
      <c r="B107" s="149" t="s">
        <v>124</v>
      </c>
      <c r="C107" s="96"/>
      <c r="D107" s="85"/>
      <c r="E107" s="102"/>
      <c r="F107" s="41"/>
      <c r="G107" s="41"/>
      <c r="H107" s="41"/>
      <c r="I107" s="41"/>
      <c r="J107" s="41"/>
      <c r="K107" s="41"/>
      <c r="L107" s="41"/>
      <c r="M107" s="41"/>
      <c r="N107" s="41"/>
      <c r="O107" s="157"/>
      <c r="P107" s="39"/>
      <c r="Q107" s="41"/>
      <c r="R107" s="39"/>
      <c r="S107" s="39"/>
      <c r="T107" s="196">
        <v>0</v>
      </c>
      <c r="U107" s="196">
        <v>0</v>
      </c>
      <c r="V107" s="196">
        <v>0</v>
      </c>
      <c r="W107" s="77"/>
      <c r="X107" s="77"/>
      <c r="Y107" s="77"/>
    </row>
    <row r="108" spans="1:25" s="31" customFormat="1" ht="18.75" customHeight="1">
      <c r="A108" s="57" t="s">
        <v>31</v>
      </c>
      <c r="B108" s="58"/>
      <c r="C108" s="150"/>
      <c r="D108" s="41"/>
      <c r="E108" s="36"/>
      <c r="F108" s="37"/>
      <c r="G108" s="37"/>
      <c r="H108" s="37"/>
      <c r="I108" s="37"/>
      <c r="J108" s="37"/>
      <c r="K108" s="37"/>
      <c r="L108" s="37"/>
      <c r="M108" s="37"/>
      <c r="N108" s="38"/>
      <c r="O108" s="157"/>
      <c r="P108" s="39"/>
      <c r="Q108" s="41"/>
      <c r="R108" s="39"/>
      <c r="S108" s="39"/>
      <c r="T108" s="197">
        <f aca="true" t="shared" si="16" ref="T108:Y108">SUM(T109:T111)</f>
        <v>318332.25999999995</v>
      </c>
      <c r="U108" s="197">
        <f t="shared" si="16"/>
        <v>321515.58259999997</v>
      </c>
      <c r="V108" s="197">
        <f t="shared" si="16"/>
        <v>324730.73842599994</v>
      </c>
      <c r="W108" s="128">
        <f t="shared" si="16"/>
        <v>157936961</v>
      </c>
      <c r="X108" s="128">
        <f t="shared" si="16"/>
        <v>160779826.298</v>
      </c>
      <c r="Y108" s="128">
        <f t="shared" si="16"/>
        <v>163673863.171364</v>
      </c>
    </row>
    <row r="109" spans="1:25" s="31" customFormat="1" ht="18" customHeight="1">
      <c r="A109" s="151"/>
      <c r="B109" s="71" t="s">
        <v>61</v>
      </c>
      <c r="C109" s="152"/>
      <c r="D109" s="67"/>
      <c r="E109" s="66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196">
        <v>26386.66</v>
      </c>
      <c r="U109" s="196">
        <f>T109*1.01</f>
        <v>26650.5266</v>
      </c>
      <c r="V109" s="196">
        <f>U109*1.01</f>
        <v>26917.031866</v>
      </c>
      <c r="W109" s="77">
        <v>157936961</v>
      </c>
      <c r="X109" s="77">
        <f aca="true" t="shared" si="17" ref="X109:Y111">W109*1.018</f>
        <v>160779826.298</v>
      </c>
      <c r="Y109" s="77">
        <f t="shared" si="17"/>
        <v>163673863.171364</v>
      </c>
    </row>
    <row r="110" spans="1:25" s="31" customFormat="1" ht="19.5" customHeight="1">
      <c r="A110" s="151"/>
      <c r="B110" s="71" t="s">
        <v>63</v>
      </c>
      <c r="C110" s="152"/>
      <c r="D110" s="67"/>
      <c r="E110" s="66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196">
        <v>291945.6</v>
      </c>
      <c r="U110" s="196">
        <f>T110*1.01</f>
        <v>294865.056</v>
      </c>
      <c r="V110" s="196">
        <f>U110*1.01</f>
        <v>297813.70655999996</v>
      </c>
      <c r="W110" s="77"/>
      <c r="X110" s="77"/>
      <c r="Y110" s="77"/>
    </row>
    <row r="111" spans="1:25" s="31" customFormat="1" ht="18" customHeight="1">
      <c r="A111" s="151"/>
      <c r="B111" s="149" t="s">
        <v>32</v>
      </c>
      <c r="C111" s="76"/>
      <c r="D111" s="67"/>
      <c r="E111" s="66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196">
        <v>0</v>
      </c>
      <c r="U111" s="196">
        <v>0</v>
      </c>
      <c r="V111" s="196">
        <v>0</v>
      </c>
      <c r="W111" s="77">
        <v>0</v>
      </c>
      <c r="X111" s="77">
        <f t="shared" si="17"/>
        <v>0</v>
      </c>
      <c r="Y111" s="77">
        <f t="shared" si="17"/>
        <v>0</v>
      </c>
    </row>
    <row r="112" spans="1:25" s="31" customFormat="1" ht="15.75" customHeight="1">
      <c r="A112" s="57" t="s">
        <v>33</v>
      </c>
      <c r="B112" s="158" t="s">
        <v>34</v>
      </c>
      <c r="C112" s="159"/>
      <c r="D112" s="80"/>
      <c r="E112" s="87"/>
      <c r="F112" s="83"/>
      <c r="G112" s="83"/>
      <c r="H112" s="83"/>
      <c r="I112" s="83"/>
      <c r="J112" s="83"/>
      <c r="K112" s="83"/>
      <c r="L112" s="83"/>
      <c r="M112" s="83"/>
      <c r="N112" s="131"/>
      <c r="O112" s="132"/>
      <c r="P112" s="60"/>
      <c r="Q112" s="63"/>
      <c r="R112" s="60"/>
      <c r="S112" s="63"/>
      <c r="T112" s="22">
        <v>0</v>
      </c>
      <c r="U112" s="22">
        <v>0</v>
      </c>
      <c r="V112" s="22">
        <v>0</v>
      </c>
      <c r="W112" s="128">
        <f>SUM(W113:W114)</f>
        <v>0</v>
      </c>
      <c r="X112" s="128">
        <f>SUM(X113:X114)</f>
        <v>0</v>
      </c>
      <c r="Y112" s="128">
        <f>SUM(Y113:Y114)</f>
        <v>0</v>
      </c>
    </row>
    <row r="113" spans="1:25" s="31" customFormat="1" ht="15.75" customHeight="1">
      <c r="A113" s="151"/>
      <c r="B113" s="149" t="s">
        <v>35</v>
      </c>
      <c r="C113" s="76"/>
      <c r="D113" s="67"/>
      <c r="E113" s="66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22">
        <v>0</v>
      </c>
      <c r="U113" s="22">
        <v>0</v>
      </c>
      <c r="V113" s="22">
        <v>0</v>
      </c>
      <c r="W113" s="77">
        <v>0</v>
      </c>
      <c r="X113" s="77">
        <f>W113*1.018</f>
        <v>0</v>
      </c>
      <c r="Y113" s="77">
        <f>X113*1.018</f>
        <v>0</v>
      </c>
    </row>
    <row r="114" spans="1:25" s="31" customFormat="1" ht="15.75" customHeight="1">
      <c r="A114" s="151"/>
      <c r="B114" s="71" t="s">
        <v>36</v>
      </c>
      <c r="C114" s="152"/>
      <c r="D114" s="67"/>
      <c r="E114" s="66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22">
        <v>0</v>
      </c>
      <c r="U114" s="22">
        <v>0</v>
      </c>
      <c r="V114" s="22">
        <v>0</v>
      </c>
      <c r="W114" s="77">
        <v>0</v>
      </c>
      <c r="X114" s="77">
        <f>W114*1.018</f>
        <v>0</v>
      </c>
      <c r="Y114" s="77">
        <f>X114*1.018</f>
        <v>0</v>
      </c>
    </row>
    <row r="115" spans="1:25" s="31" customFormat="1" ht="18.75" customHeight="1">
      <c r="A115" s="57" t="s">
        <v>37</v>
      </c>
      <c r="B115" s="160" t="s">
        <v>38</v>
      </c>
      <c r="C115" s="161"/>
      <c r="D115" s="162"/>
      <c r="E115" s="66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197">
        <f aca="true" t="shared" si="18" ref="T115:Y115">SUM(T116)</f>
        <v>0</v>
      </c>
      <c r="U115" s="197">
        <f t="shared" si="18"/>
        <v>0</v>
      </c>
      <c r="V115" s="197">
        <f t="shared" si="18"/>
        <v>0</v>
      </c>
      <c r="W115" s="128">
        <f t="shared" si="18"/>
        <v>0</v>
      </c>
      <c r="X115" s="128">
        <f t="shared" si="18"/>
        <v>0</v>
      </c>
      <c r="Y115" s="128">
        <f t="shared" si="18"/>
        <v>0</v>
      </c>
    </row>
    <row r="116" spans="1:25" s="31" customFormat="1" ht="15.75" customHeight="1">
      <c r="A116" s="151"/>
      <c r="B116" s="71" t="s">
        <v>39</v>
      </c>
      <c r="C116" s="152"/>
      <c r="D116" s="67"/>
      <c r="E116" s="66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196">
        <v>0</v>
      </c>
      <c r="U116" s="196">
        <f>T116*1.01</f>
        <v>0</v>
      </c>
      <c r="V116" s="196">
        <f>U116*1.01</f>
        <v>0</v>
      </c>
      <c r="W116" s="77">
        <v>0</v>
      </c>
      <c r="X116" s="77">
        <f>W116*1.018</f>
        <v>0</v>
      </c>
      <c r="Y116" s="77">
        <f>X116*1.018</f>
        <v>0</v>
      </c>
    </row>
    <row r="117" spans="1:25" s="31" customFormat="1" ht="18.75" customHeight="1">
      <c r="A117" s="57" t="s">
        <v>40</v>
      </c>
      <c r="B117" s="160" t="s">
        <v>41</v>
      </c>
      <c r="C117" s="161"/>
      <c r="D117" s="162"/>
      <c r="E117" s="66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22">
        <f aca="true" t="shared" si="19" ref="T117:Y117">SUM(T118)</f>
        <v>0</v>
      </c>
      <c r="U117" s="22">
        <f t="shared" si="19"/>
        <v>0</v>
      </c>
      <c r="V117" s="22">
        <f t="shared" si="19"/>
        <v>0</v>
      </c>
      <c r="W117" s="128">
        <f t="shared" si="19"/>
        <v>5871883</v>
      </c>
      <c r="X117" s="128">
        <f t="shared" si="19"/>
        <v>5977576.894</v>
      </c>
      <c r="Y117" s="128">
        <f t="shared" si="19"/>
        <v>6085173.278092001</v>
      </c>
    </row>
    <row r="118" spans="1:25" s="31" customFormat="1" ht="18.75" customHeight="1">
      <c r="A118" s="151"/>
      <c r="B118" s="149" t="s">
        <v>71</v>
      </c>
      <c r="C118" s="76"/>
      <c r="D118" s="67"/>
      <c r="E118" s="66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22">
        <v>0</v>
      </c>
      <c r="U118" s="22">
        <v>0</v>
      </c>
      <c r="V118" s="22">
        <v>0</v>
      </c>
      <c r="W118" s="77">
        <v>5871883</v>
      </c>
      <c r="X118" s="77">
        <f>W118*1.018</f>
        <v>5977576.894</v>
      </c>
      <c r="Y118" s="77">
        <f>X118*1.018</f>
        <v>6085173.278092001</v>
      </c>
    </row>
    <row r="119" spans="1:25" s="31" customFormat="1" ht="19.5" customHeight="1">
      <c r="A119" s="57" t="s">
        <v>42</v>
      </c>
      <c r="B119" s="160" t="s">
        <v>43</v>
      </c>
      <c r="C119" s="161"/>
      <c r="D119" s="162"/>
      <c r="E119" s="66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197">
        <f aca="true" t="shared" si="20" ref="T119:Y119">SUM(T120:T131)</f>
        <v>116365.15</v>
      </c>
      <c r="U119" s="197">
        <f t="shared" si="20"/>
        <v>117528.80149999999</v>
      </c>
      <c r="V119" s="197">
        <f t="shared" si="20"/>
        <v>107504.089515</v>
      </c>
      <c r="W119" s="128">
        <f t="shared" si="20"/>
        <v>39635273</v>
      </c>
      <c r="X119" s="128">
        <f t="shared" si="20"/>
        <v>40348707.914</v>
      </c>
      <c r="Y119" s="128">
        <f t="shared" si="20"/>
        <v>41074984.656452</v>
      </c>
    </row>
    <row r="120" spans="1:25" s="31" customFormat="1" ht="18.75" customHeight="1">
      <c r="A120" s="151"/>
      <c r="B120" s="64" t="s">
        <v>106</v>
      </c>
      <c r="C120" s="63" t="s">
        <v>89</v>
      </c>
      <c r="D120" s="63"/>
      <c r="E120" s="66">
        <v>30600000</v>
      </c>
      <c r="F120" s="67"/>
      <c r="G120" s="67"/>
      <c r="H120" s="67">
        <v>1500000</v>
      </c>
      <c r="I120" s="67">
        <v>700000</v>
      </c>
      <c r="J120" s="67">
        <v>800000</v>
      </c>
      <c r="K120" s="67"/>
      <c r="L120" s="67"/>
      <c r="M120" s="67"/>
      <c r="N120" s="67"/>
      <c r="O120" s="67"/>
      <c r="P120" s="67"/>
      <c r="Q120" s="67"/>
      <c r="R120" s="67"/>
      <c r="S120" s="67"/>
      <c r="T120" s="224">
        <v>50968.55</v>
      </c>
      <c r="U120" s="196">
        <f aca="true" t="shared" si="21" ref="U120:V131">T120*1.01</f>
        <v>51478.2355</v>
      </c>
      <c r="V120" s="196">
        <f t="shared" si="21"/>
        <v>51993.017855000006</v>
      </c>
      <c r="W120" s="77">
        <v>8019293</v>
      </c>
      <c r="X120" s="77">
        <f>W120*1.018</f>
        <v>8163640.274</v>
      </c>
      <c r="Y120" s="77">
        <f>X120*1.018</f>
        <v>8310585.798932</v>
      </c>
    </row>
    <row r="121" spans="1:25" s="31" customFormat="1" ht="18" customHeight="1">
      <c r="A121" s="151"/>
      <c r="B121" s="64" t="s">
        <v>106</v>
      </c>
      <c r="C121" s="63" t="s">
        <v>90</v>
      </c>
      <c r="D121" s="85"/>
      <c r="E121" s="66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224">
        <v>3685</v>
      </c>
      <c r="U121" s="196">
        <f t="shared" si="21"/>
        <v>3721.85</v>
      </c>
      <c r="V121" s="196">
        <f t="shared" si="21"/>
        <v>3759.0685</v>
      </c>
      <c r="W121" s="77"/>
      <c r="X121" s="77"/>
      <c r="Y121" s="77"/>
    </row>
    <row r="122" spans="1:25" s="31" customFormat="1" ht="18" customHeight="1">
      <c r="A122" s="151"/>
      <c r="B122" s="64" t="s">
        <v>106</v>
      </c>
      <c r="C122" s="63" t="s">
        <v>85</v>
      </c>
      <c r="D122" s="63"/>
      <c r="E122" s="66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224">
        <v>2219.09</v>
      </c>
      <c r="U122" s="196">
        <f t="shared" si="21"/>
        <v>2241.2809</v>
      </c>
      <c r="V122" s="196">
        <f t="shared" si="21"/>
        <v>2263.693709</v>
      </c>
      <c r="W122" s="77"/>
      <c r="X122" s="77"/>
      <c r="Y122" s="77"/>
    </row>
    <row r="123" spans="1:25" s="31" customFormat="1" ht="18.75" customHeight="1">
      <c r="A123" s="151"/>
      <c r="B123" s="64" t="s">
        <v>106</v>
      </c>
      <c r="C123" s="74" t="s">
        <v>104</v>
      </c>
      <c r="D123" s="63"/>
      <c r="E123" s="66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224">
        <v>1259.25</v>
      </c>
      <c r="U123" s="196">
        <f t="shared" si="21"/>
        <v>1271.8425</v>
      </c>
      <c r="V123" s="196">
        <f t="shared" si="21"/>
        <v>1284.560925</v>
      </c>
      <c r="W123" s="77"/>
      <c r="X123" s="77"/>
      <c r="Y123" s="77"/>
    </row>
    <row r="124" spans="1:25" s="31" customFormat="1" ht="19.5" customHeight="1">
      <c r="A124" s="151"/>
      <c r="B124" s="64" t="s">
        <v>106</v>
      </c>
      <c r="C124" s="63" t="s">
        <v>86</v>
      </c>
      <c r="D124" s="63"/>
      <c r="E124" s="66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224">
        <v>360.5</v>
      </c>
      <c r="U124" s="196">
        <f t="shared" si="21"/>
        <v>364.105</v>
      </c>
      <c r="V124" s="196">
        <f t="shared" si="21"/>
        <v>367.74605</v>
      </c>
      <c r="W124" s="77"/>
      <c r="X124" s="77"/>
      <c r="Y124" s="77"/>
    </row>
    <row r="125" spans="1:25" s="31" customFormat="1" ht="18.75" customHeight="1">
      <c r="A125" s="151"/>
      <c r="B125" s="64" t="s">
        <v>106</v>
      </c>
      <c r="C125" s="64" t="s">
        <v>87</v>
      </c>
      <c r="D125" s="144"/>
      <c r="E125" s="66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224">
        <v>450.2</v>
      </c>
      <c r="U125" s="196">
        <f t="shared" si="21"/>
        <v>454.702</v>
      </c>
      <c r="V125" s="196">
        <f t="shared" si="21"/>
        <v>459.24902000000003</v>
      </c>
      <c r="W125" s="77"/>
      <c r="X125" s="77"/>
      <c r="Y125" s="77"/>
    </row>
    <row r="126" spans="1:25" s="31" customFormat="1" ht="18" customHeight="1">
      <c r="A126" s="151"/>
      <c r="B126" s="64" t="s">
        <v>106</v>
      </c>
      <c r="C126" s="64" t="s">
        <v>119</v>
      </c>
      <c r="D126" s="63"/>
      <c r="E126" s="66">
        <v>1020000</v>
      </c>
      <c r="F126" s="67"/>
      <c r="G126" s="67"/>
      <c r="H126" s="67"/>
      <c r="I126" s="67">
        <v>1000000</v>
      </c>
      <c r="J126" s="67">
        <v>1000000</v>
      </c>
      <c r="K126" s="67"/>
      <c r="L126" s="67"/>
      <c r="M126" s="67"/>
      <c r="N126" s="67"/>
      <c r="O126" s="67"/>
      <c r="P126" s="67"/>
      <c r="Q126" s="67"/>
      <c r="R126" s="67"/>
      <c r="S126" s="67"/>
      <c r="T126" s="224">
        <v>8801</v>
      </c>
      <c r="U126" s="196">
        <f t="shared" si="21"/>
        <v>8889.01</v>
      </c>
      <c r="V126" s="196">
        <f t="shared" si="21"/>
        <v>8977.9001</v>
      </c>
      <c r="W126" s="77">
        <v>24787091</v>
      </c>
      <c r="X126" s="77">
        <f>W126*1.018</f>
        <v>25233258.638</v>
      </c>
      <c r="Y126" s="77">
        <f>X126*1.018</f>
        <v>25687457.293484002</v>
      </c>
    </row>
    <row r="127" spans="1:25" s="31" customFormat="1" ht="18.75" customHeight="1">
      <c r="A127" s="151"/>
      <c r="B127" s="64" t="s">
        <v>106</v>
      </c>
      <c r="C127" s="64" t="s">
        <v>105</v>
      </c>
      <c r="D127" s="63"/>
      <c r="E127" s="66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224">
        <v>250.33</v>
      </c>
      <c r="U127" s="196">
        <f t="shared" si="21"/>
        <v>252.8333</v>
      </c>
      <c r="V127" s="196">
        <f t="shared" si="21"/>
        <v>255.361633</v>
      </c>
      <c r="W127" s="77"/>
      <c r="X127" s="77"/>
      <c r="Y127" s="77"/>
    </row>
    <row r="128" spans="1:25" s="31" customFormat="1" ht="18" customHeight="1">
      <c r="A128" s="151"/>
      <c r="B128" s="58" t="s">
        <v>106</v>
      </c>
      <c r="C128" s="64" t="s">
        <v>88</v>
      </c>
      <c r="D128" s="63"/>
      <c r="E128" s="66">
        <v>1428000</v>
      </c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224">
        <v>357.84</v>
      </c>
      <c r="U128" s="196">
        <f t="shared" si="21"/>
        <v>361.41839999999996</v>
      </c>
      <c r="V128" s="196">
        <f t="shared" si="21"/>
        <v>365.032584</v>
      </c>
      <c r="W128" s="77">
        <v>4369289</v>
      </c>
      <c r="X128" s="77">
        <f>W128*1.018</f>
        <v>4447936.2020000005</v>
      </c>
      <c r="Y128" s="77">
        <f>X128*1.018</f>
        <v>4527999.0536360005</v>
      </c>
    </row>
    <row r="129" spans="1:25" s="31" customFormat="1" ht="18" customHeight="1">
      <c r="A129" s="151"/>
      <c r="B129" s="58" t="s">
        <v>106</v>
      </c>
      <c r="C129" s="64" t="s">
        <v>123</v>
      </c>
      <c r="D129" s="63"/>
      <c r="E129" s="163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224">
        <v>26461.14</v>
      </c>
      <c r="U129" s="196">
        <f t="shared" si="21"/>
        <v>26725.7514</v>
      </c>
      <c r="V129" s="196">
        <f>U129*1.01-11200</f>
        <v>15793.008914000002</v>
      </c>
      <c r="W129" s="164"/>
      <c r="X129" s="77"/>
      <c r="Y129" s="77"/>
    </row>
    <row r="130" spans="1:25" s="31" customFormat="1" ht="18" customHeight="1">
      <c r="A130" s="151"/>
      <c r="B130" s="64" t="s">
        <v>106</v>
      </c>
      <c r="C130" s="63" t="s">
        <v>122</v>
      </c>
      <c r="D130" s="63"/>
      <c r="E130" s="163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224">
        <v>336.6</v>
      </c>
      <c r="U130" s="196">
        <f>T130*1.01</f>
        <v>339.966</v>
      </c>
      <c r="V130" s="196">
        <f>U130*1.01</f>
        <v>343.36566</v>
      </c>
      <c r="W130" s="164"/>
      <c r="X130" s="77"/>
      <c r="Y130" s="77"/>
    </row>
    <row r="131" spans="1:25" s="31" customFormat="1" ht="18" customHeight="1">
      <c r="A131" s="151"/>
      <c r="B131" s="64" t="s">
        <v>106</v>
      </c>
      <c r="C131" s="74" t="s">
        <v>107</v>
      </c>
      <c r="D131" s="63"/>
      <c r="E131" s="163">
        <v>2000000</v>
      </c>
      <c r="F131" s="39">
        <v>2000000</v>
      </c>
      <c r="G131" s="39">
        <v>2000000</v>
      </c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224">
        <v>21215.65</v>
      </c>
      <c r="U131" s="196">
        <f>T131*1.01</f>
        <v>21427.806500000002</v>
      </c>
      <c r="V131" s="196">
        <f t="shared" si="21"/>
        <v>21642.084565</v>
      </c>
      <c r="W131" s="164">
        <f>1359600+600000+500000</f>
        <v>2459600</v>
      </c>
      <c r="X131" s="77">
        <f>W131*1.018</f>
        <v>2503872.8</v>
      </c>
      <c r="Y131" s="77">
        <f>X131*1.018</f>
        <v>2548942.5104</v>
      </c>
    </row>
    <row r="132" spans="1:25" s="31" customFormat="1" ht="15.75" customHeight="1">
      <c r="A132" s="139"/>
      <c r="B132" s="96"/>
      <c r="C132" s="96"/>
      <c r="D132" s="85"/>
      <c r="E132" s="16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22"/>
      <c r="U132" s="22"/>
      <c r="V132" s="22"/>
      <c r="W132" s="166"/>
      <c r="X132" s="166"/>
      <c r="Y132" s="166"/>
    </row>
    <row r="133" spans="1:25" s="31" customFormat="1" ht="18.75" customHeight="1">
      <c r="A133" s="68"/>
      <c r="B133" s="108" t="s">
        <v>21</v>
      </c>
      <c r="C133" s="108"/>
      <c r="D133" s="71"/>
      <c r="E133" s="167">
        <f aca="true" t="shared" si="22" ref="E133:S133">SUM(E105:E128)</f>
        <v>33048000</v>
      </c>
      <c r="F133" s="168">
        <f t="shared" si="22"/>
        <v>0</v>
      </c>
      <c r="G133" s="168">
        <f t="shared" si="22"/>
        <v>0</v>
      </c>
      <c r="H133" s="168">
        <f t="shared" si="22"/>
        <v>1500000</v>
      </c>
      <c r="I133" s="168">
        <f t="shared" si="22"/>
        <v>1700000</v>
      </c>
      <c r="J133" s="168">
        <f t="shared" si="22"/>
        <v>1800000</v>
      </c>
      <c r="K133" s="168">
        <f t="shared" si="22"/>
        <v>0</v>
      </c>
      <c r="L133" s="168">
        <f t="shared" si="22"/>
        <v>0</v>
      </c>
      <c r="M133" s="168">
        <f t="shared" si="22"/>
        <v>0</v>
      </c>
      <c r="N133" s="168">
        <f t="shared" si="22"/>
        <v>0</v>
      </c>
      <c r="O133" s="168">
        <f t="shared" si="22"/>
        <v>0</v>
      </c>
      <c r="P133" s="168">
        <f t="shared" si="22"/>
        <v>0</v>
      </c>
      <c r="Q133" s="168">
        <f t="shared" si="22"/>
        <v>0</v>
      </c>
      <c r="R133" s="168">
        <f t="shared" si="22"/>
        <v>0</v>
      </c>
      <c r="S133" s="168">
        <f t="shared" si="22"/>
        <v>0</v>
      </c>
      <c r="T133" s="197">
        <f>T67+T81+T97+T102+T108+T115+T117+T119</f>
        <v>8490907.78</v>
      </c>
      <c r="U133" s="197">
        <f>U67+U81+U97+U102+U108+U115+U117+U119</f>
        <v>8517903.6809</v>
      </c>
      <c r="V133" s="197">
        <f>V67+V81+V97+V102+V108+V115+V117+V119</f>
        <v>8639028.752509002</v>
      </c>
      <c r="W133" s="169" t="e">
        <f>SUM(W67+W81+#REF!+W97+W102+W108+W112+W115+W117+W119)</f>
        <v>#REF!</v>
      </c>
      <c r="X133" s="169" t="e">
        <f>SUM(X67+X81+#REF!+X97+X102+X108+X112+X115+X117+X119)</f>
        <v>#REF!</v>
      </c>
      <c r="Y133" s="169" t="e">
        <f>SUM(Y67+Y81+#REF!+Y97+Y102+Y108+Y112+Y115+Y117+Y119)</f>
        <v>#REF!</v>
      </c>
    </row>
    <row r="134" spans="1:25" s="31" customFormat="1" ht="18.75" customHeight="1">
      <c r="A134" s="85"/>
      <c r="B134" s="108"/>
      <c r="C134" s="108"/>
      <c r="D134" s="41"/>
      <c r="E134" s="220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2"/>
      <c r="U134" s="222"/>
      <c r="V134" s="222"/>
      <c r="W134" s="223"/>
      <c r="X134" s="223"/>
      <c r="Y134" s="223"/>
    </row>
    <row r="135" spans="1:25" s="31" customFormat="1" ht="18.75" customHeight="1">
      <c r="A135" s="68"/>
      <c r="B135" s="108" t="s">
        <v>112</v>
      </c>
      <c r="C135" s="108"/>
      <c r="D135" s="71"/>
      <c r="E135" s="220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5">
        <f>T62-T133</f>
        <v>-80191.08000000007</v>
      </c>
      <c r="U135" s="225">
        <f>U62-U133</f>
        <v>-92231.53399999999</v>
      </c>
      <c r="V135" s="225">
        <f>V62-V133</f>
        <v>-112305.01343600266</v>
      </c>
      <c r="W135" s="223"/>
      <c r="X135" s="223"/>
      <c r="Y135" s="223"/>
    </row>
    <row r="136" spans="1:25" s="31" customFormat="1" ht="18.75" customHeight="1">
      <c r="A136" s="85"/>
      <c r="B136" s="108"/>
      <c r="C136" s="108"/>
      <c r="D136" s="41"/>
      <c r="E136" s="220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2"/>
      <c r="U136" s="222"/>
      <c r="V136" s="222"/>
      <c r="W136" s="223"/>
      <c r="X136" s="223"/>
      <c r="Y136" s="223"/>
    </row>
    <row r="137" spans="1:25" s="31" customFormat="1" ht="15.75" customHeight="1">
      <c r="A137" s="170"/>
      <c r="B137" s="96"/>
      <c r="C137" s="96"/>
      <c r="D137" s="85"/>
      <c r="E137" s="16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166"/>
      <c r="U137" s="166"/>
      <c r="V137" s="166"/>
      <c r="W137" s="166"/>
      <c r="X137" s="166"/>
      <c r="Y137" s="166"/>
    </row>
    <row r="138" spans="1:25" s="173" customFormat="1" ht="22.5">
      <c r="A138" s="32" t="s">
        <v>44</v>
      </c>
      <c r="B138" s="118" t="s">
        <v>45</v>
      </c>
      <c r="C138" s="119"/>
      <c r="D138" s="171"/>
      <c r="E138" s="115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97">
        <f>SUM(T139:T141)</f>
        <v>196501.08000000002</v>
      </c>
      <c r="U138" s="197">
        <f>SUM(U139:U141)</f>
        <v>211724.53400000004</v>
      </c>
      <c r="V138" s="197">
        <f>SUM(V139:V141)</f>
        <v>233528.01138000004</v>
      </c>
      <c r="W138" s="172">
        <f>SUM(W141-W140-W139)</f>
        <v>-20000000</v>
      </c>
      <c r="X138" s="172">
        <f>SUM(X141-X140-X139)</f>
        <v>-20000000</v>
      </c>
      <c r="Y138" s="172">
        <f>SUM(Y141-Y140-Y139)</f>
        <v>-20000000</v>
      </c>
    </row>
    <row r="139" spans="1:25" s="173" customFormat="1" ht="20.25">
      <c r="A139" s="174" t="s">
        <v>46</v>
      </c>
      <c r="B139" s="175" t="s">
        <v>47</v>
      </c>
      <c r="C139" s="175"/>
      <c r="D139" s="176"/>
      <c r="E139" s="115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22">
        <v>264469.08</v>
      </c>
      <c r="U139" s="22">
        <f>T139*1.05</f>
        <v>277692.53400000004</v>
      </c>
      <c r="V139" s="22">
        <f>U139*1.07</f>
        <v>297131.01138000004</v>
      </c>
      <c r="W139" s="77">
        <v>0</v>
      </c>
      <c r="X139" s="77">
        <f aca="true" t="shared" si="23" ref="X139:Y141">W139*1.018</f>
        <v>0</v>
      </c>
      <c r="Y139" s="77">
        <f t="shared" si="23"/>
        <v>0</v>
      </c>
    </row>
    <row r="140" spans="1:25" s="173" customFormat="1" ht="20.25">
      <c r="A140" s="177" t="s">
        <v>48</v>
      </c>
      <c r="B140" s="175" t="s">
        <v>49</v>
      </c>
      <c r="C140" s="175"/>
      <c r="D140" s="176"/>
      <c r="E140" s="115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22">
        <v>18350</v>
      </c>
      <c r="U140" s="22">
        <f>T140-5000</f>
        <v>13350</v>
      </c>
      <c r="V140" s="22">
        <f>U140-2750</f>
        <v>10600</v>
      </c>
      <c r="W140" s="178">
        <v>20000000</v>
      </c>
      <c r="X140" s="178">
        <f>W140</f>
        <v>20000000</v>
      </c>
      <c r="Y140" s="178">
        <f>X140</f>
        <v>20000000</v>
      </c>
    </row>
    <row r="141" spans="1:25" s="173" customFormat="1" ht="20.25">
      <c r="A141" s="179" t="s">
        <v>50</v>
      </c>
      <c r="B141" s="175" t="s">
        <v>51</v>
      </c>
      <c r="C141" s="175"/>
      <c r="D141" s="176"/>
      <c r="E141" s="115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22">
        <v>-86318</v>
      </c>
      <c r="U141" s="22">
        <f>T141+7000</f>
        <v>-79318</v>
      </c>
      <c r="V141" s="22">
        <f>U141+5115</f>
        <v>-74203</v>
      </c>
      <c r="W141" s="77">
        <v>0</v>
      </c>
      <c r="X141" s="77">
        <f t="shared" si="23"/>
        <v>0</v>
      </c>
      <c r="Y141" s="77">
        <f t="shared" si="23"/>
        <v>0</v>
      </c>
    </row>
    <row r="142" spans="1:25" s="173" customFormat="1" ht="20.25">
      <c r="A142" s="32" t="s">
        <v>52</v>
      </c>
      <c r="B142" s="118" t="s">
        <v>59</v>
      </c>
      <c r="C142" s="119"/>
      <c r="D142" s="120"/>
      <c r="E142" s="115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06">
        <f>W142/1936.27</f>
        <v>0</v>
      </c>
      <c r="U142" s="106">
        <f>X142/1936.27</f>
        <v>0</v>
      </c>
      <c r="V142" s="106">
        <f>Y142/1936.27</f>
        <v>0</v>
      </c>
      <c r="W142" s="128">
        <v>0</v>
      </c>
      <c r="X142" s="128">
        <v>0</v>
      </c>
      <c r="Y142" s="128">
        <v>0</v>
      </c>
    </row>
    <row r="143" spans="1:25" s="173" customFormat="1" ht="20.25">
      <c r="A143" s="180"/>
      <c r="B143" s="113"/>
      <c r="C143" s="113"/>
      <c r="D143" s="53"/>
      <c r="E143" s="115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06"/>
      <c r="U143" s="106"/>
      <c r="V143" s="106"/>
      <c r="W143" s="77"/>
      <c r="X143" s="77"/>
      <c r="Y143" s="77"/>
    </row>
    <row r="144" spans="1:25" s="173" customFormat="1" ht="20.25">
      <c r="A144" s="32" t="s">
        <v>53</v>
      </c>
      <c r="B144" s="181" t="s">
        <v>54</v>
      </c>
      <c r="C144" s="182"/>
      <c r="D144" s="183"/>
      <c r="E144" s="115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22">
        <f>SUM(T145:T146)</f>
        <v>0</v>
      </c>
      <c r="U144" s="22">
        <f>SUM(U145:U146)</f>
        <v>0</v>
      </c>
      <c r="V144" s="22">
        <f>SUM(V145:V146)</f>
        <v>0</v>
      </c>
      <c r="W144" s="128">
        <f>SUM(-W145+W146)</f>
        <v>0</v>
      </c>
      <c r="X144" s="128">
        <f>SUM(-X145+X146)</f>
        <v>0</v>
      </c>
      <c r="Y144" s="128">
        <f>SUM(-Y145+Y146)</f>
        <v>0</v>
      </c>
    </row>
    <row r="145" spans="1:25" s="173" customFormat="1" ht="20.25">
      <c r="A145" s="174" t="s">
        <v>55</v>
      </c>
      <c r="B145" s="175" t="s">
        <v>117</v>
      </c>
      <c r="C145" s="184"/>
      <c r="D145" s="185"/>
      <c r="E145" s="115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22">
        <v>0</v>
      </c>
      <c r="U145" s="22">
        <v>0</v>
      </c>
      <c r="V145" s="22">
        <v>0</v>
      </c>
      <c r="W145" s="77">
        <v>0</v>
      </c>
      <c r="X145" s="77">
        <f>W145*1.018</f>
        <v>0</v>
      </c>
      <c r="Y145" s="77">
        <f>X145*1.018</f>
        <v>0</v>
      </c>
    </row>
    <row r="146" spans="1:25" s="31" customFormat="1" ht="15.75" customHeight="1">
      <c r="A146" s="57" t="s">
        <v>56</v>
      </c>
      <c r="B146" s="158" t="s">
        <v>57</v>
      </c>
      <c r="C146" s="108"/>
      <c r="D146" s="186"/>
      <c r="E146" s="187"/>
      <c r="F146" s="39"/>
      <c r="G146" s="39"/>
      <c r="H146" s="39"/>
      <c r="I146" s="39"/>
      <c r="J146" s="39"/>
      <c r="K146" s="39"/>
      <c r="L146" s="39"/>
      <c r="M146" s="39"/>
      <c r="N146" s="39"/>
      <c r="O146" s="105"/>
      <c r="P146" s="39"/>
      <c r="Q146" s="105"/>
      <c r="R146" s="105"/>
      <c r="S146" s="105"/>
      <c r="T146" s="22">
        <v>0</v>
      </c>
      <c r="U146" s="106">
        <f>X146/1936.27</f>
        <v>0</v>
      </c>
      <c r="V146" s="106"/>
      <c r="W146" s="164">
        <v>0</v>
      </c>
      <c r="X146" s="77">
        <f>W146*1.018</f>
        <v>0</v>
      </c>
      <c r="Y146" s="77">
        <f>X146*1.018</f>
        <v>0</v>
      </c>
    </row>
    <row r="147" spans="1:25" s="31" customFormat="1" ht="15.75" customHeight="1">
      <c r="A147" s="80"/>
      <c r="B147" s="158"/>
      <c r="C147" s="108"/>
      <c r="D147" s="188"/>
      <c r="E147" s="16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106"/>
      <c r="U147" s="106"/>
      <c r="V147" s="106"/>
      <c r="W147" s="166"/>
      <c r="X147" s="166"/>
      <c r="Y147" s="166"/>
    </row>
    <row r="148" spans="1:25" s="31" customFormat="1" ht="18.75" customHeight="1">
      <c r="A148" s="32" t="s">
        <v>58</v>
      </c>
      <c r="B148" s="118" t="s">
        <v>62</v>
      </c>
      <c r="C148" s="119"/>
      <c r="D148" s="189"/>
      <c r="E148" s="87"/>
      <c r="F148" s="83"/>
      <c r="G148" s="83"/>
      <c r="H148" s="83"/>
      <c r="I148" s="83"/>
      <c r="J148" s="83"/>
      <c r="K148" s="83"/>
      <c r="L148" s="83"/>
      <c r="M148" s="83"/>
      <c r="N148" s="83"/>
      <c r="O148" s="63"/>
      <c r="P148" s="60"/>
      <c r="Q148" s="132"/>
      <c r="R148" s="132"/>
      <c r="S148" s="132"/>
      <c r="T148" s="197">
        <f>SUM(T149:T150)</f>
        <v>116310</v>
      </c>
      <c r="U148" s="197">
        <f>SUM(U149:U150)</f>
        <v>119493</v>
      </c>
      <c r="V148" s="197">
        <f>SUM(V149:V150)</f>
        <v>121223</v>
      </c>
      <c r="W148" s="172">
        <v>154720074</v>
      </c>
      <c r="X148" s="128">
        <f>W148*1.018</f>
        <v>157505035.33200002</v>
      </c>
      <c r="Y148" s="128">
        <f>X148*1.018</f>
        <v>160340125.96797603</v>
      </c>
    </row>
    <row r="149" spans="1:25" s="31" customFormat="1" ht="18.75" customHeight="1">
      <c r="A149" s="227"/>
      <c r="B149" s="234" t="s">
        <v>106</v>
      </c>
      <c r="C149" s="235" t="s">
        <v>113</v>
      </c>
      <c r="D149" s="236"/>
      <c r="E149" s="102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196">
        <v>92282</v>
      </c>
      <c r="U149" s="196">
        <v>93715</v>
      </c>
      <c r="V149" s="196">
        <v>94822</v>
      </c>
      <c r="W149" s="226"/>
      <c r="X149" s="226"/>
      <c r="Y149" s="226"/>
    </row>
    <row r="150" spans="1:25" s="31" customFormat="1" ht="18.75" customHeight="1">
      <c r="A150" s="227"/>
      <c r="B150" s="231" t="s">
        <v>106</v>
      </c>
      <c r="C150" s="232" t="s">
        <v>114</v>
      </c>
      <c r="D150" s="233"/>
      <c r="E150" s="102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196">
        <v>24028</v>
      </c>
      <c r="U150" s="196">
        <v>25778</v>
      </c>
      <c r="V150" s="196">
        <v>26401</v>
      </c>
      <c r="W150" s="226"/>
      <c r="X150" s="226"/>
      <c r="Y150" s="226"/>
    </row>
    <row r="151" spans="1:25" s="31" customFormat="1" ht="15.75" customHeight="1">
      <c r="A151" s="190"/>
      <c r="E151" s="191"/>
      <c r="T151" s="106"/>
      <c r="U151" s="106"/>
      <c r="V151" s="106"/>
      <c r="W151" s="23"/>
      <c r="X151" s="23"/>
      <c r="Y151" s="23"/>
    </row>
    <row r="152" spans="1:25" s="31" customFormat="1" ht="24.75" customHeight="1">
      <c r="A152" s="32"/>
      <c r="B152" s="118" t="s">
        <v>60</v>
      </c>
      <c r="C152" s="119"/>
      <c r="D152" s="192"/>
      <c r="E152" s="191"/>
      <c r="T152" s="197">
        <f>T62-T133+T138+T144-T148</f>
        <v>0</v>
      </c>
      <c r="U152" s="197">
        <f>U62-U133+U138+U144-U148</f>
        <v>0</v>
      </c>
      <c r="V152" s="197">
        <f>V62-V133+V138+V144-V148</f>
        <v>-0.0020560026168823242</v>
      </c>
      <c r="W152" s="193" t="e">
        <f>SUM(W62-W133-W138-W142-W144-W148)</f>
        <v>#REF!</v>
      </c>
      <c r="X152" s="193" t="e">
        <f>SUM(X62-X133-X138-X142-X144-X148)</f>
        <v>#REF!</v>
      </c>
      <c r="Y152" s="193" t="e">
        <f>SUM(Y62-Y133-Y138-Y142-Y144-Y148)</f>
        <v>#REF!</v>
      </c>
    </row>
    <row r="153" spans="1:22" ht="15.75" customHeight="1">
      <c r="A153" s="194"/>
      <c r="B153"/>
      <c r="C153"/>
      <c r="D153"/>
      <c r="E153" s="15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 s="5"/>
      <c r="U153" s="5"/>
      <c r="V153" s="5"/>
    </row>
    <row r="154" spans="1:22" ht="15.75" customHeight="1">
      <c r="A154"/>
      <c r="B154"/>
      <c r="C154"/>
      <c r="D154"/>
      <c r="E154" s="15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 s="5"/>
      <c r="U154" s="5"/>
      <c r="V154" s="5"/>
    </row>
    <row r="155" spans="1:22" ht="15.75" customHeight="1">
      <c r="A155"/>
      <c r="B155"/>
      <c r="C155"/>
      <c r="D155"/>
      <c r="E155" s="1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 s="5"/>
      <c r="U155" s="5"/>
      <c r="V155" s="5"/>
    </row>
    <row r="156" spans="1:22" ht="15.75" customHeight="1">
      <c r="A156"/>
      <c r="B156"/>
      <c r="C156"/>
      <c r="D156"/>
      <c r="E156" s="15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 s="5"/>
      <c r="U156" s="5"/>
      <c r="V156" s="5"/>
    </row>
    <row r="157" spans="1:22" ht="15.75" customHeight="1">
      <c r="A157"/>
      <c r="B157"/>
      <c r="C157"/>
      <c r="D157"/>
      <c r="E157" s="15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 s="5"/>
      <c r="U157" s="5"/>
      <c r="V157" s="5"/>
    </row>
    <row r="158" spans="1:22" ht="15.75" customHeight="1">
      <c r="A158"/>
      <c r="B158"/>
      <c r="C158"/>
      <c r="D158"/>
      <c r="E158" s="15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 s="5"/>
      <c r="U158" s="5"/>
      <c r="V158" s="5"/>
    </row>
    <row r="159" spans="1:22" ht="15.75" customHeight="1">
      <c r="A159"/>
      <c r="B159"/>
      <c r="C159"/>
      <c r="D159"/>
      <c r="E159" s="15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 s="5"/>
      <c r="U159" s="5"/>
      <c r="V159" s="5"/>
    </row>
    <row r="160" spans="1:22" ht="15.75">
      <c r="A160"/>
      <c r="B160"/>
      <c r="C160"/>
      <c r="D160"/>
      <c r="E160" s="15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 s="5"/>
      <c r="U160" s="5"/>
      <c r="V160" s="5"/>
    </row>
    <row r="161" spans="1:22" ht="15.75">
      <c r="A161"/>
      <c r="B161"/>
      <c r="C161"/>
      <c r="D161"/>
      <c r="E161" s="15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 s="5"/>
      <c r="U161" s="5"/>
      <c r="V161" s="5"/>
    </row>
    <row r="162" spans="1:22" ht="15.75">
      <c r="A162"/>
      <c r="B162"/>
      <c r="C162"/>
      <c r="D162"/>
      <c r="E162" s="15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 s="5"/>
      <c r="U162" s="5"/>
      <c r="V162" s="5"/>
    </row>
    <row r="163" spans="1:22" ht="15.75">
      <c r="A163"/>
      <c r="B163"/>
      <c r="C163"/>
      <c r="D163"/>
      <c r="E163" s="15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 s="5"/>
      <c r="U163" s="5"/>
      <c r="V163" s="5"/>
    </row>
    <row r="164" spans="1:22" ht="15.75">
      <c r="A164"/>
      <c r="B164"/>
      <c r="C164"/>
      <c r="D164"/>
      <c r="E164" s="15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5"/>
      <c r="U164" s="5"/>
      <c r="V164" s="5"/>
    </row>
    <row r="165" spans="1:22" ht="15.75">
      <c r="A165"/>
      <c r="B165"/>
      <c r="C165"/>
      <c r="D165"/>
      <c r="E165" s="1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5"/>
      <c r="U165" s="5"/>
      <c r="V165" s="5"/>
    </row>
    <row r="166" spans="1:22" ht="15.75">
      <c r="A166"/>
      <c r="B166"/>
      <c r="C166"/>
      <c r="D166"/>
      <c r="E166" s="15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 s="5"/>
      <c r="U166" s="5"/>
      <c r="V166" s="5"/>
    </row>
    <row r="167" spans="1:22" ht="15.75">
      <c r="A167"/>
      <c r="B167"/>
      <c r="C167"/>
      <c r="D167"/>
      <c r="E167" s="15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 s="5"/>
      <c r="U167" s="5"/>
      <c r="V167" s="5"/>
    </row>
    <row r="168" spans="1:22" ht="15.75">
      <c r="A168"/>
      <c r="B168"/>
      <c r="C168"/>
      <c r="D168"/>
      <c r="E168" s="15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 s="5"/>
      <c r="U168" s="5"/>
      <c r="V168" s="5"/>
    </row>
    <row r="169" spans="1:22" ht="15.75">
      <c r="A169"/>
      <c r="B169"/>
      <c r="C169"/>
      <c r="D169"/>
      <c r="E169" s="15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 s="5"/>
      <c r="U169" s="5"/>
      <c r="V169" s="5"/>
    </row>
    <row r="170" spans="1:22" ht="15.75">
      <c r="A170"/>
      <c r="B170"/>
      <c r="C170"/>
      <c r="D170"/>
      <c r="E170" s="15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 s="5"/>
      <c r="U170" s="5"/>
      <c r="V170" s="5"/>
    </row>
    <row r="171" spans="1:22" ht="15.75">
      <c r="A171"/>
      <c r="B171"/>
      <c r="C171"/>
      <c r="D171"/>
      <c r="E171" s="15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 s="5"/>
      <c r="U171" s="5"/>
      <c r="V171" s="5"/>
    </row>
    <row r="172" spans="1:19" ht="12.75">
      <c r="A172"/>
      <c r="B172"/>
      <c r="C172"/>
      <c r="D172"/>
      <c r="E172" s="15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2.75">
      <c r="A173"/>
      <c r="B173"/>
      <c r="C173"/>
      <c r="D173"/>
      <c r="E173" s="15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2.75">
      <c r="A174"/>
      <c r="B174"/>
      <c r="C174"/>
      <c r="D174"/>
      <c r="E174" s="15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2.75">
      <c r="A175"/>
      <c r="B175"/>
      <c r="C175"/>
      <c r="D175"/>
      <c r="E175" s="1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2.75">
      <c r="A176"/>
      <c r="B176"/>
      <c r="C176"/>
      <c r="D176"/>
      <c r="E176" s="15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2.75">
      <c r="A177"/>
      <c r="B177"/>
      <c r="C177"/>
      <c r="D177"/>
      <c r="E177" s="15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2.75">
      <c r="A178"/>
      <c r="B178"/>
      <c r="C178"/>
      <c r="D178"/>
      <c r="E178" s="15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2.75">
      <c r="A179"/>
      <c r="B179"/>
      <c r="C179"/>
      <c r="D179"/>
      <c r="E179" s="15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2.75">
      <c r="A180"/>
      <c r="B180"/>
      <c r="C180"/>
      <c r="D180"/>
      <c r="E180" s="15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</sheetData>
  <mergeCells count="3">
    <mergeCell ref="A2:V2"/>
    <mergeCell ref="A3:V3"/>
    <mergeCell ref="A5:V5"/>
  </mergeCells>
  <printOptions horizontalCentered="1"/>
  <pageMargins left="0" right="0.7874015748031497" top="0" bottom="0" header="0" footer="0"/>
  <pageSetup fitToHeight="2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06"/>
  <sheetViews>
    <sheetView tabSelected="1" workbookViewId="0" topLeftCell="A84">
      <selection activeCell="A103" sqref="A103"/>
    </sheetView>
  </sheetViews>
  <sheetFormatPr defaultColWidth="9.140625" defaultRowHeight="12.75"/>
  <cols>
    <col min="1" max="1" width="83.00390625" style="16" customWidth="1"/>
  </cols>
  <sheetData>
    <row r="2" ht="12.75">
      <c r="A2" s="18" t="s">
        <v>134</v>
      </c>
    </row>
    <row r="4" ht="12.75">
      <c r="A4" s="16" t="s">
        <v>64</v>
      </c>
    </row>
    <row r="6" ht="12.75">
      <c r="A6" s="19" t="s">
        <v>65</v>
      </c>
    </row>
    <row r="8" ht="12.75">
      <c r="A8" s="17" t="s">
        <v>68</v>
      </c>
    </row>
    <row r="9" ht="12.75">
      <c r="A9" s="17"/>
    </row>
    <row r="10" ht="12.75">
      <c r="A10" s="16" t="s">
        <v>151</v>
      </c>
    </row>
    <row r="11" ht="12.75">
      <c r="A11" s="16" t="s">
        <v>152</v>
      </c>
    </row>
    <row r="12" ht="12.75">
      <c r="A12" s="16" t="s">
        <v>145</v>
      </c>
    </row>
    <row r="13" ht="12.75">
      <c r="A13" s="17" t="s">
        <v>72</v>
      </c>
    </row>
    <row r="14" ht="12.75">
      <c r="A14" s="17"/>
    </row>
    <row r="15" ht="12.75">
      <c r="A15" s="17" t="s">
        <v>146</v>
      </c>
    </row>
    <row r="16" ht="12.75">
      <c r="A16" s="17"/>
    </row>
    <row r="17" ht="12.75">
      <c r="A17" s="17" t="s">
        <v>73</v>
      </c>
    </row>
    <row r="19" ht="12.75">
      <c r="A19" s="17" t="s">
        <v>147</v>
      </c>
    </row>
    <row r="21" ht="12.75">
      <c r="A21" s="17" t="s">
        <v>66</v>
      </c>
    </row>
    <row r="23" ht="12.75">
      <c r="A23" s="17" t="s">
        <v>153</v>
      </c>
    </row>
    <row r="26" ht="12.75">
      <c r="A26" s="17" t="s">
        <v>78</v>
      </c>
    </row>
    <row r="28" ht="12.75">
      <c r="A28" s="16" t="s">
        <v>148</v>
      </c>
    </row>
    <row r="31" ht="12.75">
      <c r="A31" s="17" t="s">
        <v>79</v>
      </c>
    </row>
    <row r="33" ht="12.75">
      <c r="A33" s="17" t="s">
        <v>141</v>
      </c>
    </row>
    <row r="34" ht="12.75">
      <c r="A34" s="17"/>
    </row>
    <row r="36" ht="12.75">
      <c r="A36" s="17" t="s">
        <v>125</v>
      </c>
    </row>
    <row r="37" ht="12.75">
      <c r="A37" s="17"/>
    </row>
    <row r="38" ht="12.75">
      <c r="A38" s="21" t="s">
        <v>149</v>
      </c>
    </row>
    <row r="40" ht="12.75">
      <c r="A40" s="17" t="s">
        <v>80</v>
      </c>
    </row>
    <row r="41" ht="12.75">
      <c r="A41" s="16" t="s">
        <v>135</v>
      </c>
    </row>
    <row r="43" ht="12.75">
      <c r="A43" s="21" t="s">
        <v>150</v>
      </c>
    </row>
    <row r="45" ht="12.75">
      <c r="A45" s="17" t="s">
        <v>121</v>
      </c>
    </row>
    <row r="46" ht="12.75">
      <c r="A46" s="17"/>
    </row>
    <row r="47" ht="12.75">
      <c r="A47" s="21" t="s">
        <v>136</v>
      </c>
    </row>
    <row r="49" ht="12.75">
      <c r="A49" s="17" t="s">
        <v>116</v>
      </c>
    </row>
    <row r="50" ht="12.75">
      <c r="A50" s="17"/>
    </row>
    <row r="51" ht="25.5">
      <c r="A51" s="16" t="s">
        <v>137</v>
      </c>
    </row>
    <row r="52" ht="25.5">
      <c r="A52" s="16" t="s">
        <v>127</v>
      </c>
    </row>
    <row r="54" ht="12.75">
      <c r="A54" s="17" t="s">
        <v>81</v>
      </c>
    </row>
    <row r="56" ht="25.5">
      <c r="A56" s="16" t="s">
        <v>128</v>
      </c>
    </row>
    <row r="57" ht="12.75">
      <c r="A57" s="16" t="s">
        <v>129</v>
      </c>
    </row>
    <row r="59" ht="12.75">
      <c r="A59" s="17" t="s">
        <v>82</v>
      </c>
    </row>
    <row r="61" ht="12.75">
      <c r="A61" s="17" t="s">
        <v>130</v>
      </c>
    </row>
    <row r="63" ht="12.75">
      <c r="A63" s="17" t="s">
        <v>83</v>
      </c>
    </row>
    <row r="65" ht="12.75">
      <c r="A65" s="17" t="s">
        <v>154</v>
      </c>
    </row>
    <row r="67" ht="12.75">
      <c r="A67" s="17" t="s">
        <v>84</v>
      </c>
    </row>
    <row r="69" ht="12.75">
      <c r="A69" s="17" t="s">
        <v>138</v>
      </c>
    </row>
    <row r="71" ht="12.75">
      <c r="A71" s="17"/>
    </row>
    <row r="72" ht="12.75">
      <c r="A72" s="17"/>
    </row>
    <row r="75" ht="12.75">
      <c r="A75" s="19" t="s">
        <v>67</v>
      </c>
    </row>
    <row r="77" ht="25.5">
      <c r="A77" s="21" t="s">
        <v>155</v>
      </c>
    </row>
    <row r="78" ht="12.75">
      <c r="A78" s="21"/>
    </row>
    <row r="79" ht="12.75">
      <c r="A79" s="17" t="s">
        <v>115</v>
      </c>
    </row>
    <row r="80" ht="12.75">
      <c r="A80" s="17"/>
    </row>
    <row r="81" spans="1:2" ht="12.75">
      <c r="A81" s="21" t="s">
        <v>130</v>
      </c>
      <c r="B81" t="s">
        <v>75</v>
      </c>
    </row>
    <row r="82" ht="12.75">
      <c r="A82" s="17"/>
    </row>
    <row r="83" ht="12.75">
      <c r="A83" s="17" t="s">
        <v>74</v>
      </c>
    </row>
    <row r="85" ht="12.75">
      <c r="A85" s="16" t="s">
        <v>139</v>
      </c>
    </row>
    <row r="88" ht="12.75">
      <c r="A88" s="18" t="s">
        <v>45</v>
      </c>
    </row>
    <row r="90" ht="38.25">
      <c r="A90" s="16" t="s">
        <v>140</v>
      </c>
    </row>
    <row r="92" ht="25.5">
      <c r="A92" s="16" t="s">
        <v>156</v>
      </c>
    </row>
    <row r="94" ht="25.5">
      <c r="A94" s="16" t="s">
        <v>157</v>
      </c>
    </row>
    <row r="96" ht="12.75">
      <c r="A96" s="18"/>
    </row>
    <row r="100" ht="12.75">
      <c r="A100" s="18" t="s">
        <v>69</v>
      </c>
    </row>
    <row r="102" ht="25.5">
      <c r="A102" s="198" t="s">
        <v>158</v>
      </c>
    </row>
    <row r="106" ht="12.75">
      <c r="A106" s="20"/>
    </row>
  </sheetData>
  <printOptions/>
  <pageMargins left="0.75" right="0.75" top="1" bottom="1" header="0.5" footer="0.5"/>
  <pageSetup horizontalDpi="600" verticalDpi="600" orientation="portrait" paperSize="9" scale="90" r:id="rId1"/>
  <rowBreaks count="1" manualBreakCount="1">
    <brk id="55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lstorchi</cp:lastModifiedBy>
  <cp:lastPrinted>2009-11-09T13:56:26Z</cp:lastPrinted>
  <dcterms:created xsi:type="dcterms:W3CDTF">2000-01-12T12:55:58Z</dcterms:created>
  <dcterms:modified xsi:type="dcterms:W3CDTF">2009-11-23T15:31:23Z</dcterms:modified>
  <cp:category/>
  <cp:version/>
  <cp:contentType/>
  <cp:contentStatus/>
</cp:coreProperties>
</file>