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Triennale Euro" sheetId="1" r:id="rId1"/>
    <sheet name="Relazione triennale" sheetId="2" r:id="rId2"/>
  </sheets>
  <definedNames>
    <definedName name="_xlnm.Print_Area" localSheetId="0">'Triennale Euro'!$A$1:$W$150</definedName>
  </definedNames>
  <calcPr fullCalcOnLoad="1"/>
</workbook>
</file>

<file path=xl/sharedStrings.xml><?xml version="1.0" encoding="utf-8"?>
<sst xmlns="http://schemas.openxmlformats.org/spreadsheetml/2006/main" count="202" uniqueCount="193">
  <si>
    <t>A. S. P. e F.</t>
  </si>
  <si>
    <t>Azienda Servizi alla Persona e alla Famiglia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</si>
  <si>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</si>
  <si>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</si>
  <si>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</si>
  <si>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</si>
  <si>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</si>
  <si>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</si>
  <si>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</si>
  <si>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</si>
  <si>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</si>
  <si>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>b)</t>
  </si>
  <si>
    <t>c)</t>
  </si>
  <si>
    <t>d)</t>
  </si>
  <si>
    <t>e)</t>
  </si>
  <si>
    <t>f)</t>
  </si>
  <si>
    <t>g)</t>
  </si>
  <si>
    <t>h)</t>
  </si>
  <si>
    <t>Proventi nuoto disabili</t>
  </si>
  <si>
    <t>l)</t>
  </si>
  <si>
    <t>Vendita farmaci</t>
  </si>
  <si>
    <t>m)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</si>
  <si>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</si>
  <si>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</si>
  <si>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</si>
  <si>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</si>
  <si>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Contributi</t>
  </si>
  <si>
    <t>Altri ricavi e proventi vari</t>
  </si>
  <si>
    <t xml:space="preserve"> - Altri proventi vari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</si>
  <si>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</si>
  <si>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</si>
  <si>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</si>
  <si>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</si>
  <si>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</si>
  <si>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- Cancelleria</t>
  </si>
  <si>
    <t xml:space="preserve"> - Carburanti e lubrificanti</t>
  </si>
  <si>
    <t xml:space="preserve"> - Teleriscaldamento</t>
  </si>
  <si>
    <t xml:space="preserve"> 7) Costi per servizi</t>
  </si>
  <si>
    <t xml:space="preserve"> - Energia elettrica</t>
  </si>
  <si>
    <t xml:space="preserve"> - Acqua e Gas</t>
  </si>
  <si>
    <t xml:space="preserve"> - Compensi agli amministratori</t>
  </si>
  <si>
    <t xml:space="preserve"> - Compensi ai sindaci</t>
  </si>
  <si>
    <t xml:space="preserve"> - Spese lavanderia biancheria piana</t>
  </si>
  <si>
    <t xml:space="preserve"> - Servizio di pulizia</t>
  </si>
  <si>
    <t xml:space="preserve"> - Spese telefoniche</t>
  </si>
  <si>
    <t xml:space="preserve"> - Spese postali e di affrancatura</t>
  </si>
  <si>
    <t xml:space="preserve"> - Assicurazioni diverse</t>
  </si>
  <si>
    <t xml:space="preserve"> - Spese viaggi e trasferte</t>
  </si>
  <si>
    <t xml:space="preserve"> 8) Costi per godimento beni di terzi</t>
  </si>
  <si>
    <t xml:space="preserve"> - Affitti e locazioni</t>
  </si>
  <si>
    <t xml:space="preserve"> - Spese condominiali</t>
  </si>
  <si>
    <t xml:space="preserve"> - Noleggio strutture e attrezzature</t>
  </si>
  <si>
    <t xml:space="preserve"> 9) Costi per il personale</t>
  </si>
  <si>
    <t xml:space="preserve"> - Salari e stipendi</t>
  </si>
  <si>
    <t xml:space="preserve"> - Trattamento di fine rapporto</t>
  </si>
  <si>
    <t xml:space="preserve"> 10) Ammortamenti e svalutazioni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</si>
  <si>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</si>
  <si>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</si>
  <si>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</si>
  <si>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</si>
  <si>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</si>
  <si>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</si>
  <si>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</si>
  <si>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</si>
  <si>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</si>
  <si>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</si>
  <si>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14)</t>
  </si>
  <si>
    <t>Oneri diversi di gestione</t>
  </si>
  <si>
    <t xml:space="preserve"> - Imposte di bollo</t>
  </si>
  <si>
    <t xml:space="preserve"> - Tasse di concessione regionale</t>
  </si>
  <si>
    <t xml:space="preserve"> - Tasse di circolazione automezzi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</si>
  <si>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</si>
  <si>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</si>
  <si>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</si>
  <si>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</si>
  <si>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</si>
  <si>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</si>
  <si>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17)</t>
  </si>
  <si>
    <t>Interessi e altri oneri finanziari</t>
  </si>
  <si>
    <t>D</t>
  </si>
  <si>
    <t>E</t>
  </si>
  <si>
    <t>PROVENTI E ONERI STRAORDINARI</t>
  </si>
  <si>
    <t xml:space="preserve"> 20)</t>
  </si>
  <si>
    <t>Proventi</t>
  </si>
  <si>
    <t xml:space="preserve"> 21)</t>
  </si>
  <si>
    <t>Oneri</t>
  </si>
  <si>
    <t xml:space="preserve"> 22)</t>
  </si>
  <si>
    <t>Tariffe SAD</t>
  </si>
  <si>
    <t>Tariffe Centro Diurno Integrato</t>
  </si>
  <si>
    <t xml:space="preserve"> - Altri contributi</t>
  </si>
  <si>
    <t xml:space="preserve"> - Fornitura pasti altri Cdr</t>
  </si>
  <si>
    <t xml:space="preserve"> - Acquisto generi alimentari</t>
  </si>
  <si>
    <t xml:space="preserve"> - Acquisto mat. medico per assist. farm. e sanit.</t>
  </si>
  <si>
    <t xml:space="preserve"> - Acquisti per attività di animazione</t>
  </si>
  <si>
    <t xml:space="preserve"> - Acquisto farmaci</t>
  </si>
  <si>
    <t xml:space="preserve"> - Acquisto materiali di consumo vari </t>
  </si>
  <si>
    <t xml:space="preserve"> - Materiali di pulizia</t>
  </si>
  <si>
    <t xml:space="preserve"> - Spese per manutenzioni e riparazioni varie</t>
  </si>
  <si>
    <t xml:space="preserve"> - Manutenzioni contrattuali </t>
  </si>
  <si>
    <t xml:space="preserve"> - Compensi medici</t>
  </si>
  <si>
    <t xml:space="preserve"> - Compensi podologo</t>
  </si>
  <si>
    <t xml:space="preserve"> - Compensi fisioterapisti</t>
  </si>
  <si>
    <t xml:space="preserve"> - Acquisto pasti da CdR Rist.</t>
  </si>
  <si>
    <t xml:space="preserve"> - Prestazioni medicina specialistica</t>
  </si>
  <si>
    <t xml:space="preserve"> - Servizio Religioso</t>
  </si>
  <si>
    <t xml:space="preserve"> - Altre spese per servizi</t>
  </si>
  <si>
    <t xml:space="preserve"> - Direttore Generale</t>
  </si>
  <si>
    <t xml:space="preserve"> - Consul. Fiscali, legali e lavoro</t>
  </si>
  <si>
    <t xml:space="preserve"> - Consul. Tecniche e Amm.ve</t>
  </si>
  <si>
    <t xml:space="preserve"> - Assistenza informatica</t>
  </si>
  <si>
    <t xml:space="preserve"> - INAIL</t>
  </si>
  <si>
    <t xml:space="preserve"> - Altri costi per il personale</t>
  </si>
  <si>
    <t xml:space="preserve"> - Altre imposte e tasse</t>
  </si>
  <si>
    <t xml:space="preserve"> - Rifiuti urbani e speciali</t>
  </si>
  <si>
    <t xml:space="preserve"> - Abbonamenti </t>
  </si>
  <si>
    <t xml:space="preserve"> - Sicurezza e L.626/94</t>
  </si>
  <si>
    <t xml:space="preserve"> - Contributi ad associzioni sindac. e di categoria</t>
  </si>
  <si>
    <t>RETT. DI VALORE DI ATTIVITA' FINANZIARIE</t>
  </si>
  <si>
    <t>AVANZO / DISAVANZO DI GESTIONE</t>
  </si>
  <si>
    <t>Pensionato Sociale</t>
  </si>
  <si>
    <t xml:space="preserve"> - Servizio lavaggio stoviglie</t>
  </si>
  <si>
    <t xml:space="preserve"> - Confezionamento e consegna pasti</t>
  </si>
  <si>
    <t xml:space="preserve"> - Spese fotocopiatore</t>
  </si>
  <si>
    <t xml:space="preserve"> - Contributi CPDEL e Inps</t>
  </si>
  <si>
    <t xml:space="preserve"> - Altri accantonamenti (rimborso spese ospiti)</t>
  </si>
  <si>
    <t>Proventi Trasporti</t>
  </si>
  <si>
    <t>Rette Comunità Alloggio Handicap</t>
  </si>
  <si>
    <t xml:space="preserve"> - Acquisto pannoloni</t>
  </si>
  <si>
    <t xml:space="preserve"> - Trasporti c/terzi</t>
  </si>
  <si>
    <t xml:space="preserve"> - Spese formazione</t>
  </si>
  <si>
    <t xml:space="preserve"> - Rimborso spese ospiti</t>
  </si>
  <si>
    <t xml:space="preserve"> - Servizio assistenza geriatrica conv.e pulizia</t>
  </si>
  <si>
    <t xml:space="preserve"> - Spese gestione CAG</t>
  </si>
  <si>
    <t xml:space="preserve"> - Spese gestione Comunita' alloggio handicap</t>
  </si>
  <si>
    <t xml:space="preserve"> - Spese gestione Servizio Domiciliare Minori</t>
  </si>
  <si>
    <t xml:space="preserve"> - Spese di Vigilanza</t>
  </si>
  <si>
    <t xml:space="preserve"> - Spese per attività socio-ricreative</t>
  </si>
  <si>
    <t xml:space="preserve"> - Collaborazioni Coordinate Continuative</t>
  </si>
  <si>
    <t xml:space="preserve"> - Leasing apparecchi telefonici</t>
  </si>
  <si>
    <t xml:space="preserve"> - Ammortamento immob.immateriali</t>
  </si>
  <si>
    <t xml:space="preserve">Imposte dell'esercizio </t>
  </si>
  <si>
    <t>Proventi Dormitorio/Semipensionato Ariosto</t>
  </si>
  <si>
    <t>Proventi Area Minori</t>
  </si>
  <si>
    <t xml:space="preserve"> - Acquisto attrezzature minuta</t>
  </si>
  <si>
    <t xml:space="preserve"> - Enpaf farmacisti</t>
  </si>
  <si>
    <t xml:space="preserve">    Costi comuni</t>
  </si>
  <si>
    <t xml:space="preserve"> - Ammortamento immob materiali</t>
  </si>
  <si>
    <t>Il bilancio triennale è stato effettuato in ragione delle seguenti variazioni:</t>
  </si>
  <si>
    <t>RICAVI</t>
  </si>
  <si>
    <t>S.A.D.</t>
  </si>
  <si>
    <t>C.D.I.</t>
  </si>
  <si>
    <t>Anche in questo centro di servizio abbiamo previsto un aumento delle rette pari al 2% per entrambi gli anni di competenza.</t>
  </si>
  <si>
    <t>Area Marginale</t>
  </si>
  <si>
    <t>Vendita Farmaci</t>
  </si>
  <si>
    <t>Area Minori</t>
  </si>
  <si>
    <t>Quote forfettarie S.S.N.</t>
  </si>
  <si>
    <t>COSTI</t>
  </si>
  <si>
    <t>Acquisto farmaci</t>
  </si>
  <si>
    <t>R.S.A. e C.D.I Luigi Bianchi</t>
  </si>
  <si>
    <t>In previsione di nuovi ospiti alla R.S.A. Luigi Bianchi e C.D.I. sono stati inseriti in misura forfettaria e senza distinzione per natura i relativi costi per gli stessi importi evidenziati tra le entrate:</t>
  </si>
  <si>
    <t>Costi del persaonale</t>
  </si>
  <si>
    <t>*************</t>
  </si>
  <si>
    <t>Per quanto riguarda tutti gli altri costi  non espressamente specificati, è stato previsto un aumento del 1,5%, percentuale inferiore rispetto al triennale precedente in quanto si presume di contenere i costi.</t>
  </si>
  <si>
    <t>Bilancio di Previsione Triennale  2004 - 2005 - 2006</t>
  </si>
  <si>
    <t>Rette RSA "Luigi Bianchi"</t>
  </si>
  <si>
    <t>Rette RSA "Isabella D'Este"</t>
  </si>
  <si>
    <t>i</t>
  </si>
  <si>
    <t>Agenzia di Locazione</t>
  </si>
  <si>
    <t xml:space="preserve"> - Regione Lombardia ex-circolare 4</t>
  </si>
  <si>
    <t xml:space="preserve"> -A.S.L. Quote forfettarie SSN</t>
  </si>
  <si>
    <t xml:space="preserve"> - Comune Mantova</t>
  </si>
  <si>
    <t xml:space="preserve"> - Spese manutenzione automezzi</t>
  </si>
  <si>
    <t xml:space="preserve"> - Spese assicurazione automezzi</t>
  </si>
  <si>
    <t xml:space="preserve"> - Altre spese automezzi</t>
  </si>
  <si>
    <t xml:space="preserve"> - Spese di rappresentanza</t>
  </si>
  <si>
    <t xml:space="preserve"> - Prestazione da terzi</t>
  </si>
  <si>
    <t xml:space="preserve"> - Rimborso Spese Km.</t>
  </si>
  <si>
    <t xml:space="preserve"> - Altri costi di struttura</t>
  </si>
  <si>
    <t xml:space="preserve"> - Locazione sollevatori</t>
  </si>
  <si>
    <t xml:space="preserve"> - Tasse di concessione governative</t>
  </si>
  <si>
    <t xml:space="preserve"> - Imposta di registro</t>
  </si>
  <si>
    <t>L'aumento delle rette è stimato intorno al 2% sia per l'anno 2005 che per l'anno 2006</t>
  </si>
  <si>
    <t>Previsti, per gli anni 2005/2006, aumenti del 2%, sia per Dormitorio che per il Semipensionato.</t>
  </si>
  <si>
    <t>E' stato stimato un aumento prudenziale delle vendite al pubblico del 2% sia per l'anno 2005 che per l'anno 2006, tenuto conto  del nuovo sistema di fornitura farmaci degli ospedali e della probabile introduzione del ticket.</t>
  </si>
  <si>
    <t>Aumento del 2% per gli anni 2005/2006 sia per il C.A.G. che per il Servizio Assistenza Domiciliare Minori</t>
  </si>
  <si>
    <t>Come per la R.S.A. Luigi Bianchi sono state inserite quote rette S.S.N. per Euro 37,70 die per n.50 ospiti per 365 giorni ad un tasso di saturazione dell' 100% per l'anno 2005/2006.</t>
  </si>
  <si>
    <t>Previsto aumento del 1,5% sia per il 2005 che per il 2006.</t>
  </si>
  <si>
    <t xml:space="preserve"> R.S.A. Luigi Bianchi Euro 39,20 per n.50 ospiti per 365 giorni sia per l'anno 2005 che per il 2006</t>
  </si>
  <si>
    <t xml:space="preserve"> C.D.I. Euro 20,66 die per n.12 ospiti per 365 giorni all'anno.(2005/2006)</t>
  </si>
  <si>
    <t>Aumento del 4%  per il 2005 e del 5% per il 2006.</t>
  </si>
  <si>
    <t>NOTE AL TRIENNALE 2004-2005-2006</t>
  </si>
  <si>
    <t>Il valore della produzione (rette) rimane invariato per il 2005, mentre per il 2006 è aumentato del 4%.</t>
  </si>
  <si>
    <t>R.S.A. "ISABELLA D'ESTE" E "LUIGI BIANCHI"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</si>
</sst>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);\(#,##0\)"/>
    <numFmt numFmtId="171" formatCode="#,##0.0000000_);\(#,##0.0000000\)"/>
    <numFmt numFmtId="172" formatCode="00000"/>
  </numFmts>
  <fonts count="25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70" fontId="7" fillId="3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70" fontId="7" fillId="3" borderId="1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170" fontId="7" fillId="3" borderId="5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170" fontId="8" fillId="3" borderId="6" xfId="0" applyNumberFormat="1" applyFont="1" applyFill="1" applyBorder="1" applyAlignment="1" applyProtection="1">
      <alignment vertical="center"/>
      <protection/>
    </xf>
    <xf numFmtId="170" fontId="8" fillId="4" borderId="7" xfId="0" applyNumberFormat="1" applyFont="1" applyFill="1" applyBorder="1" applyAlignment="1" applyProtection="1">
      <alignment/>
      <protection/>
    </xf>
    <xf numFmtId="170" fontId="8" fillId="4" borderId="8" xfId="0" applyNumberFormat="1" applyFont="1" applyFill="1" applyBorder="1" applyAlignment="1" applyProtection="1">
      <alignment/>
      <protection/>
    </xf>
    <xf numFmtId="170" fontId="8" fillId="4" borderId="9" xfId="0" applyNumberFormat="1" applyFont="1" applyFill="1" applyBorder="1" applyAlignment="1" applyProtection="1">
      <alignment/>
      <protection/>
    </xf>
    <xf numFmtId="170" fontId="8" fillId="4" borderId="10" xfId="0" applyNumberFormat="1" applyFont="1" applyFill="1" applyBorder="1" applyAlignment="1" applyProtection="1">
      <alignment/>
      <protection/>
    </xf>
    <xf numFmtId="170" fontId="8" fillId="4" borderId="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170" fontId="9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170" fontId="8" fillId="4" borderId="1" xfId="0" applyNumberFormat="1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/>
      <protection/>
    </xf>
    <xf numFmtId="170" fontId="8" fillId="4" borderId="13" xfId="0" applyNumberFormat="1" applyFont="1" applyFill="1" applyBorder="1" applyAlignment="1" applyProtection="1">
      <alignment/>
      <protection/>
    </xf>
    <xf numFmtId="170" fontId="8" fillId="4" borderId="4" xfId="0" applyNumberFormat="1" applyFont="1" applyFill="1" applyBorder="1" applyAlignment="1" applyProtection="1">
      <alignment/>
      <protection/>
    </xf>
    <xf numFmtId="170" fontId="8" fillId="4" borderId="1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>
      <alignment/>
    </xf>
    <xf numFmtId="170" fontId="4" fillId="0" borderId="4" xfId="0" applyNumberFormat="1" applyFont="1" applyBorder="1" applyAlignment="1">
      <alignment/>
    </xf>
    <xf numFmtId="170" fontId="8" fillId="4" borderId="15" xfId="0" applyNumberFormat="1" applyFont="1" applyFill="1" applyBorder="1" applyAlignment="1" applyProtection="1">
      <alignment/>
      <protection/>
    </xf>
    <xf numFmtId="170" fontId="8" fillId="4" borderId="16" xfId="0" applyNumberFormat="1" applyFont="1" applyFill="1" applyBorder="1" applyAlignment="1" applyProtection="1">
      <alignment/>
      <protection/>
    </xf>
    <xf numFmtId="170" fontId="8" fillId="4" borderId="12" xfId="0" applyNumberFormat="1" applyFont="1" applyFill="1" applyBorder="1" applyAlignment="1" applyProtection="1">
      <alignment/>
      <protection/>
    </xf>
    <xf numFmtId="170" fontId="8" fillId="4" borderId="17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170" fontId="8" fillId="0" borderId="4" xfId="0" applyNumberFormat="1" applyFont="1" applyFill="1" applyBorder="1" applyAlignment="1" applyProtection="1">
      <alignment/>
      <protection/>
    </xf>
    <xf numFmtId="170" fontId="9" fillId="4" borderId="12" xfId="0" applyNumberFormat="1" applyFont="1" applyFill="1" applyBorder="1" applyAlignment="1" applyProtection="1">
      <alignment/>
      <protection/>
    </xf>
    <xf numFmtId="170" fontId="8" fillId="4" borderId="18" xfId="0" applyNumberFormat="1" applyFont="1" applyFill="1" applyBorder="1" applyAlignment="1" applyProtection="1">
      <alignment/>
      <protection/>
    </xf>
    <xf numFmtId="170" fontId="8" fillId="4" borderId="19" xfId="0" applyNumberFormat="1" applyFont="1" applyFill="1" applyBorder="1" applyAlignment="1" applyProtection="1">
      <alignment/>
      <protection/>
    </xf>
    <xf numFmtId="170" fontId="8" fillId="4" borderId="20" xfId="0" applyNumberFormat="1" applyFont="1" applyFill="1" applyBorder="1" applyAlignment="1" applyProtection="1">
      <alignment/>
      <protection/>
    </xf>
    <xf numFmtId="170" fontId="8" fillId="4" borderId="21" xfId="0" applyNumberFormat="1" applyFont="1" applyFill="1" applyBorder="1" applyAlignment="1" applyProtection="1">
      <alignment/>
      <protection/>
    </xf>
    <xf numFmtId="170" fontId="8" fillId="4" borderId="22" xfId="0" applyNumberFormat="1" applyFont="1" applyFill="1" applyBorder="1" applyAlignment="1" applyProtection="1">
      <alignment/>
      <protection/>
    </xf>
    <xf numFmtId="170" fontId="10" fillId="4" borderId="0" xfId="0" applyNumberFormat="1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170" fontId="8" fillId="4" borderId="0" xfId="0" applyNumberFormat="1" applyFont="1" applyFill="1" applyAlignment="1" applyProtection="1">
      <alignment/>
      <protection/>
    </xf>
    <xf numFmtId="41" fontId="4" fillId="0" borderId="22" xfId="16" applyFont="1" applyBorder="1" applyAlignment="1">
      <alignment horizontal="right"/>
    </xf>
    <xf numFmtId="0" fontId="8" fillId="4" borderId="21" xfId="0" applyFont="1" applyFill="1" applyBorder="1" applyAlignment="1" applyProtection="1">
      <alignment/>
      <protection/>
    </xf>
    <xf numFmtId="0" fontId="4" fillId="0" borderId="21" xfId="0" applyFont="1" applyBorder="1" applyAlignment="1">
      <alignment/>
    </xf>
    <xf numFmtId="170" fontId="8" fillId="4" borderId="23" xfId="0" applyNumberFormat="1" applyFont="1" applyFill="1" applyBorder="1" applyAlignment="1" applyProtection="1">
      <alignment/>
      <protection/>
    </xf>
    <xf numFmtId="170" fontId="8" fillId="4" borderId="24" xfId="0" applyNumberFormat="1" applyFont="1" applyFill="1" applyBorder="1" applyAlignment="1" applyProtection="1">
      <alignment/>
      <protection/>
    </xf>
    <xf numFmtId="170" fontId="8" fillId="4" borderId="3" xfId="0" applyNumberFormat="1" applyFont="1" applyFill="1" applyBorder="1" applyAlignment="1" applyProtection="1">
      <alignment/>
      <protection/>
    </xf>
    <xf numFmtId="170" fontId="8" fillId="4" borderId="2" xfId="0" applyNumberFormat="1" applyFont="1" applyFill="1" applyBorder="1" applyAlignment="1" applyProtection="1">
      <alignment/>
      <protection/>
    </xf>
    <xf numFmtId="170" fontId="8" fillId="4" borderId="25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170" fontId="7" fillId="5" borderId="9" xfId="0" applyNumberFormat="1" applyFont="1" applyFill="1" applyBorder="1" applyAlignment="1" applyProtection="1">
      <alignment/>
      <protection/>
    </xf>
    <xf numFmtId="170" fontId="13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0" fontId="7" fillId="3" borderId="14" xfId="0" applyNumberFormat="1" applyFont="1" applyFill="1" applyBorder="1" applyAlignment="1" applyProtection="1">
      <alignment horizontal="center" vertical="center"/>
      <protection/>
    </xf>
    <xf numFmtId="170" fontId="7" fillId="3" borderId="21" xfId="0" applyNumberFormat="1" applyFont="1" applyFill="1" applyBorder="1" applyAlignment="1" applyProtection="1">
      <alignment vertical="center"/>
      <protection/>
    </xf>
    <xf numFmtId="0" fontId="8" fillId="3" borderId="21" xfId="0" applyFont="1" applyFill="1" applyBorder="1" applyAlignment="1" applyProtection="1">
      <alignment vertical="center"/>
      <protection/>
    </xf>
    <xf numFmtId="170" fontId="8" fillId="3" borderId="21" xfId="0" applyNumberFormat="1" applyFont="1" applyFill="1" applyBorder="1" applyAlignment="1" applyProtection="1">
      <alignment vertical="center"/>
      <protection/>
    </xf>
    <xf numFmtId="170" fontId="8" fillId="0" borderId="24" xfId="0" applyNumberFormat="1" applyFont="1" applyFill="1" applyBorder="1" applyAlignment="1" applyProtection="1">
      <alignment/>
      <protection/>
    </xf>
    <xf numFmtId="170" fontId="8" fillId="0" borderId="13" xfId="0" applyNumberFormat="1" applyFont="1" applyFill="1" applyBorder="1" applyAlignment="1" applyProtection="1">
      <alignment/>
      <protection/>
    </xf>
    <xf numFmtId="170" fontId="8" fillId="0" borderId="9" xfId="0" applyNumberFormat="1" applyFont="1" applyFill="1" applyBorder="1" applyAlignment="1" applyProtection="1">
      <alignment/>
      <protection/>
    </xf>
    <xf numFmtId="170" fontId="8" fillId="0" borderId="1" xfId="0" applyNumberFormat="1" applyFont="1" applyFill="1" applyBorder="1" applyAlignment="1" applyProtection="1">
      <alignment/>
      <protection/>
    </xf>
    <xf numFmtId="170" fontId="8" fillId="4" borderId="26" xfId="0" applyNumberFormat="1" applyFont="1" applyFill="1" applyBorder="1" applyAlignment="1" applyProtection="1">
      <alignment/>
      <protection/>
    </xf>
    <xf numFmtId="170" fontId="8" fillId="0" borderId="19" xfId="0" applyNumberFormat="1" applyFont="1" applyFill="1" applyBorder="1" applyAlignment="1" applyProtection="1">
      <alignment/>
      <protection/>
    </xf>
    <xf numFmtId="170" fontId="8" fillId="4" borderId="27" xfId="0" applyNumberFormat="1" applyFont="1" applyFill="1" applyBorder="1" applyAlignment="1" applyProtection="1">
      <alignment/>
      <protection/>
    </xf>
    <xf numFmtId="170" fontId="7" fillId="0" borderId="18" xfId="0" applyNumberFormat="1" applyFont="1" applyFill="1" applyBorder="1" applyAlignment="1" applyProtection="1">
      <alignment/>
      <protection/>
    </xf>
    <xf numFmtId="41" fontId="4" fillId="0" borderId="21" xfId="16" applyFont="1" applyBorder="1" applyAlignment="1">
      <alignment/>
    </xf>
    <xf numFmtId="171" fontId="8" fillId="4" borderId="12" xfId="0" applyNumberFormat="1" applyFont="1" applyFill="1" applyBorder="1" applyAlignment="1" applyProtection="1">
      <alignment/>
      <protection/>
    </xf>
    <xf numFmtId="41" fontId="4" fillId="0" borderId="22" xfId="16" applyFont="1" applyFill="1" applyBorder="1" applyAlignment="1">
      <alignment/>
    </xf>
    <xf numFmtId="41" fontId="4" fillId="0" borderId="1" xfId="16" applyFont="1" applyFill="1" applyBorder="1" applyAlignment="1">
      <alignment/>
    </xf>
    <xf numFmtId="170" fontId="8" fillId="0" borderId="25" xfId="0" applyNumberFormat="1" applyFont="1" applyFill="1" applyBorder="1" applyAlignment="1" applyProtection="1">
      <alignment/>
      <protection/>
    </xf>
    <xf numFmtId="170" fontId="11" fillId="4" borderId="0" xfId="0" applyNumberFormat="1" applyFont="1" applyFill="1" applyBorder="1" applyAlignment="1" applyProtection="1">
      <alignment/>
      <protection/>
    </xf>
    <xf numFmtId="170" fontId="8" fillId="4" borderId="11" xfId="0" applyNumberFormat="1" applyFont="1" applyFill="1" applyBorder="1" applyAlignment="1" applyProtection="1">
      <alignment/>
      <protection/>
    </xf>
    <xf numFmtId="170" fontId="4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170" fontId="6" fillId="0" borderId="9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70" fontId="10" fillId="4" borderId="0" xfId="0" applyNumberFormat="1" applyFont="1" applyFill="1" applyBorder="1" applyAlignment="1" applyProtection="1">
      <alignment/>
      <protection/>
    </xf>
    <xf numFmtId="170" fontId="7" fillId="4" borderId="21" xfId="0" applyNumberFormat="1" applyFont="1" applyFill="1" applyBorder="1" applyAlignment="1" applyProtection="1">
      <alignment/>
      <protection/>
    </xf>
    <xf numFmtId="170" fontId="7" fillId="4" borderId="0" xfId="0" applyNumberFormat="1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/>
      <protection/>
    </xf>
    <xf numFmtId="170" fontId="8" fillId="4" borderId="29" xfId="0" applyNumberFormat="1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/>
      <protection/>
    </xf>
    <xf numFmtId="0" fontId="15" fillId="0" borderId="12" xfId="0" applyFont="1" applyBorder="1" applyAlignment="1">
      <alignment/>
    </xf>
    <xf numFmtId="170" fontId="10" fillId="4" borderId="12" xfId="0" applyNumberFormat="1" applyFont="1" applyFill="1" applyBorder="1" applyAlignment="1" applyProtection="1">
      <alignment/>
      <protection/>
    </xf>
    <xf numFmtId="170" fontId="11" fillId="4" borderId="4" xfId="0" applyNumberFormat="1" applyFont="1" applyFill="1" applyBorder="1" applyAlignment="1" applyProtection="1">
      <alignment/>
      <protection/>
    </xf>
    <xf numFmtId="0" fontId="15" fillId="0" borderId="4" xfId="0" applyFont="1" applyBorder="1" applyAlignment="1">
      <alignment/>
    </xf>
    <xf numFmtId="170" fontId="16" fillId="4" borderId="4" xfId="0" applyNumberFormat="1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170" fontId="10" fillId="4" borderId="0" xfId="0" applyNumberFormat="1" applyFont="1" applyFill="1" applyBorder="1" applyAlignment="1" applyProtection="1">
      <alignment horizontal="center"/>
      <protection/>
    </xf>
    <xf numFmtId="170" fontId="7" fillId="3" borderId="29" xfId="0" applyNumberFormat="1" applyFont="1" applyFill="1" applyBorder="1" applyAlignment="1" applyProtection="1">
      <alignment vertical="center"/>
      <protection/>
    </xf>
    <xf numFmtId="0" fontId="8" fillId="3" borderId="29" xfId="0" applyFont="1" applyFill="1" applyBorder="1" applyAlignment="1" applyProtection="1">
      <alignment vertical="center"/>
      <protection/>
    </xf>
    <xf numFmtId="170" fontId="8" fillId="3" borderId="29" xfId="0" applyNumberFormat="1" applyFont="1" applyFill="1" applyBorder="1" applyAlignment="1" applyProtection="1">
      <alignment vertical="center"/>
      <protection/>
    </xf>
    <xf numFmtId="170" fontId="8" fillId="0" borderId="29" xfId="0" applyNumberFormat="1" applyFont="1" applyFill="1" applyBorder="1" applyAlignment="1" applyProtection="1">
      <alignment/>
      <protection/>
    </xf>
    <xf numFmtId="170" fontId="8" fillId="0" borderId="21" xfId="0" applyNumberFormat="1" applyFont="1" applyFill="1" applyBorder="1" applyAlignment="1" applyProtection="1">
      <alignment/>
      <protection/>
    </xf>
    <xf numFmtId="170" fontId="6" fillId="0" borderId="4" xfId="0" applyNumberFormat="1" applyFont="1" applyBorder="1" applyAlignment="1">
      <alignment/>
    </xf>
    <xf numFmtId="170" fontId="8" fillId="4" borderId="0" xfId="0" applyNumberFormat="1" applyFont="1" applyFill="1" applyBorder="1" applyAlignment="1" applyProtection="1">
      <alignment horizontal="center"/>
      <protection/>
    </xf>
    <xf numFmtId="170" fontId="9" fillId="4" borderId="0" xfId="0" applyNumberFormat="1" applyFont="1" applyFill="1" applyBorder="1" applyAlignment="1" applyProtection="1">
      <alignment horizontal="left"/>
      <protection/>
    </xf>
    <xf numFmtId="0" fontId="9" fillId="4" borderId="12" xfId="0" applyFont="1" applyFill="1" applyBorder="1" applyAlignment="1" applyProtection="1">
      <alignment/>
      <protection/>
    </xf>
    <xf numFmtId="0" fontId="17" fillId="0" borderId="12" xfId="0" applyFont="1" applyBorder="1" applyAlignment="1">
      <alignment/>
    </xf>
    <xf numFmtId="0" fontId="9" fillId="4" borderId="16" xfId="0" applyFont="1" applyFill="1" applyBorder="1" applyAlignment="1" applyProtection="1">
      <alignment/>
      <protection/>
    </xf>
    <xf numFmtId="0" fontId="17" fillId="0" borderId="4" xfId="0" applyFont="1" applyBorder="1" applyAlignment="1">
      <alignment/>
    </xf>
    <xf numFmtId="170" fontId="9" fillId="4" borderId="4" xfId="0" applyNumberFormat="1" applyFont="1" applyFill="1" applyBorder="1" applyAlignment="1" applyProtection="1">
      <alignment/>
      <protection/>
    </xf>
    <xf numFmtId="170" fontId="9" fillId="0" borderId="0" xfId="0" applyNumberFormat="1" applyFont="1" applyFill="1" applyBorder="1" applyAlignment="1" applyProtection="1">
      <alignment/>
      <protection/>
    </xf>
    <xf numFmtId="0" fontId="17" fillId="0" borderId="21" xfId="0" applyFont="1" applyFill="1" applyBorder="1" applyAlignment="1">
      <alignment/>
    </xf>
    <xf numFmtId="170" fontId="9" fillId="0" borderId="21" xfId="0" applyNumberFormat="1" applyFont="1" applyFill="1" applyBorder="1" applyAlignment="1" applyProtection="1">
      <alignment/>
      <protection/>
    </xf>
    <xf numFmtId="0" fontId="6" fillId="0" borderId="21" xfId="0" applyFont="1" applyFill="1" applyBorder="1" applyAlignment="1">
      <alignment/>
    </xf>
    <xf numFmtId="170" fontId="7" fillId="0" borderId="21" xfId="0" applyNumberFormat="1" applyFont="1" applyFill="1" applyBorder="1" applyAlignment="1" applyProtection="1">
      <alignment/>
      <protection/>
    </xf>
    <xf numFmtId="3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41" fontId="4" fillId="0" borderId="13" xfId="16" applyFont="1" applyBorder="1" applyAlignment="1">
      <alignment horizontal="right"/>
    </xf>
    <xf numFmtId="170" fontId="6" fillId="6" borderId="1" xfId="0" applyNumberFormat="1" applyFont="1" applyFill="1" applyBorder="1" applyAlignment="1">
      <alignment/>
    </xf>
    <xf numFmtId="170" fontId="4" fillId="0" borderId="21" xfId="0" applyNumberFormat="1" applyFont="1" applyBorder="1" applyAlignment="1">
      <alignment/>
    </xf>
    <xf numFmtId="170" fontId="7" fillId="5" borderId="24" xfId="0" applyNumberFormat="1" applyFont="1" applyFill="1" applyBorder="1" applyAlignment="1" applyProtection="1">
      <alignment/>
      <protection/>
    </xf>
    <xf numFmtId="3" fontId="4" fillId="0" borderId="21" xfId="0" applyNumberFormat="1" applyFont="1" applyBorder="1" applyAlignment="1">
      <alignment/>
    </xf>
    <xf numFmtId="170" fontId="6" fillId="6" borderId="24" xfId="0" applyNumberFormat="1" applyFont="1" applyFill="1" applyBorder="1" applyAlignment="1">
      <alignment/>
    </xf>
    <xf numFmtId="170" fontId="8" fillId="3" borderId="12" xfId="0" applyNumberFormat="1" applyFont="1" applyFill="1" applyBorder="1" applyAlignment="1" applyProtection="1">
      <alignment vertical="center"/>
      <protection/>
    </xf>
    <xf numFmtId="170" fontId="8" fillId="3" borderId="25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Border="1" applyAlignment="1">
      <alignment/>
    </xf>
    <xf numFmtId="170" fontId="18" fillId="3" borderId="14" xfId="0" applyNumberFormat="1" applyFont="1" applyFill="1" applyBorder="1" applyAlignment="1" applyProtection="1">
      <alignment horizontal="center" vertical="center"/>
      <protection/>
    </xf>
    <xf numFmtId="170" fontId="18" fillId="3" borderId="21" xfId="0" applyNumberFormat="1" applyFont="1" applyFill="1" applyBorder="1" applyAlignment="1" applyProtection="1">
      <alignment vertical="center"/>
      <protection/>
    </xf>
    <xf numFmtId="0" fontId="19" fillId="3" borderId="21" xfId="0" applyFont="1" applyFill="1" applyBorder="1" applyAlignment="1" applyProtection="1">
      <alignment vertical="center"/>
      <protection/>
    </xf>
    <xf numFmtId="170" fontId="19" fillId="3" borderId="16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170" fontId="21" fillId="6" borderId="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0" fontId="9" fillId="4" borderId="29" xfId="0" applyNumberFormat="1" applyFont="1" applyFill="1" applyBorder="1" applyAlignment="1" applyProtection="1">
      <alignment/>
      <protection/>
    </xf>
    <xf numFmtId="170" fontId="8" fillId="4" borderId="21" xfId="0" applyNumberFormat="1" applyFont="1" applyFill="1" applyBorder="1" applyAlignment="1" applyProtection="1">
      <alignment horizontal="center"/>
      <protection/>
    </xf>
    <xf numFmtId="170" fontId="10" fillId="4" borderId="21" xfId="0" applyNumberFormat="1" applyFont="1" applyFill="1" applyBorder="1" applyAlignment="1" applyProtection="1">
      <alignment/>
      <protection/>
    </xf>
    <xf numFmtId="170" fontId="9" fillId="0" borderId="29" xfId="0" applyNumberFormat="1" applyFont="1" applyFill="1" applyBorder="1" applyAlignment="1" applyProtection="1">
      <alignment/>
      <protection/>
    </xf>
    <xf numFmtId="170" fontId="9" fillId="0" borderId="12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170" fontId="4" fillId="7" borderId="14" xfId="0" applyNumberFormat="1" applyFont="1" applyFill="1" applyBorder="1" applyAlignment="1">
      <alignment/>
    </xf>
    <xf numFmtId="3" fontId="4" fillId="7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170" fontId="6" fillId="0" borderId="4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>
      <alignment/>
    </xf>
    <xf numFmtId="4" fontId="6" fillId="0" borderId="4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8" fillId="4" borderId="7" xfId="0" applyNumberFormat="1" applyFont="1" applyFill="1" applyBorder="1" applyAlignment="1" applyProtection="1">
      <alignment/>
      <protection/>
    </xf>
    <xf numFmtId="170" fontId="8" fillId="4" borderId="30" xfId="0" applyNumberFormat="1" applyFont="1" applyFill="1" applyBorder="1" applyAlignment="1" applyProtection="1">
      <alignment/>
      <protection/>
    </xf>
    <xf numFmtId="170" fontId="8" fillId="4" borderId="4" xfId="0" applyNumberFormat="1" applyFont="1" applyFill="1" applyBorder="1" applyAlignment="1" applyProtection="1">
      <alignment/>
      <protection/>
    </xf>
    <xf numFmtId="170" fontId="8" fillId="4" borderId="16" xfId="0" applyNumberFormat="1" applyFont="1" applyFill="1" applyBorder="1" applyAlignment="1" applyProtection="1">
      <alignment/>
      <protection/>
    </xf>
    <xf numFmtId="170" fontId="8" fillId="4" borderId="18" xfId="0" applyNumberFormat="1" applyFont="1" applyFill="1" applyBorder="1" applyAlignment="1" applyProtection="1">
      <alignment/>
      <protection/>
    </xf>
    <xf numFmtId="170" fontId="8" fillId="4" borderId="19" xfId="0" applyNumberFormat="1" applyFont="1" applyFill="1" applyBorder="1" applyAlignment="1" applyProtection="1">
      <alignment/>
      <protection/>
    </xf>
    <xf numFmtId="170" fontId="8" fillId="4" borderId="24" xfId="0" applyNumberFormat="1" applyFont="1" applyFill="1" applyBorder="1" applyAlignment="1" applyProtection="1">
      <alignment/>
      <protection/>
    </xf>
    <xf numFmtId="170" fontId="8" fillId="4" borderId="0" xfId="0" applyNumberFormat="1" applyFont="1" applyFill="1" applyBorder="1" applyAlignment="1" applyProtection="1">
      <alignment/>
      <protection/>
    </xf>
    <xf numFmtId="170" fontId="7" fillId="5" borderId="9" xfId="0" applyNumberFormat="1" applyFont="1" applyFill="1" applyBorder="1" applyAlignment="1" applyProtection="1">
      <alignment/>
      <protection/>
    </xf>
    <xf numFmtId="170" fontId="13" fillId="0" borderId="0" xfId="0" applyNumberFormat="1" applyFont="1" applyFill="1" applyBorder="1" applyAlignment="1" applyProtection="1">
      <alignment/>
      <protection/>
    </xf>
    <xf numFmtId="170" fontId="8" fillId="0" borderId="24" xfId="0" applyNumberFormat="1" applyFont="1" applyFill="1" applyBorder="1" applyAlignment="1" applyProtection="1">
      <alignment/>
      <protection/>
    </xf>
    <xf numFmtId="170" fontId="8" fillId="4" borderId="31" xfId="0" applyNumberFormat="1" applyFont="1" applyFill="1" applyBorder="1" applyAlignment="1" applyProtection="1">
      <alignment/>
      <protection/>
    </xf>
    <xf numFmtId="170" fontId="8" fillId="0" borderId="1" xfId="0" applyNumberFormat="1" applyFont="1" applyFill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4" fillId="0" borderId="12" xfId="0" applyFont="1" applyBorder="1" applyAlignment="1">
      <alignment/>
    </xf>
    <xf numFmtId="170" fontId="8" fillId="0" borderId="19" xfId="0" applyNumberFormat="1" applyFont="1" applyFill="1" applyBorder="1" applyAlignment="1" applyProtection="1">
      <alignment/>
      <protection/>
    </xf>
    <xf numFmtId="41" fontId="4" fillId="0" borderId="22" xfId="16" applyFont="1" applyFill="1" applyBorder="1" applyAlignment="1">
      <alignment/>
    </xf>
    <xf numFmtId="170" fontId="11" fillId="4" borderId="4" xfId="0" applyNumberFormat="1" applyFont="1" applyFill="1" applyBorder="1" applyAlignment="1" applyProtection="1">
      <alignment/>
      <protection/>
    </xf>
    <xf numFmtId="170" fontId="11" fillId="4" borderId="0" xfId="0" applyNumberFormat="1" applyFont="1" applyFill="1" applyBorder="1" applyAlignment="1" applyProtection="1">
      <alignment/>
      <protection/>
    </xf>
    <xf numFmtId="9" fontId="14" fillId="4" borderId="4" xfId="17" applyFont="1" applyFill="1" applyBorder="1" applyAlignment="1" applyProtection="1">
      <alignment/>
      <protection/>
    </xf>
    <xf numFmtId="170" fontId="4" fillId="0" borderId="4" xfId="0" applyNumberFormat="1" applyFont="1" applyBorder="1" applyAlignment="1">
      <alignment/>
    </xf>
    <xf numFmtId="170" fontId="8" fillId="4" borderId="9" xfId="0" applyNumberFormat="1" applyFont="1" applyFill="1" applyBorder="1" applyAlignment="1" applyProtection="1">
      <alignment/>
      <protection/>
    </xf>
    <xf numFmtId="170" fontId="8" fillId="4" borderId="21" xfId="0" applyNumberFormat="1" applyFont="1" applyFill="1" applyBorder="1" applyAlignment="1" applyProtection="1">
      <alignment/>
      <protection/>
    </xf>
    <xf numFmtId="170" fontId="7" fillId="5" borderId="24" xfId="0" applyNumberFormat="1" applyFont="1" applyFill="1" applyBorder="1" applyAlignment="1" applyProtection="1">
      <alignment/>
      <protection/>
    </xf>
    <xf numFmtId="170" fontId="8" fillId="4" borderId="28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23" fillId="0" borderId="0" xfId="0" applyFont="1" applyAlignment="1">
      <alignment horizontal="justify" vertical="justify" wrapText="1"/>
    </xf>
    <xf numFmtId="0" fontId="2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170" fontId="8" fillId="4" borderId="32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7"/>
  <sheetViews>
    <sheetView tabSelected="1" zoomScale="75" zoomScaleNormal="75" workbookViewId="0" topLeftCell="A1">
      <selection activeCell="V22" sqref="V22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47.7109375" style="1" customWidth="1"/>
    <col min="5" max="5" width="12.57421875" style="159" hidden="1" customWidth="1"/>
    <col min="6" max="6" width="12.57421875" style="1" hidden="1" customWidth="1"/>
    <col min="7" max="8" width="11.7109375" style="1" hidden="1" customWidth="1"/>
    <col min="9" max="10" width="12.57421875" style="1" hidden="1" customWidth="1"/>
    <col min="11" max="14" width="11.7109375" style="1" hidden="1" customWidth="1"/>
    <col min="15" max="15" width="13.7109375" style="1" hidden="1" customWidth="1"/>
    <col min="16" max="17" width="14.00390625" style="1" hidden="1" customWidth="1"/>
    <col min="18" max="18" width="13.8515625" style="1" hidden="1" customWidth="1"/>
    <col min="19" max="19" width="0.13671875" style="1" hidden="1" customWidth="1"/>
    <col min="20" max="21" width="24.7109375" style="0" customWidth="1"/>
    <col min="22" max="22" width="24.57421875" style="0" customWidth="1"/>
    <col min="23" max="25" width="24.7109375" style="154" hidden="1" customWidth="1"/>
  </cols>
  <sheetData>
    <row r="1" ht="27.75" customHeight="1"/>
    <row r="2" spans="1:22" ht="27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</row>
    <row r="3" spans="1:22" ht="27.75" customHeight="1">
      <c r="A3" s="194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43"/>
      <c r="T4" s="142"/>
      <c r="U4" s="142"/>
      <c r="V4" s="142"/>
    </row>
    <row r="5" spans="1:22" ht="27.75" customHeight="1">
      <c r="A5" s="195" t="s">
        <v>163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ht="27.7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7" spans="1:18" ht="23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5" s="6" customFormat="1" ht="15.75" customHeight="1">
      <c r="A9" s="5"/>
      <c r="B9" s="5"/>
      <c r="C9" s="5"/>
      <c r="D9" s="5"/>
      <c r="E9" s="16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W9" s="155"/>
      <c r="X9" s="155"/>
      <c r="Y9" s="155"/>
    </row>
    <row r="10" spans="1:25" s="6" customFormat="1" ht="15.75" customHeight="1">
      <c r="A10" s="5"/>
      <c r="B10" s="5"/>
      <c r="C10" s="5"/>
      <c r="D10" s="5"/>
      <c r="E10" s="7" t="s">
        <v>2</v>
      </c>
      <c r="F10" s="8" t="s">
        <v>3</v>
      </c>
      <c r="G10" s="9"/>
      <c r="H10" s="8" t="s">
        <v>4</v>
      </c>
      <c r="I10" s="10"/>
      <c r="J10" s="11"/>
      <c r="K10" s="11"/>
      <c r="L10" s="11"/>
      <c r="M10" s="9" t="s">
        <v>5</v>
      </c>
      <c r="N10" s="12" t="s">
        <v>6</v>
      </c>
      <c r="O10" s="9"/>
      <c r="P10" s="9"/>
      <c r="Q10" s="9"/>
      <c r="R10" s="9"/>
      <c r="S10" s="9"/>
      <c r="T10" s="13">
        <v>2004</v>
      </c>
      <c r="U10" s="13">
        <v>2005</v>
      </c>
      <c r="V10" s="13">
        <v>2006</v>
      </c>
      <c r="W10" s="13">
        <v>2002</v>
      </c>
      <c r="X10" s="13">
        <v>2003</v>
      </c>
      <c r="Y10" s="13">
        <v>2004</v>
      </c>
    </row>
    <row r="11" spans="1:25" s="6" customFormat="1" ht="15.75" customHeight="1">
      <c r="A11" s="66" t="s">
        <v>7</v>
      </c>
      <c r="B11" s="14" t="s">
        <v>8</v>
      </c>
      <c r="C11" s="15"/>
      <c r="D11" s="16"/>
      <c r="E11" s="161"/>
      <c r="F11" s="17"/>
      <c r="G11" s="17"/>
      <c r="H11" s="18"/>
      <c r="I11" s="19"/>
      <c r="J11" s="20"/>
      <c r="K11" s="17"/>
      <c r="L11" s="17"/>
      <c r="M11" s="18"/>
      <c r="N11" s="19"/>
      <c r="O11" s="19"/>
      <c r="P11" s="21"/>
      <c r="Q11" s="21"/>
      <c r="R11" s="21"/>
      <c r="S11" s="21"/>
      <c r="T11" s="22"/>
      <c r="U11" s="22"/>
      <c r="V11" s="23"/>
      <c r="W11" s="22"/>
      <c r="X11" s="22"/>
      <c r="Y11" s="23"/>
    </row>
    <row r="12" spans="1:25" s="6" customFormat="1" ht="15.75" customHeight="1">
      <c r="A12" s="144" t="s">
        <v>9</v>
      </c>
      <c r="B12" s="24"/>
      <c r="C12" s="25"/>
      <c r="D12" s="21"/>
      <c r="E12" s="162"/>
      <c r="F12" s="17"/>
      <c r="G12" s="17"/>
      <c r="H12" s="18"/>
      <c r="I12" s="26"/>
      <c r="J12" s="20"/>
      <c r="K12" s="17"/>
      <c r="L12" s="17"/>
      <c r="M12" s="18"/>
      <c r="N12" s="26"/>
      <c r="O12" s="26"/>
      <c r="P12" s="21"/>
      <c r="Q12" s="21"/>
      <c r="R12" s="21"/>
      <c r="S12" s="21"/>
      <c r="T12" s="156">
        <f aca="true" t="shared" si="0" ref="T12:Y12">SUM(T13:T24)</f>
        <v>6509062.259999999</v>
      </c>
      <c r="U12" s="156">
        <f t="shared" si="0"/>
        <v>6584937.9232</v>
      </c>
      <c r="V12" s="156">
        <f t="shared" si="0"/>
        <v>6768062.263664001</v>
      </c>
      <c r="W12" s="112">
        <f t="shared" si="0"/>
        <v>10738673926</v>
      </c>
      <c r="X12" s="112">
        <f t="shared" si="0"/>
        <v>11704430033.458</v>
      </c>
      <c r="Y12" s="112">
        <f t="shared" si="0"/>
        <v>12823401171.9184</v>
      </c>
    </row>
    <row r="13" spans="1:25" s="6" customFormat="1" ht="15.75" customHeight="1">
      <c r="A13" s="113" t="s">
        <v>10</v>
      </c>
      <c r="B13" s="35" t="s">
        <v>165</v>
      </c>
      <c r="C13" s="27"/>
      <c r="D13" s="193"/>
      <c r="E13" s="163">
        <v>2140000000</v>
      </c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30"/>
      <c r="S13" s="30"/>
      <c r="T13" s="156">
        <f>1472534.1+303000</f>
        <v>1775534.1</v>
      </c>
      <c r="U13" s="156">
        <f>T13</f>
        <v>1775534.1</v>
      </c>
      <c r="V13" s="156">
        <f>(U13*1.04)</f>
        <v>1846555.4640000002</v>
      </c>
      <c r="W13" s="31">
        <f>2604350000+50000000</f>
        <v>2654350000</v>
      </c>
      <c r="X13" s="151">
        <f>(W13*1.05)+(73000*180*40)</f>
        <v>3312667500</v>
      </c>
      <c r="Y13" s="151">
        <f>(W13*1.1)+(73000*360*40)</f>
        <v>3970985000</v>
      </c>
    </row>
    <row r="14" spans="1:25" s="6" customFormat="1" ht="15.75" customHeight="1">
      <c r="A14" s="113" t="s">
        <v>11</v>
      </c>
      <c r="B14" s="35" t="s">
        <v>164</v>
      </c>
      <c r="C14" s="27"/>
      <c r="D14" s="28"/>
      <c r="E14" s="164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0"/>
      <c r="Q14" s="30"/>
      <c r="R14" s="30"/>
      <c r="S14" s="30"/>
      <c r="T14" s="156">
        <f>750745+117000</f>
        <v>867745</v>
      </c>
      <c r="U14" s="156">
        <f>T14</f>
        <v>867745</v>
      </c>
      <c r="V14" s="156">
        <f>(U14*1.04)</f>
        <v>902454.8</v>
      </c>
      <c r="W14" s="31"/>
      <c r="X14" s="151"/>
      <c r="Y14" s="151"/>
    </row>
    <row r="15" spans="1:25" s="6" customFormat="1" ht="15.75" customHeight="1">
      <c r="A15" s="113" t="s">
        <v>12</v>
      </c>
      <c r="B15" s="35" t="s">
        <v>87</v>
      </c>
      <c r="C15" s="27"/>
      <c r="D15" s="33"/>
      <c r="E15" s="164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0"/>
      <c r="Q15" s="30"/>
      <c r="R15" s="30"/>
      <c r="S15" s="30"/>
      <c r="T15" s="156">
        <f>150809.92+103767.64</f>
        <v>254577.56</v>
      </c>
      <c r="U15" s="156">
        <f>T15*1.02</f>
        <v>259669.1112</v>
      </c>
      <c r="V15" s="156">
        <f>U15*1.02</f>
        <v>264862.49342400004</v>
      </c>
      <c r="W15" s="31">
        <f>245280000+445447490</f>
        <v>690727490</v>
      </c>
      <c r="X15" s="151">
        <f>W15*1.025</f>
        <v>707995677.2499999</v>
      </c>
      <c r="Y15" s="151">
        <f>W15*1.05</f>
        <v>725263864.5</v>
      </c>
    </row>
    <row r="16" spans="1:25" s="6" customFormat="1" ht="15.75" customHeight="1">
      <c r="A16" s="113" t="s">
        <v>13</v>
      </c>
      <c r="B16" s="27" t="s">
        <v>88</v>
      </c>
      <c r="C16" s="37"/>
      <c r="D16" s="36"/>
      <c r="E16" s="164"/>
      <c r="F16" s="29"/>
      <c r="G16" s="29">
        <v>65000000</v>
      </c>
      <c r="H16" s="29"/>
      <c r="I16" s="29"/>
      <c r="J16" s="29"/>
      <c r="K16" s="29"/>
      <c r="L16" s="29"/>
      <c r="M16" s="38"/>
      <c r="N16" s="29"/>
      <c r="O16" s="30"/>
      <c r="P16" s="30"/>
      <c r="Q16" s="30"/>
      <c r="R16" s="30"/>
      <c r="S16" s="30"/>
      <c r="T16" s="156">
        <f>57561.56+15522.2</f>
        <v>73083.76</v>
      </c>
      <c r="U16" s="156">
        <f>(T16*1.02)</f>
        <v>74545.43519999999</v>
      </c>
      <c r="V16" s="156">
        <f>(U16*1.02)</f>
        <v>76036.343904</v>
      </c>
      <c r="W16" s="31">
        <v>149760000</v>
      </c>
      <c r="X16" s="151">
        <f>(W16*1.025)+(12*40000*180)</f>
        <v>239904000</v>
      </c>
      <c r="Y16" s="151">
        <f>(W16*1.05)+(12*40000*360)</f>
        <v>330048000</v>
      </c>
    </row>
    <row r="17" spans="1:25" s="6" customFormat="1" ht="15.75" customHeight="1">
      <c r="A17" s="113" t="s">
        <v>14</v>
      </c>
      <c r="B17" s="27" t="s">
        <v>141</v>
      </c>
      <c r="C17" s="37"/>
      <c r="D17" s="36"/>
      <c r="E17" s="164"/>
      <c r="F17" s="29"/>
      <c r="G17" s="29"/>
      <c r="H17" s="29">
        <v>6496000</v>
      </c>
      <c r="I17" s="29"/>
      <c r="J17" s="29"/>
      <c r="K17" s="29"/>
      <c r="L17" s="29"/>
      <c r="M17" s="38"/>
      <c r="N17" s="29"/>
      <c r="O17" s="30"/>
      <c r="P17" s="30"/>
      <c r="Q17" s="30"/>
      <c r="R17" s="30"/>
      <c r="S17" s="30"/>
      <c r="T17" s="156">
        <f>48959.14+6363.64</f>
        <v>55322.78</v>
      </c>
      <c r="U17" s="156">
        <f aca="true" t="shared" si="1" ref="U17:V22">T17*1.02</f>
        <v>56429.2356</v>
      </c>
      <c r="V17" s="156">
        <f t="shared" si="1"/>
        <v>57557.820312</v>
      </c>
      <c r="W17" s="31">
        <v>104933333</v>
      </c>
      <c r="X17" s="91">
        <f aca="true" t="shared" si="2" ref="X17:Y24">W17*1.018</f>
        <v>106822132.994</v>
      </c>
      <c r="Y17" s="91">
        <f t="shared" si="2"/>
        <v>108744931.38789201</v>
      </c>
    </row>
    <row r="18" spans="1:25" s="6" customFormat="1" ht="15.75" customHeight="1">
      <c r="A18" s="113" t="s">
        <v>15</v>
      </c>
      <c r="B18" s="27" t="s">
        <v>119</v>
      </c>
      <c r="C18" s="37"/>
      <c r="D18" s="36"/>
      <c r="E18" s="164"/>
      <c r="F18" s="29"/>
      <c r="G18" s="29"/>
      <c r="H18" s="29"/>
      <c r="I18" s="29"/>
      <c r="J18" s="29"/>
      <c r="K18" s="29">
        <v>45000000</v>
      </c>
      <c r="L18" s="29"/>
      <c r="M18" s="38"/>
      <c r="N18" s="29"/>
      <c r="O18" s="30"/>
      <c r="P18" s="30"/>
      <c r="Q18" s="30"/>
      <c r="R18" s="30"/>
      <c r="S18" s="30"/>
      <c r="T18" s="156">
        <v>48000</v>
      </c>
      <c r="U18" s="156">
        <f t="shared" si="1"/>
        <v>48960</v>
      </c>
      <c r="V18" s="156">
        <f t="shared" si="1"/>
        <v>49939.200000000004</v>
      </c>
      <c r="W18" s="31">
        <v>14000000</v>
      </c>
      <c r="X18" s="91">
        <f t="shared" si="2"/>
        <v>14252000</v>
      </c>
      <c r="Y18" s="91">
        <f t="shared" si="2"/>
        <v>14508536</v>
      </c>
    </row>
    <row r="19" spans="1:25" s="6" customFormat="1" ht="15.75" customHeight="1">
      <c r="A19" s="113" t="s">
        <v>16</v>
      </c>
      <c r="B19" s="27" t="s">
        <v>167</v>
      </c>
      <c r="C19" s="37"/>
      <c r="D19" s="36"/>
      <c r="E19" s="164"/>
      <c r="F19" s="29"/>
      <c r="G19" s="29"/>
      <c r="H19" s="29"/>
      <c r="I19" s="29"/>
      <c r="J19" s="29"/>
      <c r="K19" s="29"/>
      <c r="L19" s="29"/>
      <c r="M19" s="38"/>
      <c r="N19" s="29"/>
      <c r="O19" s="30"/>
      <c r="P19" s="30"/>
      <c r="Q19" s="30"/>
      <c r="R19" s="30"/>
      <c r="S19" s="30"/>
      <c r="T19" s="156">
        <v>26880</v>
      </c>
      <c r="U19" s="156">
        <f t="shared" si="1"/>
        <v>27417.600000000002</v>
      </c>
      <c r="V19" s="156">
        <f t="shared" si="1"/>
        <v>27965.952</v>
      </c>
      <c r="W19" s="31"/>
      <c r="X19" s="91"/>
      <c r="Y19" s="91"/>
    </row>
    <row r="20" spans="1:25" s="6" customFormat="1" ht="15.75" customHeight="1">
      <c r="A20" s="113" t="s">
        <v>16</v>
      </c>
      <c r="B20" s="35" t="s">
        <v>20</v>
      </c>
      <c r="C20" s="37"/>
      <c r="D20" s="36"/>
      <c r="E20" s="164"/>
      <c r="F20" s="29"/>
      <c r="G20" s="29"/>
      <c r="H20" s="29"/>
      <c r="I20" s="29"/>
      <c r="J20" s="29"/>
      <c r="K20" s="29"/>
      <c r="L20" s="29">
        <v>43064000</v>
      </c>
      <c r="M20" s="38"/>
      <c r="N20" s="29"/>
      <c r="O20" s="30"/>
      <c r="P20" s="30"/>
      <c r="Q20" s="30"/>
      <c r="R20" s="30"/>
      <c r="S20" s="30"/>
      <c r="T20" s="156">
        <f>1132684.12+1698583.22</f>
        <v>2831267.34</v>
      </c>
      <c r="U20" s="156">
        <f t="shared" si="1"/>
        <v>2887892.6868</v>
      </c>
      <c r="V20" s="156">
        <f t="shared" si="1"/>
        <v>2945650.540536</v>
      </c>
      <c r="W20" s="31">
        <f>96000000+36500000</f>
        <v>132500000</v>
      </c>
      <c r="X20" s="151">
        <f>W20*1.05</f>
        <v>139125000</v>
      </c>
      <c r="Y20" s="151">
        <f>W20*1.1</f>
        <v>145750000</v>
      </c>
    </row>
    <row r="21" spans="1:25" s="6" customFormat="1" ht="15.75" customHeight="1">
      <c r="A21" s="113" t="s">
        <v>17</v>
      </c>
      <c r="B21" s="27" t="s">
        <v>125</v>
      </c>
      <c r="C21" s="37"/>
      <c r="D21" s="36"/>
      <c r="E21" s="164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0"/>
      <c r="Q21" s="30"/>
      <c r="R21" s="30"/>
      <c r="S21" s="30"/>
      <c r="T21" s="156">
        <v>8835.84</v>
      </c>
      <c r="U21" s="156">
        <f t="shared" si="1"/>
        <v>9012.5568</v>
      </c>
      <c r="V21" s="156">
        <f t="shared" si="1"/>
        <v>9192.807936000001</v>
      </c>
      <c r="W21" s="31">
        <f>156666667+296000000</f>
        <v>452666667</v>
      </c>
      <c r="X21" s="91">
        <f t="shared" si="2"/>
        <v>460814667.006</v>
      </c>
      <c r="Y21" s="91">
        <f t="shared" si="2"/>
        <v>469109331.01210797</v>
      </c>
    </row>
    <row r="22" spans="1:25" s="6" customFormat="1" ht="15.75" customHeight="1">
      <c r="A22" s="113" t="s">
        <v>166</v>
      </c>
      <c r="B22" s="27" t="s">
        <v>142</v>
      </c>
      <c r="C22" s="37"/>
      <c r="D22" s="36"/>
      <c r="E22" s="164"/>
      <c r="F22" s="29"/>
      <c r="G22" s="29"/>
      <c r="H22" s="29"/>
      <c r="I22" s="29"/>
      <c r="J22" s="29"/>
      <c r="K22" s="29"/>
      <c r="L22" s="29"/>
      <c r="M22" s="39"/>
      <c r="N22" s="29">
        <v>15000000</v>
      </c>
      <c r="O22" s="30"/>
      <c r="P22" s="30"/>
      <c r="Q22" s="30"/>
      <c r="R22" s="30"/>
      <c r="S22" s="30"/>
      <c r="T22" s="156">
        <v>245905.56</v>
      </c>
      <c r="U22" s="156">
        <f t="shared" si="1"/>
        <v>250823.6712</v>
      </c>
      <c r="V22" s="156">
        <f t="shared" si="1"/>
        <v>255840.144624</v>
      </c>
      <c r="W22" s="31">
        <v>0</v>
      </c>
      <c r="X22" s="91">
        <f t="shared" si="2"/>
        <v>0</v>
      </c>
      <c r="Y22" s="91">
        <f t="shared" si="2"/>
        <v>0</v>
      </c>
    </row>
    <row r="23" spans="1:25" s="6" customFormat="1" ht="15.75" customHeight="1">
      <c r="A23" s="113" t="s">
        <v>19</v>
      </c>
      <c r="B23" s="27" t="s">
        <v>18</v>
      </c>
      <c r="C23" s="27"/>
      <c r="D23" s="36"/>
      <c r="E23" s="164"/>
      <c r="F23" s="29"/>
      <c r="G23" s="29"/>
      <c r="H23" s="29"/>
      <c r="I23" s="29">
        <v>1762300000</v>
      </c>
      <c r="J23" s="40">
        <v>2056000000</v>
      </c>
      <c r="K23" s="29"/>
      <c r="L23" s="29"/>
      <c r="M23" s="29"/>
      <c r="N23" s="29"/>
      <c r="O23" s="30"/>
      <c r="P23" s="30"/>
      <c r="Q23" s="30"/>
      <c r="R23" s="30"/>
      <c r="S23" s="30"/>
      <c r="T23" s="156">
        <v>72000</v>
      </c>
      <c r="U23" s="156">
        <f>T23</f>
        <v>72000</v>
      </c>
      <c r="V23" s="156">
        <f>U23</f>
        <v>72000</v>
      </c>
      <c r="W23" s="31">
        <f>2784000000+22318701+3714000000+19417735</f>
        <v>6539736436</v>
      </c>
      <c r="X23" s="151">
        <f>W23*1.028</f>
        <v>6722849056.208</v>
      </c>
      <c r="Y23" s="151">
        <f>X23*1.05</f>
        <v>7058991509.0184</v>
      </c>
    </row>
    <row r="24" spans="1:25" s="6" customFormat="1" ht="15.75" customHeight="1">
      <c r="A24" s="113" t="s">
        <v>21</v>
      </c>
      <c r="B24" s="35" t="s">
        <v>126</v>
      </c>
      <c r="C24" s="27"/>
      <c r="D24" s="35"/>
      <c r="E24" s="163"/>
      <c r="F24" s="29"/>
      <c r="G24" s="29"/>
      <c r="H24" s="29"/>
      <c r="I24" s="29"/>
      <c r="J24" s="40"/>
      <c r="K24" s="29"/>
      <c r="L24" s="29"/>
      <c r="M24" s="29"/>
      <c r="N24" s="29"/>
      <c r="O24" s="30"/>
      <c r="P24" s="30"/>
      <c r="Q24" s="30"/>
      <c r="R24" s="30"/>
      <c r="S24" s="30"/>
      <c r="T24" s="156">
        <v>249910.32</v>
      </c>
      <c r="U24" s="156">
        <f>T24*1.02</f>
        <v>254908.5264</v>
      </c>
      <c r="V24" s="156">
        <f>U24*1.02</f>
        <v>260006.69692800002</v>
      </c>
      <c r="W24" s="31">
        <v>0</v>
      </c>
      <c r="X24" s="91">
        <f t="shared" si="2"/>
        <v>0</v>
      </c>
      <c r="Y24" s="91">
        <f t="shared" si="2"/>
        <v>0</v>
      </c>
    </row>
    <row r="25" spans="1:25" s="6" customFormat="1" ht="15.75" customHeight="1">
      <c r="A25" s="24" t="s">
        <v>22</v>
      </c>
      <c r="B25" s="41"/>
      <c r="C25" s="27"/>
      <c r="D25" s="35"/>
      <c r="E25" s="165"/>
      <c r="F25" s="42"/>
      <c r="G25" s="42"/>
      <c r="H25" s="42"/>
      <c r="I25" s="43"/>
      <c r="J25" s="42"/>
      <c r="K25" s="42"/>
      <c r="L25" s="42"/>
      <c r="M25" s="42"/>
      <c r="N25" s="44"/>
      <c r="O25" s="45"/>
      <c r="P25" s="30"/>
      <c r="Q25" s="30"/>
      <c r="R25" s="30"/>
      <c r="S25" s="30"/>
      <c r="T25" s="156">
        <v>0</v>
      </c>
      <c r="U25" s="156">
        <v>0</v>
      </c>
      <c r="V25" s="156">
        <v>0</v>
      </c>
      <c r="W25" s="89">
        <f aca="true" t="shared" si="3" ref="W25:Y27">SUM(H25:V25)</f>
        <v>0</v>
      </c>
      <c r="X25" s="89">
        <f t="shared" si="3"/>
        <v>0</v>
      </c>
      <c r="Y25" s="112">
        <f t="shared" si="3"/>
        <v>0</v>
      </c>
    </row>
    <row r="26" spans="1:25" s="6" customFormat="1" ht="15.75" customHeight="1">
      <c r="A26" s="24" t="s">
        <v>23</v>
      </c>
      <c r="B26" s="41"/>
      <c r="C26" s="27"/>
      <c r="D26" s="35"/>
      <c r="E26" s="166"/>
      <c r="F26" s="43"/>
      <c r="G26" s="43"/>
      <c r="H26" s="43"/>
      <c r="I26" s="17"/>
      <c r="J26" s="43"/>
      <c r="K26" s="43"/>
      <c r="L26" s="43"/>
      <c r="M26" s="43"/>
      <c r="N26" s="46"/>
      <c r="O26" s="35"/>
      <c r="P26" s="30"/>
      <c r="Q26" s="30"/>
      <c r="R26" s="30"/>
      <c r="S26" s="30"/>
      <c r="T26" s="156">
        <v>0</v>
      </c>
      <c r="U26" s="156">
        <v>0</v>
      </c>
      <c r="V26" s="156">
        <v>0</v>
      </c>
      <c r="W26" s="89">
        <f t="shared" si="3"/>
        <v>0</v>
      </c>
      <c r="X26" s="89">
        <f t="shared" si="3"/>
        <v>0</v>
      </c>
      <c r="Y26" s="112">
        <f t="shared" si="3"/>
        <v>0</v>
      </c>
    </row>
    <row r="27" spans="1:25" s="6" customFormat="1" ht="15.75" customHeight="1">
      <c r="A27" s="24" t="s">
        <v>24</v>
      </c>
      <c r="B27" s="41"/>
      <c r="C27" s="27"/>
      <c r="D27" s="35"/>
      <c r="E27" s="161"/>
      <c r="F27" s="17"/>
      <c r="G27" s="17"/>
      <c r="H27" s="17"/>
      <c r="I27" s="29"/>
      <c r="J27" s="17"/>
      <c r="K27" s="17"/>
      <c r="L27" s="17"/>
      <c r="M27" s="17"/>
      <c r="N27" s="17"/>
      <c r="O27" s="21"/>
      <c r="P27" s="30"/>
      <c r="Q27" s="30"/>
      <c r="R27" s="30"/>
      <c r="S27" s="30"/>
      <c r="T27" s="156">
        <v>0</v>
      </c>
      <c r="U27" s="156">
        <v>0</v>
      </c>
      <c r="V27" s="156">
        <v>0</v>
      </c>
      <c r="W27" s="89">
        <f t="shared" si="3"/>
        <v>0</v>
      </c>
      <c r="X27" s="89">
        <f t="shared" si="3"/>
        <v>0</v>
      </c>
      <c r="Y27" s="112">
        <f t="shared" si="3"/>
        <v>0</v>
      </c>
    </row>
    <row r="28" spans="1:25" s="6" customFormat="1" ht="15.75" customHeight="1">
      <c r="A28" s="24" t="s">
        <v>25</v>
      </c>
      <c r="B28" s="41"/>
      <c r="C28" s="27"/>
      <c r="D28" s="35"/>
      <c r="E28" s="163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30"/>
      <c r="Q28" s="30"/>
      <c r="R28" s="30"/>
      <c r="S28" s="30"/>
      <c r="T28" s="156">
        <f>W28/1936.27</f>
        <v>0</v>
      </c>
      <c r="U28" s="156">
        <v>0</v>
      </c>
      <c r="V28" s="156">
        <v>0</v>
      </c>
      <c r="W28" s="89"/>
      <c r="X28" s="31"/>
      <c r="Y28" s="32"/>
    </row>
    <row r="29" spans="1:25" s="6" customFormat="1" ht="15.75" customHeight="1">
      <c r="A29" s="106" t="s">
        <v>10</v>
      </c>
      <c r="B29" s="47" t="s">
        <v>26</v>
      </c>
      <c r="C29" s="48"/>
      <c r="D29" s="49"/>
      <c r="E29" s="163"/>
      <c r="F29" s="29"/>
      <c r="G29" s="29"/>
      <c r="H29" s="5"/>
      <c r="I29" s="29"/>
      <c r="J29" s="29"/>
      <c r="K29" s="29"/>
      <c r="L29" s="29"/>
      <c r="M29" s="5"/>
      <c r="N29" s="5"/>
      <c r="O29" s="30"/>
      <c r="P29" s="30"/>
      <c r="Q29" s="30"/>
      <c r="R29" s="30"/>
      <c r="S29" s="30"/>
      <c r="T29" s="156">
        <f aca="true" t="shared" si="4" ref="T29:Y29">SUM(T30:T33)</f>
        <v>2350681.12</v>
      </c>
      <c r="U29" s="156">
        <f t="shared" si="4"/>
        <v>2397694.7424</v>
      </c>
      <c r="V29" s="156">
        <f t="shared" si="4"/>
        <v>2445648.637248</v>
      </c>
      <c r="W29" s="88">
        <f t="shared" si="4"/>
        <v>3057016342</v>
      </c>
      <c r="X29" s="88">
        <f t="shared" si="4"/>
        <v>3616042636.156</v>
      </c>
      <c r="Y29" s="88">
        <f t="shared" si="4"/>
        <v>4132732855.326808</v>
      </c>
    </row>
    <row r="30" spans="1:25" s="6" customFormat="1" ht="15.75" customHeight="1">
      <c r="A30" s="113"/>
      <c r="B30" s="27" t="s">
        <v>170</v>
      </c>
      <c r="C30" s="37"/>
      <c r="D30" s="35"/>
      <c r="E30" s="166">
        <v>764572000</v>
      </c>
      <c r="F30" s="50"/>
      <c r="G30" s="43"/>
      <c r="H30" s="43"/>
      <c r="I30" s="42"/>
      <c r="J30" s="43"/>
      <c r="K30" s="43"/>
      <c r="L30" s="43"/>
      <c r="M30" s="43"/>
      <c r="N30" s="5"/>
      <c r="O30" s="30"/>
      <c r="P30" s="29"/>
      <c r="Q30" s="30"/>
      <c r="R30" s="30"/>
      <c r="S30" s="30"/>
      <c r="T30" s="156">
        <v>0</v>
      </c>
      <c r="U30" s="156">
        <f aca="true" t="shared" si="5" ref="U30:V32">(T30*1.02)</f>
        <v>0</v>
      </c>
      <c r="V30" s="156">
        <f t="shared" si="5"/>
        <v>0</v>
      </c>
      <c r="W30" s="31">
        <f>550000000+200000000+100000000+61666667+50000000+50000000-950000000</f>
        <v>61666667</v>
      </c>
      <c r="X30" s="91">
        <f aca="true" t="shared" si="6" ref="X30:Y33">W30*1.018</f>
        <v>62776667.006000005</v>
      </c>
      <c r="Y30" s="91">
        <f t="shared" si="6"/>
        <v>63906647.012108006</v>
      </c>
    </row>
    <row r="31" spans="1:25" s="6" customFormat="1" ht="15.75" customHeight="1">
      <c r="A31" s="113"/>
      <c r="B31" s="27" t="s">
        <v>168</v>
      </c>
      <c r="C31" s="37"/>
      <c r="D31" s="35"/>
      <c r="E31" s="166">
        <v>764572000</v>
      </c>
      <c r="F31" s="50"/>
      <c r="G31" s="43"/>
      <c r="H31" s="43"/>
      <c r="I31" s="42"/>
      <c r="J31" s="43"/>
      <c r="K31" s="43"/>
      <c r="L31" s="43"/>
      <c r="M31" s="43"/>
      <c r="N31" s="5"/>
      <c r="O31" s="30"/>
      <c r="P31" s="29"/>
      <c r="Q31" s="30"/>
      <c r="R31" s="30"/>
      <c r="S31" s="30"/>
      <c r="T31" s="156">
        <f>150450+58650+51850</f>
        <v>260950</v>
      </c>
      <c r="U31" s="156">
        <f t="shared" si="5"/>
        <v>266169</v>
      </c>
      <c r="V31" s="156">
        <f t="shared" si="5"/>
        <v>271492.38</v>
      </c>
      <c r="W31" s="31">
        <f>456072550+101320000+37487125</f>
        <v>594879675</v>
      </c>
      <c r="X31" s="91">
        <f t="shared" si="6"/>
        <v>605587509.15</v>
      </c>
      <c r="Y31" s="91">
        <f t="shared" si="6"/>
        <v>616488084.3147</v>
      </c>
    </row>
    <row r="32" spans="1:25" s="6" customFormat="1" ht="15.75" customHeight="1">
      <c r="A32" s="113"/>
      <c r="B32" s="27" t="s">
        <v>169</v>
      </c>
      <c r="C32" s="37"/>
      <c r="D32" s="35"/>
      <c r="E32" s="165">
        <v>2260000000</v>
      </c>
      <c r="F32" s="50">
        <v>400000000</v>
      </c>
      <c r="G32" s="43">
        <f>400000000*0.6</f>
        <v>240000000</v>
      </c>
      <c r="H32" s="42"/>
      <c r="I32" s="42"/>
      <c r="J32" s="42"/>
      <c r="K32" s="42"/>
      <c r="L32" s="42"/>
      <c r="M32" s="42">
        <v>84000000</v>
      </c>
      <c r="N32" s="44"/>
      <c r="O32" s="30"/>
      <c r="P32" s="30">
        <f>60000*365*8</f>
        <v>175200000</v>
      </c>
      <c r="Q32" s="30"/>
      <c r="R32" s="30"/>
      <c r="S32" s="30"/>
      <c r="T32" s="156">
        <f>1473359+601290</f>
        <v>2074649</v>
      </c>
      <c r="U32" s="156">
        <f t="shared" si="5"/>
        <v>2116141.98</v>
      </c>
      <c r="V32" s="156">
        <f t="shared" si="5"/>
        <v>2158464.8196</v>
      </c>
      <c r="W32" s="31">
        <f>2364470000</f>
        <v>2364470000</v>
      </c>
      <c r="X32" s="151">
        <f>(W32*1.018)+(70000*180*40)</f>
        <v>2911030460</v>
      </c>
      <c r="Y32" s="151">
        <f>(W32*1.018)+(70000*360*40)</f>
        <v>3415030460</v>
      </c>
    </row>
    <row r="33" spans="1:25" s="6" customFormat="1" ht="15.75" customHeight="1">
      <c r="A33" s="113"/>
      <c r="B33" s="51" t="s">
        <v>89</v>
      </c>
      <c r="C33" s="52"/>
      <c r="D33" s="53"/>
      <c r="E33" s="165"/>
      <c r="F33" s="42"/>
      <c r="G33" s="42"/>
      <c r="H33" s="42"/>
      <c r="I33" s="42"/>
      <c r="J33" s="42"/>
      <c r="K33" s="42"/>
      <c r="L33" s="42"/>
      <c r="M33" s="42"/>
      <c r="N33" s="42"/>
      <c r="O33" s="30"/>
      <c r="P33" s="30"/>
      <c r="Q33" s="30"/>
      <c r="R33" s="30"/>
      <c r="S33" s="30"/>
      <c r="T33" s="156">
        <v>15082.12</v>
      </c>
      <c r="U33" s="156">
        <f>T33*1.02</f>
        <v>15383.762400000001</v>
      </c>
      <c r="V33" s="156">
        <f>U33*1.02</f>
        <v>15691.437648000001</v>
      </c>
      <c r="W33" s="31">
        <v>36000000</v>
      </c>
      <c r="X33" s="91">
        <f t="shared" si="6"/>
        <v>36648000</v>
      </c>
      <c r="Y33" s="91">
        <f t="shared" si="6"/>
        <v>37307664</v>
      </c>
    </row>
    <row r="34" spans="1:25" s="6" customFormat="1" ht="15.75" customHeight="1">
      <c r="A34" s="106" t="s">
        <v>11</v>
      </c>
      <c r="B34" s="47" t="s">
        <v>27</v>
      </c>
      <c r="C34" s="48"/>
      <c r="D34" s="49"/>
      <c r="E34" s="167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156">
        <f aca="true" t="shared" si="7" ref="T34:Y34">SUM(T35:T36)</f>
        <v>672955.8</v>
      </c>
      <c r="U34" s="156">
        <f t="shared" si="7"/>
        <v>686414.9160000001</v>
      </c>
      <c r="V34" s="156">
        <f t="shared" si="7"/>
        <v>700143.2143200001</v>
      </c>
      <c r="W34" s="88">
        <f t="shared" si="7"/>
        <v>919871544</v>
      </c>
      <c r="X34" s="88">
        <f t="shared" si="7"/>
        <v>936429231.7919999</v>
      </c>
      <c r="Y34" s="88">
        <f t="shared" si="7"/>
        <v>953284957.9642559</v>
      </c>
    </row>
    <row r="35" spans="1:25" s="6" customFormat="1" ht="15.75" customHeight="1">
      <c r="A35" s="113"/>
      <c r="B35" s="27" t="s">
        <v>90</v>
      </c>
      <c r="C35" s="37"/>
      <c r="D35" s="35"/>
      <c r="E35" s="163">
        <f>305000000+E110</f>
        <v>305000000</v>
      </c>
      <c r="F35" s="29">
        <f>210000000+F110</f>
        <v>210000000</v>
      </c>
      <c r="G35" s="29">
        <f>35000000+G110</f>
        <v>35000000</v>
      </c>
      <c r="H35" s="29">
        <f>225000000+3600000</f>
        <v>228600000</v>
      </c>
      <c r="I35" s="43">
        <f>I110</f>
        <v>0</v>
      </c>
      <c r="J35" s="43">
        <f>J110</f>
        <v>0</v>
      </c>
      <c r="K35" s="29">
        <f>20000000+70000000+K110</f>
        <v>90000000</v>
      </c>
      <c r="L35" s="29">
        <f>L110</f>
        <v>0</v>
      </c>
      <c r="M35" s="29">
        <f>368675852+M110</f>
        <v>368675852</v>
      </c>
      <c r="N35" s="29">
        <f>200000000+N110+68756792</f>
        <v>268756792</v>
      </c>
      <c r="O35" s="30">
        <f>O110</f>
        <v>0</v>
      </c>
      <c r="P35" s="30">
        <f>P110</f>
        <v>0</v>
      </c>
      <c r="Q35" s="30"/>
      <c r="R35" s="30"/>
      <c r="S35" s="30"/>
      <c r="T35" s="156">
        <v>621343.8</v>
      </c>
      <c r="U35" s="156">
        <f>T35*1.02</f>
        <v>633770.6760000001</v>
      </c>
      <c r="V35" s="156">
        <f>U35*1.02</f>
        <v>646446.0895200002</v>
      </c>
      <c r="W35" s="150">
        <f>864912760+52017074</f>
        <v>916929834</v>
      </c>
      <c r="X35" s="151">
        <f>W35*1.018</f>
        <v>933434571.012</v>
      </c>
      <c r="Y35" s="151">
        <f>X35*1.018</f>
        <v>950236393.290216</v>
      </c>
    </row>
    <row r="36" spans="1:25" s="6" customFormat="1" ht="15.75" customHeight="1">
      <c r="A36" s="113"/>
      <c r="B36" s="27" t="s">
        <v>28</v>
      </c>
      <c r="C36" s="37"/>
      <c r="D36" s="35"/>
      <c r="E36" s="166">
        <v>764572000</v>
      </c>
      <c r="F36" s="50"/>
      <c r="G36" s="43"/>
      <c r="H36" s="43"/>
      <c r="I36" s="42"/>
      <c r="J36" s="43"/>
      <c r="K36" s="43"/>
      <c r="L36" s="43"/>
      <c r="M36" s="43"/>
      <c r="N36" s="5"/>
      <c r="O36" s="30"/>
      <c r="P36" s="29"/>
      <c r="Q36" s="30"/>
      <c r="R36" s="30"/>
      <c r="S36" s="30"/>
      <c r="T36" s="156">
        <v>51612</v>
      </c>
      <c r="U36" s="156">
        <f>T36*1.02</f>
        <v>52644.24</v>
      </c>
      <c r="V36" s="156">
        <f>U36*1.02</f>
        <v>53697.1248</v>
      </c>
      <c r="W36" s="85">
        <f>29400+2912310</f>
        <v>2941710</v>
      </c>
      <c r="X36" s="91">
        <f>W36*1.018</f>
        <v>2994660.7800000003</v>
      </c>
      <c r="Y36" s="91">
        <f>X36*1.018</f>
        <v>3048564.6740400004</v>
      </c>
    </row>
    <row r="37" spans="1:25" s="6" customFormat="1" ht="15.75" customHeight="1">
      <c r="A37" s="145"/>
      <c r="B37" s="27"/>
      <c r="C37" s="37"/>
      <c r="D37" s="35"/>
      <c r="E37" s="168"/>
      <c r="F37" s="127"/>
      <c r="G37" s="21"/>
      <c r="H37" s="21"/>
      <c r="I37" s="97"/>
      <c r="J37" s="21"/>
      <c r="K37" s="21"/>
      <c r="L37" s="21"/>
      <c r="M37" s="21"/>
      <c r="N37" s="5"/>
      <c r="O37" s="84"/>
      <c r="P37" s="19"/>
      <c r="Q37" s="84"/>
      <c r="R37" s="84"/>
      <c r="S37" s="84"/>
      <c r="T37" s="153"/>
      <c r="U37" s="156"/>
      <c r="V37" s="156"/>
      <c r="W37" s="129"/>
      <c r="X37" s="129"/>
      <c r="Y37" s="129"/>
    </row>
    <row r="38" spans="1:25" s="6" customFormat="1" ht="15.75" customHeight="1">
      <c r="A38" s="30"/>
      <c r="B38" s="58" t="s">
        <v>29</v>
      </c>
      <c r="C38" s="58"/>
      <c r="D38" s="34"/>
      <c r="E38" s="169">
        <f aca="true" t="shared" si="8" ref="E38:S38">SUM(E13:E34)</f>
        <v>5929144000</v>
      </c>
      <c r="F38" s="59">
        <f t="shared" si="8"/>
        <v>400000000</v>
      </c>
      <c r="G38" s="59">
        <f t="shared" si="8"/>
        <v>305000000</v>
      </c>
      <c r="H38" s="59">
        <f t="shared" si="8"/>
        <v>6496000</v>
      </c>
      <c r="I38" s="59">
        <f t="shared" si="8"/>
        <v>1762300000</v>
      </c>
      <c r="J38" s="59">
        <f t="shared" si="8"/>
        <v>2056000000</v>
      </c>
      <c r="K38" s="59">
        <f t="shared" si="8"/>
        <v>45000000</v>
      </c>
      <c r="L38" s="59">
        <f t="shared" si="8"/>
        <v>43064000</v>
      </c>
      <c r="M38" s="59">
        <f t="shared" si="8"/>
        <v>84000000</v>
      </c>
      <c r="N38" s="59">
        <f t="shared" si="8"/>
        <v>15000000</v>
      </c>
      <c r="O38" s="59">
        <f t="shared" si="8"/>
        <v>0</v>
      </c>
      <c r="P38" s="59">
        <f t="shared" si="8"/>
        <v>175200000</v>
      </c>
      <c r="Q38" s="59">
        <f t="shared" si="8"/>
        <v>0</v>
      </c>
      <c r="R38" s="59">
        <f t="shared" si="8"/>
        <v>0</v>
      </c>
      <c r="S38" s="59">
        <f t="shared" si="8"/>
        <v>0</v>
      </c>
      <c r="T38" s="156">
        <f>T12+T29+T34</f>
        <v>9532699.18</v>
      </c>
      <c r="U38" s="156">
        <f>U12+U29+U34</f>
        <v>9669047.5816</v>
      </c>
      <c r="V38" s="156">
        <f>V12+V29+V34</f>
        <v>9913854.115232002</v>
      </c>
      <c r="W38" s="128">
        <f>SUM(W12+W25+W26+W27+W29+W34)</f>
        <v>14715561812</v>
      </c>
      <c r="X38" s="128">
        <f>SUM(X12+X25+X26+X27+X29+X34)</f>
        <v>16256901901.406</v>
      </c>
      <c r="Y38" s="128">
        <f>SUM(Y12+Y25+Y26+Y27+Y29+Y34)</f>
        <v>17909418985.209465</v>
      </c>
    </row>
    <row r="39" spans="1:25" ht="15.75">
      <c r="A39" s="110"/>
      <c r="B39" s="63" t="s">
        <v>30</v>
      </c>
      <c r="C39" s="64"/>
      <c r="D39" s="62"/>
      <c r="E39" s="17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53"/>
      <c r="U39" s="153"/>
      <c r="V39" s="153"/>
      <c r="W39" s="61"/>
      <c r="X39" s="60"/>
      <c r="Y39" s="60"/>
    </row>
    <row r="40" spans="1:25" s="6" customFormat="1" ht="15.75" customHeight="1">
      <c r="A40" s="37"/>
      <c r="B40" s="5"/>
      <c r="C40" s="5"/>
      <c r="D40" s="5"/>
      <c r="E40" s="7" t="s">
        <v>2</v>
      </c>
      <c r="F40" s="8" t="s">
        <v>3</v>
      </c>
      <c r="G40" s="9"/>
      <c r="H40" s="8" t="s">
        <v>4</v>
      </c>
      <c r="I40" s="10"/>
      <c r="J40" s="11"/>
      <c r="K40" s="11"/>
      <c r="L40" s="11"/>
      <c r="M40" s="9" t="s">
        <v>5</v>
      </c>
      <c r="N40" s="12" t="s">
        <v>6</v>
      </c>
      <c r="O40" s="9"/>
      <c r="P40" s="9"/>
      <c r="Q40" s="9"/>
      <c r="R40" s="9"/>
      <c r="S40" s="9"/>
      <c r="T40" s="13">
        <v>2004</v>
      </c>
      <c r="U40" s="13">
        <v>2005</v>
      </c>
      <c r="V40" s="13">
        <v>2006</v>
      </c>
      <c r="W40" s="13">
        <v>2002</v>
      </c>
      <c r="X40" s="13">
        <v>2003</v>
      </c>
      <c r="Y40" s="13">
        <v>2004</v>
      </c>
    </row>
    <row r="41" spans="1:25" s="6" customFormat="1" ht="15.75" customHeight="1">
      <c r="A41" s="66" t="s">
        <v>31</v>
      </c>
      <c r="B41" s="67" t="s">
        <v>32</v>
      </c>
      <c r="C41" s="68"/>
      <c r="D41" s="69"/>
      <c r="E41" s="171"/>
      <c r="F41" s="70"/>
      <c r="G41" s="70"/>
      <c r="H41" s="70"/>
      <c r="I41" s="71"/>
      <c r="J41" s="71"/>
      <c r="K41" s="71"/>
      <c r="L41" s="71"/>
      <c r="M41" s="71"/>
      <c r="N41" s="62"/>
      <c r="O41" s="72"/>
      <c r="P41" s="72"/>
      <c r="Q41" s="72"/>
      <c r="R41" s="72"/>
      <c r="S41" s="72"/>
      <c r="T41" s="125"/>
      <c r="U41" s="125"/>
      <c r="V41" s="125"/>
      <c r="W41" s="125"/>
      <c r="X41" s="125"/>
      <c r="Y41" s="125"/>
    </row>
    <row r="42" spans="1:25" s="6" customFormat="1" ht="15.75" customHeight="1">
      <c r="A42" s="144" t="s">
        <v>33</v>
      </c>
      <c r="B42" s="47"/>
      <c r="C42" s="48"/>
      <c r="D42" s="49"/>
      <c r="E42" s="172"/>
      <c r="F42" s="17"/>
      <c r="G42" s="17"/>
      <c r="H42" s="17"/>
      <c r="I42" s="17"/>
      <c r="J42" s="17"/>
      <c r="K42" s="17"/>
      <c r="L42" s="17"/>
      <c r="M42" s="17"/>
      <c r="N42" s="18"/>
      <c r="O42" s="54"/>
      <c r="P42" s="54"/>
      <c r="Q42" s="54"/>
      <c r="R42" s="54"/>
      <c r="S42" s="54"/>
      <c r="T42" s="156">
        <f aca="true" t="shared" si="9" ref="T42:Y42">SUM(T43:T53)</f>
        <v>2764182.67</v>
      </c>
      <c r="U42" s="156">
        <f t="shared" si="9"/>
        <v>2805645.41005</v>
      </c>
      <c r="V42" s="156">
        <f t="shared" si="9"/>
        <v>2847730.0912007494</v>
      </c>
      <c r="W42" s="126">
        <f t="shared" si="9"/>
        <v>5844497534</v>
      </c>
      <c r="X42" s="126">
        <f t="shared" si="9"/>
        <v>5949698489.6119995</v>
      </c>
      <c r="Y42" s="126">
        <f t="shared" si="9"/>
        <v>6169634083.968509</v>
      </c>
    </row>
    <row r="43" spans="1:25" s="6" customFormat="1" ht="15.75" customHeight="1">
      <c r="A43" s="21"/>
      <c r="B43" s="27" t="s">
        <v>91</v>
      </c>
      <c r="C43" s="37"/>
      <c r="D43" s="35"/>
      <c r="E43" s="173">
        <v>455000000</v>
      </c>
      <c r="F43" s="73"/>
      <c r="G43" s="26"/>
      <c r="H43" s="73"/>
      <c r="I43" s="73"/>
      <c r="J43" s="73"/>
      <c r="K43" s="73"/>
      <c r="L43" s="73"/>
      <c r="M43" s="73"/>
      <c r="N43" s="26">
        <v>3150000</v>
      </c>
      <c r="O43" s="73"/>
      <c r="P43" s="73"/>
      <c r="Q43" s="73"/>
      <c r="R43" s="73"/>
      <c r="S43" s="73"/>
      <c r="T43" s="156">
        <v>212703</v>
      </c>
      <c r="U43" s="156">
        <f aca="true" t="shared" si="10" ref="U43:V53">T43*1.015</f>
        <v>215893.54499999998</v>
      </c>
      <c r="V43" s="156">
        <f t="shared" si="10"/>
        <v>219131.94817499997</v>
      </c>
      <c r="W43" s="91">
        <f>395600000-95600000</f>
        <v>300000000</v>
      </c>
      <c r="X43" s="91">
        <f aca="true" t="shared" si="11" ref="X43:Y56">W43*1.018</f>
        <v>305400000</v>
      </c>
      <c r="Y43" s="91">
        <f t="shared" si="11"/>
        <v>310897200</v>
      </c>
    </row>
    <row r="44" spans="1:25" s="6" customFormat="1" ht="15.75" customHeight="1">
      <c r="A44" s="21"/>
      <c r="B44" s="27" t="s">
        <v>92</v>
      </c>
      <c r="C44" s="37"/>
      <c r="D44" s="35"/>
      <c r="E44" s="166">
        <v>405000000</v>
      </c>
      <c r="F44" s="43"/>
      <c r="G44" s="43">
        <v>3000000</v>
      </c>
      <c r="H44" s="43">
        <v>1000000</v>
      </c>
      <c r="I44" s="43"/>
      <c r="J44" s="43"/>
      <c r="K44" s="43"/>
      <c r="L44" s="43">
        <v>2000000</v>
      </c>
      <c r="M44" s="43"/>
      <c r="N44" s="74"/>
      <c r="O44" s="56"/>
      <c r="P44" s="56"/>
      <c r="Q44" s="56"/>
      <c r="R44" s="56"/>
      <c r="S44" s="56"/>
      <c r="T44" s="156">
        <v>34716</v>
      </c>
      <c r="U44" s="156">
        <f t="shared" si="10"/>
        <v>35236.74</v>
      </c>
      <c r="V44" s="156">
        <f t="shared" si="10"/>
        <v>35765.291099999995</v>
      </c>
      <c r="W44" s="91">
        <v>148406747</v>
      </c>
      <c r="X44" s="91">
        <f t="shared" si="11"/>
        <v>151078068.446</v>
      </c>
      <c r="Y44" s="91">
        <f t="shared" si="11"/>
        <v>153797473.67802802</v>
      </c>
    </row>
    <row r="45" spans="1:25" s="6" customFormat="1" ht="15.75" customHeight="1">
      <c r="A45" s="21"/>
      <c r="B45" s="27" t="s">
        <v>93</v>
      </c>
      <c r="C45" s="37"/>
      <c r="D45" s="35"/>
      <c r="E45" s="166">
        <v>17000000</v>
      </c>
      <c r="F45" s="43"/>
      <c r="G45" s="43">
        <v>17400000</v>
      </c>
      <c r="H45" s="43"/>
      <c r="I45" s="43"/>
      <c r="J45" s="43"/>
      <c r="K45" s="43"/>
      <c r="L45" s="43"/>
      <c r="M45" s="43"/>
      <c r="N45" s="74"/>
      <c r="O45" s="30"/>
      <c r="P45" s="30"/>
      <c r="Q45" s="30"/>
      <c r="R45" s="30"/>
      <c r="S45" s="30"/>
      <c r="T45" s="156">
        <v>5558</v>
      </c>
      <c r="U45" s="156">
        <f t="shared" si="10"/>
        <v>5641.37</v>
      </c>
      <c r="V45" s="156">
        <f t="shared" si="10"/>
        <v>5725.9905499999995</v>
      </c>
      <c r="W45" s="91">
        <v>1958811</v>
      </c>
      <c r="X45" s="91">
        <f t="shared" si="11"/>
        <v>1994069.598</v>
      </c>
      <c r="Y45" s="91">
        <f t="shared" si="11"/>
        <v>2029962.850764</v>
      </c>
    </row>
    <row r="46" spans="1:25" s="6" customFormat="1" ht="15.75" customHeight="1">
      <c r="A46" s="21"/>
      <c r="B46" s="27" t="s">
        <v>94</v>
      </c>
      <c r="C46" s="37"/>
      <c r="D46" s="35"/>
      <c r="E46" s="174"/>
      <c r="F46" s="57"/>
      <c r="G46" s="43"/>
      <c r="H46" s="43"/>
      <c r="I46" s="43"/>
      <c r="J46" s="43"/>
      <c r="K46" s="43"/>
      <c r="L46" s="43"/>
      <c r="M46" s="43"/>
      <c r="N46" s="74"/>
      <c r="O46" s="30"/>
      <c r="P46" s="30"/>
      <c r="Q46" s="30"/>
      <c r="R46" s="30"/>
      <c r="S46" s="30"/>
      <c r="T46" s="156">
        <v>2076661.24</v>
      </c>
      <c r="U46" s="156">
        <f t="shared" si="10"/>
        <v>2107811.1585999997</v>
      </c>
      <c r="V46" s="156">
        <f t="shared" si="10"/>
        <v>2139428.3259789995</v>
      </c>
      <c r="W46" s="91">
        <f>157445327+1720000000+2561000000+300000000+300000000</f>
        <v>5038445327</v>
      </c>
      <c r="X46" s="151">
        <f>W46*1.018</f>
        <v>5129137342.886</v>
      </c>
      <c r="Y46" s="151">
        <f>X46*1.04</f>
        <v>5334302836.601439</v>
      </c>
    </row>
    <row r="47" spans="1:25" s="6" customFormat="1" ht="15.75" customHeight="1">
      <c r="A47" s="21"/>
      <c r="B47" s="27" t="s">
        <v>127</v>
      </c>
      <c r="C47" s="37"/>
      <c r="D47" s="35"/>
      <c r="E47" s="175"/>
      <c r="F47" s="57"/>
      <c r="G47" s="43"/>
      <c r="H47" s="43"/>
      <c r="I47" s="43"/>
      <c r="J47" s="43"/>
      <c r="K47" s="43"/>
      <c r="L47" s="43"/>
      <c r="M47" s="43"/>
      <c r="N47" s="74"/>
      <c r="O47" s="30"/>
      <c r="P47" s="30"/>
      <c r="Q47" s="30"/>
      <c r="R47" s="30"/>
      <c r="S47" s="30"/>
      <c r="T47" s="156">
        <v>64342</v>
      </c>
      <c r="U47" s="156">
        <f t="shared" si="10"/>
        <v>65307.12999999999</v>
      </c>
      <c r="V47" s="156">
        <f t="shared" si="10"/>
        <v>66286.73694999998</v>
      </c>
      <c r="W47" s="91"/>
      <c r="X47" s="151"/>
      <c r="Y47" s="151"/>
    </row>
    <row r="48" spans="1:25" s="6" customFormat="1" ht="15.75" customHeight="1">
      <c r="A48" s="21"/>
      <c r="B48" s="27" t="s">
        <v>95</v>
      </c>
      <c r="C48" s="37"/>
      <c r="D48" s="35"/>
      <c r="E48" s="166">
        <v>7500000</v>
      </c>
      <c r="F48" s="43">
        <v>3150000</v>
      </c>
      <c r="G48" s="43">
        <v>2500000</v>
      </c>
      <c r="H48" s="43">
        <v>500000</v>
      </c>
      <c r="I48" s="43">
        <v>500000</v>
      </c>
      <c r="J48" s="43">
        <v>500000</v>
      </c>
      <c r="K48" s="43">
        <v>1000000</v>
      </c>
      <c r="L48" s="43">
        <v>500000</v>
      </c>
      <c r="M48" s="43">
        <v>1500000</v>
      </c>
      <c r="N48" s="74">
        <v>4000000</v>
      </c>
      <c r="O48" s="30">
        <v>500000</v>
      </c>
      <c r="P48" s="30">
        <v>500000</v>
      </c>
      <c r="Q48" s="30"/>
      <c r="R48" s="30"/>
      <c r="S48" s="30"/>
      <c r="T48" s="156">
        <v>46548.44</v>
      </c>
      <c r="U48" s="156">
        <f t="shared" si="10"/>
        <v>47246.6666</v>
      </c>
      <c r="V48" s="156">
        <f t="shared" si="10"/>
        <v>47955.36659899999</v>
      </c>
      <c r="W48" s="91">
        <f>30762221+7500000+7404989+2575015+360000+1962591+1556943+3000000+4579332+500000-3000000</f>
        <v>57201091</v>
      </c>
      <c r="X48" s="91">
        <f t="shared" si="11"/>
        <v>58230710.638000004</v>
      </c>
      <c r="Y48" s="91">
        <f t="shared" si="11"/>
        <v>59278863.429484</v>
      </c>
    </row>
    <row r="49" spans="1:25" s="6" customFormat="1" ht="13.5" customHeight="1">
      <c r="A49" s="21"/>
      <c r="B49" s="27" t="s">
        <v>96</v>
      </c>
      <c r="C49" s="37"/>
      <c r="D49" s="35"/>
      <c r="E49" s="166"/>
      <c r="F49" s="43"/>
      <c r="G49" s="43"/>
      <c r="H49" s="43"/>
      <c r="I49" s="43"/>
      <c r="J49" s="43"/>
      <c r="K49" s="43"/>
      <c r="L49" s="43"/>
      <c r="M49" s="43"/>
      <c r="N49" s="74"/>
      <c r="O49" s="30"/>
      <c r="P49" s="30"/>
      <c r="Q49" s="30"/>
      <c r="R49" s="30"/>
      <c r="S49" s="30">
        <v>40000000</v>
      </c>
      <c r="T49" s="156">
        <v>40570.8</v>
      </c>
      <c r="U49" s="156">
        <f t="shared" si="10"/>
        <v>41179.362</v>
      </c>
      <c r="V49" s="156">
        <f t="shared" si="10"/>
        <v>41797.052429999996</v>
      </c>
      <c r="W49" s="91">
        <f>56937127+4000000+800000+1000000+2000000+1000000+1000000+500000+25000000-16500000</f>
        <v>75737127</v>
      </c>
      <c r="X49" s="91">
        <f t="shared" si="11"/>
        <v>77100395.286</v>
      </c>
      <c r="Y49" s="91">
        <f t="shared" si="11"/>
        <v>78488202.401148</v>
      </c>
    </row>
    <row r="50" spans="1:25" s="6" customFormat="1" ht="15.75" customHeight="1">
      <c r="A50" s="21"/>
      <c r="B50" s="27" t="s">
        <v>34</v>
      </c>
      <c r="C50" s="37"/>
      <c r="D50" s="35"/>
      <c r="E50" s="166">
        <v>2100000</v>
      </c>
      <c r="F50" s="75">
        <v>11500000</v>
      </c>
      <c r="G50" s="43">
        <v>2100000</v>
      </c>
      <c r="H50" s="43"/>
      <c r="I50" s="43"/>
      <c r="J50" s="43"/>
      <c r="K50" s="43">
        <v>12500000</v>
      </c>
      <c r="L50" s="43">
        <v>1050000</v>
      </c>
      <c r="M50" s="43">
        <v>500000</v>
      </c>
      <c r="N50" s="74"/>
      <c r="O50" s="30"/>
      <c r="P50" s="30"/>
      <c r="Q50" s="30"/>
      <c r="R50" s="30"/>
      <c r="S50" s="30"/>
      <c r="T50" s="156">
        <v>11735.52</v>
      </c>
      <c r="U50" s="156">
        <f t="shared" si="10"/>
        <v>11911.5528</v>
      </c>
      <c r="V50" s="156">
        <f t="shared" si="10"/>
        <v>12090.226091999999</v>
      </c>
      <c r="W50" s="91">
        <f>652692+181868+45000+75000+450000+350000+211885+4442149-211885</f>
        <v>6196709</v>
      </c>
      <c r="X50" s="91">
        <f t="shared" si="11"/>
        <v>6308249.762</v>
      </c>
      <c r="Y50" s="91">
        <f t="shared" si="11"/>
        <v>6421798.257716</v>
      </c>
    </row>
    <row r="51" spans="1:25" s="6" customFormat="1" ht="15.75" customHeight="1">
      <c r="A51" s="21"/>
      <c r="B51" s="97" t="s">
        <v>143</v>
      </c>
      <c r="C51" s="37"/>
      <c r="D51" s="35"/>
      <c r="E51" s="166"/>
      <c r="F51" s="75"/>
      <c r="G51" s="43"/>
      <c r="H51" s="43"/>
      <c r="I51" s="43"/>
      <c r="J51" s="43"/>
      <c r="K51" s="43"/>
      <c r="L51" s="43"/>
      <c r="M51" s="43"/>
      <c r="N51" s="74"/>
      <c r="O51" s="30"/>
      <c r="P51" s="30"/>
      <c r="Q51" s="30"/>
      <c r="R51" s="30"/>
      <c r="S51" s="30"/>
      <c r="T51" s="156">
        <v>5459.56</v>
      </c>
      <c r="U51" s="156">
        <f t="shared" si="10"/>
        <v>5541.453399999999</v>
      </c>
      <c r="V51" s="156">
        <f t="shared" si="10"/>
        <v>5624.575200999999</v>
      </c>
      <c r="W51" s="91"/>
      <c r="X51" s="91"/>
      <c r="Y51" s="91"/>
    </row>
    <row r="52" spans="1:25" s="6" customFormat="1" ht="15.75" customHeight="1">
      <c r="A52" s="21"/>
      <c r="B52" s="27" t="s">
        <v>35</v>
      </c>
      <c r="C52" s="37"/>
      <c r="D52" s="35"/>
      <c r="E52" s="166">
        <v>210000000</v>
      </c>
      <c r="F52" s="43">
        <v>3000000</v>
      </c>
      <c r="G52" s="43"/>
      <c r="H52" s="43">
        <v>8000000</v>
      </c>
      <c r="I52" s="43"/>
      <c r="J52" s="43"/>
      <c r="K52" s="43"/>
      <c r="L52" s="43"/>
      <c r="M52" s="43">
        <v>8000000</v>
      </c>
      <c r="N52" s="74"/>
      <c r="O52" s="30"/>
      <c r="P52" s="30"/>
      <c r="Q52" s="30"/>
      <c r="R52" s="30"/>
      <c r="S52" s="30"/>
      <c r="T52" s="156">
        <v>14837.42</v>
      </c>
      <c r="U52" s="156">
        <f t="shared" si="10"/>
        <v>15059.9813</v>
      </c>
      <c r="V52" s="156">
        <f t="shared" si="10"/>
        <v>15285.881019499999</v>
      </c>
      <c r="W52" s="91">
        <v>24189162</v>
      </c>
      <c r="X52" s="91">
        <f t="shared" si="11"/>
        <v>24624566.916</v>
      </c>
      <c r="Y52" s="91">
        <f t="shared" si="11"/>
        <v>25067809.120488003</v>
      </c>
    </row>
    <row r="53" spans="1:25" s="6" customFormat="1" ht="15.75" customHeight="1">
      <c r="A53" s="21"/>
      <c r="B53" s="27" t="s">
        <v>36</v>
      </c>
      <c r="C53" s="37"/>
      <c r="D53" s="35"/>
      <c r="E53" s="166">
        <v>15000000</v>
      </c>
      <c r="F53" s="43"/>
      <c r="G53" s="43"/>
      <c r="H53" s="43">
        <v>750000</v>
      </c>
      <c r="I53" s="75"/>
      <c r="J53" s="75"/>
      <c r="K53" s="43"/>
      <c r="L53" s="43"/>
      <c r="M53" s="43"/>
      <c r="N53" s="74"/>
      <c r="O53" s="30"/>
      <c r="P53" s="30"/>
      <c r="Q53" s="30"/>
      <c r="R53" s="30"/>
      <c r="S53" s="30"/>
      <c r="T53" s="156">
        <v>251050.69</v>
      </c>
      <c r="U53" s="156">
        <f t="shared" si="10"/>
        <v>254816.45034999997</v>
      </c>
      <c r="V53" s="156">
        <f t="shared" si="10"/>
        <v>258638.69710524994</v>
      </c>
      <c r="W53" s="91">
        <v>192362560</v>
      </c>
      <c r="X53" s="91">
        <f t="shared" si="11"/>
        <v>195825086.08</v>
      </c>
      <c r="Y53" s="91">
        <f t="shared" si="11"/>
        <v>199349937.62944</v>
      </c>
    </row>
    <row r="54" spans="1:25" s="6" customFormat="1" ht="15.75" customHeight="1">
      <c r="A54" s="24" t="s">
        <v>37</v>
      </c>
      <c r="B54" s="98"/>
      <c r="C54" s="99"/>
      <c r="D54" s="100"/>
      <c r="E54" s="166">
        <v>35000000</v>
      </c>
      <c r="F54" s="43">
        <v>500000</v>
      </c>
      <c r="G54" s="43">
        <v>2750000</v>
      </c>
      <c r="H54" s="43">
        <v>4500000</v>
      </c>
      <c r="I54" s="43">
        <v>3885000</v>
      </c>
      <c r="J54" s="42">
        <v>3000000</v>
      </c>
      <c r="K54" s="43"/>
      <c r="L54" s="43"/>
      <c r="M54" s="43">
        <v>4000000</v>
      </c>
      <c r="N54" s="74">
        <v>9000000</v>
      </c>
      <c r="O54" s="30"/>
      <c r="P54" s="30">
        <v>2900000</v>
      </c>
      <c r="Q54" s="30"/>
      <c r="R54" s="30"/>
      <c r="S54" s="30"/>
      <c r="T54" s="156">
        <f aca="true" t="shared" si="12" ref="T54:Y54">SUM(T55:T92)</f>
        <v>3790582.2500000005</v>
      </c>
      <c r="U54" s="156">
        <f t="shared" si="12"/>
        <v>3847440.9837499997</v>
      </c>
      <c r="V54" s="156">
        <f t="shared" si="12"/>
        <v>3905152.598506249</v>
      </c>
      <c r="W54" s="126">
        <f t="shared" si="12"/>
        <v>3508231788</v>
      </c>
      <c r="X54" s="126">
        <f t="shared" si="12"/>
        <v>3523891907.3079996</v>
      </c>
      <c r="Y54" s="126">
        <f t="shared" si="12"/>
        <v>3587321961.639544</v>
      </c>
    </row>
    <row r="55" spans="1:25" s="6" customFormat="1" ht="15.75" customHeight="1">
      <c r="A55" s="21"/>
      <c r="B55" s="27" t="s">
        <v>128</v>
      </c>
      <c r="C55" s="37"/>
      <c r="D55" s="35"/>
      <c r="E55" s="176">
        <v>200000</v>
      </c>
      <c r="F55" s="43">
        <v>200000</v>
      </c>
      <c r="G55" s="43">
        <v>200000</v>
      </c>
      <c r="H55" s="43">
        <v>200000</v>
      </c>
      <c r="I55" s="43">
        <v>200000</v>
      </c>
      <c r="J55" s="43">
        <v>200000</v>
      </c>
      <c r="K55" s="43">
        <v>200000</v>
      </c>
      <c r="L55" s="43">
        <v>200000</v>
      </c>
      <c r="M55" s="43">
        <v>200000</v>
      </c>
      <c r="N55" s="74">
        <v>200000</v>
      </c>
      <c r="O55" s="26">
        <v>200000</v>
      </c>
      <c r="P55" s="30">
        <v>200000</v>
      </c>
      <c r="Q55" s="30"/>
      <c r="R55" s="30"/>
      <c r="S55" s="30"/>
      <c r="T55" s="156">
        <v>22500</v>
      </c>
      <c r="U55" s="156">
        <f aca="true" t="shared" si="13" ref="U55:V84">T55*1.015</f>
        <v>22837.499999999996</v>
      </c>
      <c r="V55" s="156">
        <f t="shared" si="13"/>
        <v>23180.062499999993</v>
      </c>
      <c r="W55" s="91">
        <f>1130057+4138834+3500000-3500000</f>
        <v>5268891</v>
      </c>
      <c r="X55" s="91">
        <f t="shared" si="11"/>
        <v>5363731.038</v>
      </c>
      <c r="Y55" s="91">
        <f t="shared" si="11"/>
        <v>5460278.196684</v>
      </c>
    </row>
    <row r="56" spans="1:25" s="6" customFormat="1" ht="15.75" customHeight="1">
      <c r="A56" s="21"/>
      <c r="B56" s="51" t="s">
        <v>38</v>
      </c>
      <c r="C56" s="52"/>
      <c r="D56" s="45"/>
      <c r="E56" s="165">
        <v>88000000</v>
      </c>
      <c r="F56" s="77"/>
      <c r="G56" s="42">
        <v>4200000</v>
      </c>
      <c r="H56" s="43">
        <v>5000000</v>
      </c>
      <c r="I56" s="42">
        <v>1000000</v>
      </c>
      <c r="J56" s="42">
        <v>1000000</v>
      </c>
      <c r="K56" s="42"/>
      <c r="L56" s="42"/>
      <c r="M56" s="78">
        <v>40000000</v>
      </c>
      <c r="N56" s="76">
        <v>30000000</v>
      </c>
      <c r="O56" s="29"/>
      <c r="P56" s="30">
        <v>27000000</v>
      </c>
      <c r="Q56" s="30"/>
      <c r="R56" s="30"/>
      <c r="S56" s="30"/>
      <c r="T56" s="156">
        <v>126979.35</v>
      </c>
      <c r="U56" s="156">
        <f t="shared" si="13"/>
        <v>128884.04024999999</v>
      </c>
      <c r="V56" s="156">
        <f t="shared" si="13"/>
        <v>130817.30085374998</v>
      </c>
      <c r="W56" s="91">
        <v>117278194</v>
      </c>
      <c r="X56" s="91">
        <f t="shared" si="11"/>
        <v>119389201.492</v>
      </c>
      <c r="Y56" s="91">
        <f t="shared" si="11"/>
        <v>121538207.118856</v>
      </c>
    </row>
    <row r="57" spans="1:25" s="6" customFormat="1" ht="15.75" customHeight="1">
      <c r="A57" s="21"/>
      <c r="B57" s="27" t="s">
        <v>39</v>
      </c>
      <c r="C57" s="37"/>
      <c r="D57" s="35"/>
      <c r="E57" s="176">
        <v>25000000</v>
      </c>
      <c r="F57" s="43">
        <v>500000</v>
      </c>
      <c r="G57" s="43">
        <v>800000</v>
      </c>
      <c r="H57" s="43">
        <v>1800000</v>
      </c>
      <c r="I57" s="43">
        <v>350000</v>
      </c>
      <c r="J57" s="75">
        <v>1000000</v>
      </c>
      <c r="K57" s="43"/>
      <c r="L57" s="43"/>
      <c r="M57" s="43">
        <v>1000000</v>
      </c>
      <c r="N57" s="74">
        <v>500000</v>
      </c>
      <c r="O57" s="26"/>
      <c r="P57" s="30">
        <v>800000</v>
      </c>
      <c r="Q57" s="30"/>
      <c r="R57" s="30"/>
      <c r="S57" s="30"/>
      <c r="T57" s="156">
        <v>40926.98</v>
      </c>
      <c r="U57" s="156">
        <f t="shared" si="13"/>
        <v>41540.8847</v>
      </c>
      <c r="V57" s="156">
        <f t="shared" si="13"/>
        <v>42163.9979705</v>
      </c>
      <c r="W57" s="91">
        <v>97028419</v>
      </c>
      <c r="X57" s="91">
        <f aca="true" t="shared" si="14" ref="X57:Y62">W57*1.018</f>
        <v>98774930.542</v>
      </c>
      <c r="Y57" s="91">
        <f t="shared" si="14"/>
        <v>100552879.291756</v>
      </c>
    </row>
    <row r="58" spans="1:25" s="6" customFormat="1" ht="15.75" customHeight="1">
      <c r="A58" s="21"/>
      <c r="B58" s="27" t="s">
        <v>97</v>
      </c>
      <c r="C58" s="37"/>
      <c r="D58" s="35"/>
      <c r="E58" s="176">
        <f>32744250+3000000</f>
        <v>35744250</v>
      </c>
      <c r="F58" s="43">
        <v>4851000</v>
      </c>
      <c r="G58" s="43">
        <v>2182950</v>
      </c>
      <c r="H58" s="43">
        <v>2129400</v>
      </c>
      <c r="I58" s="43">
        <v>10914750</v>
      </c>
      <c r="J58" s="43">
        <v>14553000</v>
      </c>
      <c r="K58" s="43">
        <v>727650</v>
      </c>
      <c r="L58" s="43">
        <v>693000</v>
      </c>
      <c r="M58" s="43">
        <v>2079000</v>
      </c>
      <c r="N58" s="74">
        <v>1000000</v>
      </c>
      <c r="O58" s="74">
        <v>1000000</v>
      </c>
      <c r="P58" s="74">
        <v>1000000</v>
      </c>
      <c r="Q58" s="74"/>
      <c r="R58" s="74"/>
      <c r="S58" s="74"/>
      <c r="T58" s="156">
        <v>28367.51</v>
      </c>
      <c r="U58" s="156">
        <f t="shared" si="13"/>
        <v>28793.022649999995</v>
      </c>
      <c r="V58" s="156">
        <f t="shared" si="13"/>
        <v>29224.917989749993</v>
      </c>
      <c r="W58" s="91">
        <v>21480415</v>
      </c>
      <c r="X58" s="91">
        <f t="shared" si="14"/>
        <v>21867062.47</v>
      </c>
      <c r="Y58" s="91">
        <f t="shared" si="14"/>
        <v>22260669.59446</v>
      </c>
    </row>
    <row r="59" spans="1:25" s="6" customFormat="1" ht="15.75" customHeight="1">
      <c r="A59" s="21"/>
      <c r="B59" s="27" t="s">
        <v>98</v>
      </c>
      <c r="C59" s="37"/>
      <c r="D59" s="79"/>
      <c r="E59" s="166">
        <f>25573000-2200000</f>
        <v>23373000</v>
      </c>
      <c r="F59" s="43">
        <v>4350000</v>
      </c>
      <c r="G59" s="43">
        <v>1750000</v>
      </c>
      <c r="H59" s="43">
        <v>1975000</v>
      </c>
      <c r="I59" s="43">
        <f>8134000-3000000</f>
        <v>5134000</v>
      </c>
      <c r="J59" s="43">
        <f>11900000-3000000</f>
        <v>8900000</v>
      </c>
      <c r="K59" s="43">
        <v>592000</v>
      </c>
      <c r="L59" s="43">
        <v>590000</v>
      </c>
      <c r="M59" s="43">
        <v>1584000</v>
      </c>
      <c r="N59" s="43">
        <v>592000</v>
      </c>
      <c r="O59" s="43">
        <v>592000</v>
      </c>
      <c r="P59" s="43">
        <v>592000</v>
      </c>
      <c r="Q59" s="43"/>
      <c r="R59" s="43"/>
      <c r="S59" s="43"/>
      <c r="T59" s="156">
        <v>26022.4</v>
      </c>
      <c r="U59" s="156">
        <f t="shared" si="13"/>
        <v>26412.735999999997</v>
      </c>
      <c r="V59" s="156">
        <f t="shared" si="13"/>
        <v>26808.927039999995</v>
      </c>
      <c r="W59" s="91">
        <f>29343011+500000+1000000+334750+643750+953486</f>
        <v>32774997</v>
      </c>
      <c r="X59" s="91">
        <f t="shared" si="14"/>
        <v>33364946.946000002</v>
      </c>
      <c r="Y59" s="91">
        <f t="shared" si="14"/>
        <v>33965515.991028</v>
      </c>
    </row>
    <row r="60" spans="1:25" s="6" customFormat="1" ht="15.75" customHeight="1">
      <c r="A60" s="21"/>
      <c r="B60" s="27" t="s">
        <v>40</v>
      </c>
      <c r="C60" s="37"/>
      <c r="D60" s="35"/>
      <c r="E60" s="166">
        <v>55000000</v>
      </c>
      <c r="F60" s="43">
        <v>2000000</v>
      </c>
      <c r="G60" s="43"/>
      <c r="H60" s="43"/>
      <c r="I60" s="43">
        <v>1500000</v>
      </c>
      <c r="J60" s="43">
        <v>1000000</v>
      </c>
      <c r="K60" s="43"/>
      <c r="L60" s="43"/>
      <c r="M60" s="43"/>
      <c r="N60" s="43"/>
      <c r="O60" s="43">
        <v>500000</v>
      </c>
      <c r="P60" s="43"/>
      <c r="Q60" s="43"/>
      <c r="R60" s="43"/>
      <c r="S60" s="43"/>
      <c r="T60" s="156">
        <f>85956+8019.84</f>
        <v>93975.84</v>
      </c>
      <c r="U60" s="156">
        <f t="shared" si="13"/>
        <v>95385.47759999998</v>
      </c>
      <c r="V60" s="156">
        <f t="shared" si="13"/>
        <v>96816.25976399997</v>
      </c>
      <c r="W60" s="91">
        <v>181458400</v>
      </c>
      <c r="X60" s="91">
        <f t="shared" si="14"/>
        <v>184724651.2</v>
      </c>
      <c r="Y60" s="91">
        <f t="shared" si="14"/>
        <v>188049694.92159998</v>
      </c>
    </row>
    <row r="61" spans="1:25" s="6" customFormat="1" ht="15.75" customHeight="1">
      <c r="A61" s="21"/>
      <c r="B61" s="27" t="s">
        <v>41</v>
      </c>
      <c r="C61" s="37"/>
      <c r="D61" s="35"/>
      <c r="E61" s="177">
        <f>48800000+6600000+2200000</f>
        <v>57600000</v>
      </c>
      <c r="F61" s="80">
        <v>2200000</v>
      </c>
      <c r="G61" s="80">
        <v>2200000</v>
      </c>
      <c r="H61" s="80">
        <v>2200000</v>
      </c>
      <c r="I61" s="81">
        <f>11350033-5000000</f>
        <v>6350033</v>
      </c>
      <c r="J61" s="82">
        <f>12430524-7000000</f>
        <v>5430524</v>
      </c>
      <c r="K61" s="43">
        <v>2200000</v>
      </c>
      <c r="L61" s="43"/>
      <c r="M61" s="43">
        <v>2200000</v>
      </c>
      <c r="N61" s="43">
        <v>2200000</v>
      </c>
      <c r="O61" s="43">
        <v>2200000</v>
      </c>
      <c r="P61" s="43">
        <v>2200000</v>
      </c>
      <c r="Q61" s="43"/>
      <c r="R61" s="43"/>
      <c r="S61" s="43"/>
      <c r="T61" s="156">
        <v>31228</v>
      </c>
      <c r="U61" s="156">
        <f t="shared" si="13"/>
        <v>31696.42</v>
      </c>
      <c r="V61" s="156">
        <f t="shared" si="13"/>
        <v>32171.866299999994</v>
      </c>
      <c r="W61" s="91">
        <v>67692000</v>
      </c>
      <c r="X61" s="91">
        <f t="shared" si="14"/>
        <v>68910456</v>
      </c>
      <c r="Y61" s="91">
        <f t="shared" si="14"/>
        <v>70150844.208</v>
      </c>
    </row>
    <row r="62" spans="1:25" s="6" customFormat="1" ht="15.75" customHeight="1">
      <c r="A62" s="21"/>
      <c r="B62" s="27" t="s">
        <v>129</v>
      </c>
      <c r="C62" s="37"/>
      <c r="D62" s="35"/>
      <c r="E62" s="166">
        <f>(47250000-5000000)-1500000</f>
        <v>40750000</v>
      </c>
      <c r="F62" s="43"/>
      <c r="G62" s="43">
        <v>5000000</v>
      </c>
      <c r="H62" s="43"/>
      <c r="I62" s="43"/>
      <c r="J62" s="43"/>
      <c r="K62" s="43"/>
      <c r="L62" s="43"/>
      <c r="M62" s="43"/>
      <c r="N62" s="74"/>
      <c r="O62" s="26"/>
      <c r="P62" s="30">
        <v>1500000</v>
      </c>
      <c r="Q62" s="30"/>
      <c r="R62" s="30"/>
      <c r="S62" s="30"/>
      <c r="T62" s="156">
        <v>4312</v>
      </c>
      <c r="U62" s="156">
        <f t="shared" si="13"/>
        <v>4376.679999999999</v>
      </c>
      <c r="V62" s="156">
        <f t="shared" si="13"/>
        <v>4442.3301999999985</v>
      </c>
      <c r="W62" s="91">
        <f>36806888+2349376-20000000</f>
        <v>19156264</v>
      </c>
      <c r="X62" s="91">
        <f t="shared" si="14"/>
        <v>19501076.752</v>
      </c>
      <c r="Y62" s="91">
        <f t="shared" si="14"/>
        <v>19852096.133536</v>
      </c>
    </row>
    <row r="63" spans="1:25" s="6" customFormat="1" ht="15.75" customHeight="1">
      <c r="A63" s="21"/>
      <c r="B63" s="27" t="s">
        <v>171</v>
      </c>
      <c r="C63" s="37"/>
      <c r="D63" s="35"/>
      <c r="E63" s="166"/>
      <c r="F63" s="43"/>
      <c r="G63" s="43"/>
      <c r="H63" s="43"/>
      <c r="I63" s="43"/>
      <c r="J63" s="43"/>
      <c r="K63" s="43"/>
      <c r="L63" s="43"/>
      <c r="M63" s="43"/>
      <c r="N63" s="74"/>
      <c r="O63" s="26"/>
      <c r="P63" s="30"/>
      <c r="Q63" s="30"/>
      <c r="R63" s="30"/>
      <c r="S63" s="30"/>
      <c r="T63" s="156">
        <f>12513+2286.08</f>
        <v>14799.08</v>
      </c>
      <c r="U63" s="156">
        <f t="shared" si="13"/>
        <v>15021.0662</v>
      </c>
      <c r="V63" s="156">
        <f t="shared" si="13"/>
        <v>15246.382192999998</v>
      </c>
      <c r="W63" s="91"/>
      <c r="X63" s="91"/>
      <c r="Y63" s="91"/>
    </row>
    <row r="64" spans="1:25" s="6" customFormat="1" ht="15.75" customHeight="1">
      <c r="A64" s="21"/>
      <c r="B64" s="27" t="s">
        <v>172</v>
      </c>
      <c r="C64" s="37"/>
      <c r="D64" s="35"/>
      <c r="E64" s="166"/>
      <c r="F64" s="43"/>
      <c r="G64" s="43"/>
      <c r="H64" s="43"/>
      <c r="I64" s="43"/>
      <c r="J64" s="43"/>
      <c r="K64" s="43"/>
      <c r="L64" s="43"/>
      <c r="M64" s="43"/>
      <c r="N64" s="74"/>
      <c r="O64" s="26"/>
      <c r="P64" s="30"/>
      <c r="Q64" s="30"/>
      <c r="R64" s="30"/>
      <c r="S64" s="30"/>
      <c r="T64" s="156">
        <v>9315.73</v>
      </c>
      <c r="U64" s="156">
        <f t="shared" si="13"/>
        <v>9455.465949999998</v>
      </c>
      <c r="V64" s="156">
        <f t="shared" si="13"/>
        <v>9597.297939249996</v>
      </c>
      <c r="W64" s="91"/>
      <c r="X64" s="91"/>
      <c r="Y64" s="91"/>
    </row>
    <row r="65" spans="1:25" s="6" customFormat="1" ht="15.75" customHeight="1">
      <c r="A65" s="21"/>
      <c r="B65" s="27" t="s">
        <v>173</v>
      </c>
      <c r="C65" s="37"/>
      <c r="D65" s="35"/>
      <c r="E65" s="166"/>
      <c r="F65" s="43"/>
      <c r="G65" s="43"/>
      <c r="H65" s="43"/>
      <c r="I65" s="43"/>
      <c r="J65" s="43"/>
      <c r="K65" s="43"/>
      <c r="L65" s="43"/>
      <c r="M65" s="43"/>
      <c r="N65" s="74"/>
      <c r="O65" s="26"/>
      <c r="P65" s="30"/>
      <c r="Q65" s="30"/>
      <c r="R65" s="30"/>
      <c r="S65" s="30"/>
      <c r="T65" s="156">
        <v>1526.08</v>
      </c>
      <c r="U65" s="156">
        <f t="shared" si="13"/>
        <v>1548.9711999999997</v>
      </c>
      <c r="V65" s="156">
        <f t="shared" si="13"/>
        <v>1572.2057679999996</v>
      </c>
      <c r="W65" s="91"/>
      <c r="X65" s="91"/>
      <c r="Y65" s="91"/>
    </row>
    <row r="66" spans="1:25" s="6" customFormat="1" ht="15.75" customHeight="1">
      <c r="A66" s="21"/>
      <c r="B66" s="27" t="s">
        <v>44</v>
      </c>
      <c r="C66" s="37"/>
      <c r="D66" s="35"/>
      <c r="E66" s="166"/>
      <c r="F66" s="43"/>
      <c r="G66" s="43"/>
      <c r="H66" s="43"/>
      <c r="I66" s="43"/>
      <c r="J66" s="43"/>
      <c r="K66" s="43"/>
      <c r="L66" s="43"/>
      <c r="M66" s="43"/>
      <c r="N66" s="74"/>
      <c r="O66" s="26"/>
      <c r="P66" s="30"/>
      <c r="Q66" s="30"/>
      <c r="R66" s="30"/>
      <c r="S66" s="30"/>
      <c r="T66" s="156">
        <f>19992.15+10929.91</f>
        <v>30922.06</v>
      </c>
      <c r="U66" s="156">
        <f t="shared" si="13"/>
        <v>31385.8909</v>
      </c>
      <c r="V66" s="156">
        <f t="shared" si="13"/>
        <v>31856.679263499995</v>
      </c>
      <c r="W66" s="91"/>
      <c r="X66" s="91"/>
      <c r="Y66" s="91"/>
    </row>
    <row r="67" spans="1:25" s="6" customFormat="1" ht="15.75" customHeight="1">
      <c r="A67" s="21"/>
      <c r="B67" s="96" t="s">
        <v>45</v>
      </c>
      <c r="C67" s="37"/>
      <c r="D67" s="35"/>
      <c r="E67" s="166"/>
      <c r="F67" s="43"/>
      <c r="G67" s="43"/>
      <c r="H67" s="43"/>
      <c r="I67" s="43"/>
      <c r="J67" s="43"/>
      <c r="K67" s="43"/>
      <c r="L67" s="43"/>
      <c r="M67" s="43"/>
      <c r="N67" s="74"/>
      <c r="O67" s="26"/>
      <c r="P67" s="30"/>
      <c r="Q67" s="30"/>
      <c r="R67" s="30"/>
      <c r="S67" s="30"/>
      <c r="T67" s="156">
        <v>3617.5</v>
      </c>
      <c r="U67" s="156">
        <f t="shared" si="13"/>
        <v>3671.7625</v>
      </c>
      <c r="V67" s="156">
        <f t="shared" si="13"/>
        <v>3726.8389374999992</v>
      </c>
      <c r="W67" s="91"/>
      <c r="X67" s="91"/>
      <c r="Y67" s="91"/>
    </row>
    <row r="68" spans="1:25" s="6" customFormat="1" ht="15.75" customHeight="1">
      <c r="A68" s="21"/>
      <c r="B68" s="96" t="s">
        <v>46</v>
      </c>
      <c r="C68" s="37"/>
      <c r="D68" s="35"/>
      <c r="E68" s="166"/>
      <c r="F68" s="43"/>
      <c r="G68" s="43"/>
      <c r="H68" s="43"/>
      <c r="I68" s="43"/>
      <c r="J68" s="43"/>
      <c r="K68" s="43"/>
      <c r="L68" s="43"/>
      <c r="M68" s="43"/>
      <c r="N68" s="74"/>
      <c r="O68" s="26"/>
      <c r="P68" s="30"/>
      <c r="Q68" s="30"/>
      <c r="R68" s="30"/>
      <c r="S68" s="30"/>
      <c r="T68" s="156">
        <f>6500+7792+7653.31</f>
        <v>21945.31</v>
      </c>
      <c r="U68" s="156">
        <f t="shared" si="13"/>
        <v>22274.48965</v>
      </c>
      <c r="V68" s="156">
        <f t="shared" si="13"/>
        <v>22608.606994749996</v>
      </c>
      <c r="W68" s="91"/>
      <c r="X68" s="91"/>
      <c r="Y68" s="91"/>
    </row>
    <row r="69" spans="1:25" s="6" customFormat="1" ht="15.75" customHeight="1">
      <c r="A69" s="21"/>
      <c r="B69" s="96" t="s">
        <v>47</v>
      </c>
      <c r="C69" s="37"/>
      <c r="D69" s="35"/>
      <c r="E69" s="166"/>
      <c r="F69" s="43"/>
      <c r="G69" s="43"/>
      <c r="H69" s="43"/>
      <c r="I69" s="43"/>
      <c r="J69" s="43"/>
      <c r="K69" s="43"/>
      <c r="L69" s="43"/>
      <c r="M69" s="43"/>
      <c r="N69" s="74"/>
      <c r="O69" s="26"/>
      <c r="P69" s="30"/>
      <c r="Q69" s="30"/>
      <c r="R69" s="30"/>
      <c r="S69" s="30"/>
      <c r="T69" s="156">
        <v>2873.58</v>
      </c>
      <c r="U69" s="156">
        <f aca="true" t="shared" si="15" ref="U69:V76">T69*1.015</f>
        <v>2916.6836999999996</v>
      </c>
      <c r="V69" s="156">
        <f t="shared" si="15"/>
        <v>2960.4339554999992</v>
      </c>
      <c r="W69" s="91"/>
      <c r="X69" s="91"/>
      <c r="Y69" s="91"/>
    </row>
    <row r="70" spans="1:25" s="6" customFormat="1" ht="15.75" customHeight="1">
      <c r="A70" s="21"/>
      <c r="B70" s="96" t="s">
        <v>174</v>
      </c>
      <c r="C70" s="37"/>
      <c r="D70" s="35"/>
      <c r="E70" s="166"/>
      <c r="F70" s="43"/>
      <c r="G70" s="43"/>
      <c r="H70" s="43"/>
      <c r="I70" s="43"/>
      <c r="J70" s="43"/>
      <c r="K70" s="43"/>
      <c r="L70" s="43"/>
      <c r="M70" s="43"/>
      <c r="N70" s="74"/>
      <c r="O70" s="26"/>
      <c r="P70" s="30"/>
      <c r="Q70" s="30"/>
      <c r="R70" s="30"/>
      <c r="S70" s="30"/>
      <c r="T70" s="156">
        <v>510.8</v>
      </c>
      <c r="U70" s="156">
        <f t="shared" si="15"/>
        <v>518.462</v>
      </c>
      <c r="V70" s="156">
        <f t="shared" si="15"/>
        <v>526.23893</v>
      </c>
      <c r="W70" s="91"/>
      <c r="X70" s="91"/>
      <c r="Y70" s="91"/>
    </row>
    <row r="71" spans="1:25" s="6" customFormat="1" ht="15.75" customHeight="1">
      <c r="A71" s="21"/>
      <c r="B71" s="96" t="s">
        <v>175</v>
      </c>
      <c r="C71" s="37"/>
      <c r="D71" s="35"/>
      <c r="E71" s="166"/>
      <c r="F71" s="43"/>
      <c r="G71" s="43"/>
      <c r="H71" s="43"/>
      <c r="I71" s="43"/>
      <c r="J71" s="43"/>
      <c r="K71" s="43"/>
      <c r="L71" s="43"/>
      <c r="M71" s="43"/>
      <c r="N71" s="74"/>
      <c r="O71" s="26"/>
      <c r="P71" s="30"/>
      <c r="Q71" s="30"/>
      <c r="R71" s="30"/>
      <c r="S71" s="30"/>
      <c r="T71" s="156">
        <v>6348.68</v>
      </c>
      <c r="U71" s="156">
        <f t="shared" si="15"/>
        <v>6443.910199999999</v>
      </c>
      <c r="V71" s="156">
        <f t="shared" si="15"/>
        <v>6540.568852999999</v>
      </c>
      <c r="W71" s="91"/>
      <c r="X71" s="91"/>
      <c r="Y71" s="91"/>
    </row>
    <row r="72" spans="1:25" s="6" customFormat="1" ht="15.75" customHeight="1">
      <c r="A72" s="21"/>
      <c r="B72" s="27" t="s">
        <v>130</v>
      </c>
      <c r="C72" s="37"/>
      <c r="D72" s="35"/>
      <c r="E72" s="166"/>
      <c r="F72" s="43"/>
      <c r="G72" s="43"/>
      <c r="H72" s="43"/>
      <c r="I72" s="43"/>
      <c r="J72" s="43"/>
      <c r="K72" s="43"/>
      <c r="L72" s="43"/>
      <c r="M72" s="43"/>
      <c r="N72" s="74"/>
      <c r="O72" s="26"/>
      <c r="P72" s="30"/>
      <c r="Q72" s="30"/>
      <c r="R72" s="30"/>
      <c r="S72" s="30"/>
      <c r="T72" s="156">
        <v>2500</v>
      </c>
      <c r="U72" s="156">
        <f t="shared" si="15"/>
        <v>2537.4999999999995</v>
      </c>
      <c r="V72" s="156">
        <f t="shared" si="15"/>
        <v>2575.562499999999</v>
      </c>
      <c r="W72" s="91"/>
      <c r="X72" s="91"/>
      <c r="Y72" s="91"/>
    </row>
    <row r="73" spans="1:25" s="6" customFormat="1" ht="15.75" customHeight="1">
      <c r="A73" s="21"/>
      <c r="B73" s="96" t="s">
        <v>136</v>
      </c>
      <c r="C73" s="37"/>
      <c r="D73" s="35"/>
      <c r="E73" s="166"/>
      <c r="F73" s="43"/>
      <c r="G73" s="43"/>
      <c r="H73" s="43"/>
      <c r="I73" s="43"/>
      <c r="J73" s="43"/>
      <c r="K73" s="43"/>
      <c r="L73" s="43"/>
      <c r="M73" s="43"/>
      <c r="N73" s="74"/>
      <c r="O73" s="26"/>
      <c r="P73" s="30"/>
      <c r="Q73" s="30"/>
      <c r="R73" s="30"/>
      <c r="S73" s="30"/>
      <c r="T73" s="156">
        <v>7500</v>
      </c>
      <c r="U73" s="156">
        <f t="shared" si="15"/>
        <v>7612.499999999999</v>
      </c>
      <c r="V73" s="156">
        <f t="shared" si="15"/>
        <v>7726.687499999998</v>
      </c>
      <c r="W73" s="91"/>
      <c r="X73" s="91"/>
      <c r="Y73" s="91"/>
    </row>
    <row r="74" spans="1:25" s="6" customFormat="1" ht="15.75" customHeight="1">
      <c r="A74" s="21"/>
      <c r="B74" s="96" t="s">
        <v>135</v>
      </c>
      <c r="C74" s="37"/>
      <c r="D74" s="35"/>
      <c r="E74" s="166"/>
      <c r="F74" s="43"/>
      <c r="G74" s="43"/>
      <c r="H74" s="43"/>
      <c r="I74" s="43"/>
      <c r="J74" s="43"/>
      <c r="K74" s="43"/>
      <c r="L74" s="43"/>
      <c r="M74" s="43"/>
      <c r="N74" s="74"/>
      <c r="O74" s="26"/>
      <c r="P74" s="30"/>
      <c r="Q74" s="30"/>
      <c r="R74" s="30"/>
      <c r="S74" s="30"/>
      <c r="T74" s="156">
        <v>755.52</v>
      </c>
      <c r="U74" s="156">
        <f t="shared" si="15"/>
        <v>766.8527999999999</v>
      </c>
      <c r="V74" s="156">
        <f t="shared" si="15"/>
        <v>778.3555919999998</v>
      </c>
      <c r="W74" s="91"/>
      <c r="X74" s="91"/>
      <c r="Y74" s="91"/>
    </row>
    <row r="75" spans="1:25" s="6" customFormat="1" ht="15.75" customHeight="1">
      <c r="A75" s="21"/>
      <c r="B75" s="96" t="s">
        <v>176</v>
      </c>
      <c r="C75" s="37"/>
      <c r="D75" s="35"/>
      <c r="E75" s="166"/>
      <c r="F75" s="43"/>
      <c r="G75" s="43"/>
      <c r="H75" s="43"/>
      <c r="I75" s="43"/>
      <c r="J75" s="43"/>
      <c r="K75" s="43"/>
      <c r="L75" s="43"/>
      <c r="M75" s="43"/>
      <c r="N75" s="74"/>
      <c r="O75" s="26"/>
      <c r="P75" s="30"/>
      <c r="Q75" s="30"/>
      <c r="R75" s="30"/>
      <c r="S75" s="30"/>
      <c r="T75" s="156">
        <v>2914.02</v>
      </c>
      <c r="U75" s="156">
        <f t="shared" si="15"/>
        <v>2957.7302999999997</v>
      </c>
      <c r="V75" s="156">
        <f t="shared" si="15"/>
        <v>3002.0962544999993</v>
      </c>
      <c r="W75" s="91"/>
      <c r="X75" s="91"/>
      <c r="Y75" s="91"/>
    </row>
    <row r="76" spans="1:25" s="6" customFormat="1" ht="15.75" customHeight="1">
      <c r="A76" s="21"/>
      <c r="B76" s="96" t="s">
        <v>105</v>
      </c>
      <c r="C76" s="37"/>
      <c r="D76" s="35"/>
      <c r="E76" s="166"/>
      <c r="F76" s="43"/>
      <c r="G76" s="43"/>
      <c r="H76" s="43"/>
      <c r="I76" s="43"/>
      <c r="J76" s="43"/>
      <c r="K76" s="43"/>
      <c r="L76" s="43"/>
      <c r="M76" s="43"/>
      <c r="N76" s="74"/>
      <c r="O76" s="26"/>
      <c r="P76" s="30"/>
      <c r="Q76" s="30"/>
      <c r="R76" s="30"/>
      <c r="S76" s="30"/>
      <c r="T76" s="156">
        <v>311.96</v>
      </c>
      <c r="U76" s="156">
        <f t="shared" si="15"/>
        <v>316.63939999999997</v>
      </c>
      <c r="V76" s="156">
        <f t="shared" si="15"/>
        <v>321.3889909999999</v>
      </c>
      <c r="W76" s="91"/>
      <c r="X76" s="91"/>
      <c r="Y76" s="91"/>
    </row>
    <row r="77" spans="1:25" s="6" customFormat="1" ht="15.75" customHeight="1">
      <c r="A77" s="21"/>
      <c r="B77" s="27" t="s">
        <v>42</v>
      </c>
      <c r="C77" s="37"/>
      <c r="D77" s="35"/>
      <c r="E77" s="166">
        <v>80000000</v>
      </c>
      <c r="F77" s="43"/>
      <c r="G77" s="43">
        <v>14000000</v>
      </c>
      <c r="H77" s="43">
        <v>5500000</v>
      </c>
      <c r="I77" s="43"/>
      <c r="J77" s="43"/>
      <c r="K77" s="43"/>
      <c r="L77" s="43"/>
      <c r="M77" s="43"/>
      <c r="N77" s="74"/>
      <c r="O77" s="26"/>
      <c r="P77" s="30">
        <v>5000000</v>
      </c>
      <c r="Q77" s="30"/>
      <c r="R77" s="30"/>
      <c r="S77" s="30"/>
      <c r="T77" s="156">
        <v>60060.9</v>
      </c>
      <c r="U77" s="156">
        <f t="shared" si="13"/>
        <v>60961.8135</v>
      </c>
      <c r="V77" s="156">
        <f t="shared" si="13"/>
        <v>61876.24070249999</v>
      </c>
      <c r="W77" s="91">
        <f>93000000+13000000+3000000+7500000</f>
        <v>116500000</v>
      </c>
      <c r="X77" s="91">
        <f>W77*1.018</f>
        <v>118597000</v>
      </c>
      <c r="Y77" s="91">
        <f>X77*1.018</f>
        <v>120731746</v>
      </c>
    </row>
    <row r="78" spans="1:25" s="6" customFormat="1" ht="15.75" customHeight="1">
      <c r="A78" s="21"/>
      <c r="B78" s="27" t="s">
        <v>43</v>
      </c>
      <c r="C78" s="37"/>
      <c r="D78" s="35"/>
      <c r="E78" s="166"/>
      <c r="F78" s="43"/>
      <c r="G78" s="43"/>
      <c r="H78" s="43"/>
      <c r="I78" s="43"/>
      <c r="J78" s="43"/>
      <c r="K78" s="43"/>
      <c r="L78" s="43"/>
      <c r="M78" s="43"/>
      <c r="N78" s="74"/>
      <c r="O78" s="26"/>
      <c r="P78" s="30"/>
      <c r="Q78" s="30"/>
      <c r="R78" s="30"/>
      <c r="S78" s="30"/>
      <c r="T78" s="156">
        <v>391108.4</v>
      </c>
      <c r="U78" s="156">
        <f t="shared" si="13"/>
        <v>396975.026</v>
      </c>
      <c r="V78" s="156">
        <f t="shared" si="13"/>
        <v>402929.65138999996</v>
      </c>
      <c r="W78" s="91">
        <f>23000000+93648382-70000000</f>
        <v>46648382</v>
      </c>
      <c r="X78" s="91">
        <v>0</v>
      </c>
      <c r="Y78" s="91">
        <v>0</v>
      </c>
    </row>
    <row r="79" spans="1:25" s="6" customFormat="1" ht="15.75" customHeight="1">
      <c r="A79" s="21"/>
      <c r="B79" s="27" t="s">
        <v>120</v>
      </c>
      <c r="C79" s="37"/>
      <c r="D79" s="35"/>
      <c r="E79" s="166">
        <v>35000000</v>
      </c>
      <c r="F79" s="43">
        <v>2000000</v>
      </c>
      <c r="G79" s="43">
        <v>2000000</v>
      </c>
      <c r="H79" s="43"/>
      <c r="I79" s="43"/>
      <c r="J79" s="43"/>
      <c r="K79" s="43"/>
      <c r="L79" s="43"/>
      <c r="M79" s="43"/>
      <c r="N79" s="74"/>
      <c r="O79" s="26"/>
      <c r="P79" s="30"/>
      <c r="Q79" s="30"/>
      <c r="R79" s="30"/>
      <c r="S79" s="30"/>
      <c r="T79" s="156">
        <v>53007</v>
      </c>
      <c r="U79" s="156">
        <f t="shared" si="13"/>
        <v>53802.104999999996</v>
      </c>
      <c r="V79" s="156">
        <f t="shared" si="13"/>
        <v>54609.13657499999</v>
      </c>
      <c r="W79" s="91">
        <f>258358071+18910800+4349484+16790506+3000000+5752035+5752035+30445140</f>
        <v>343358071</v>
      </c>
      <c r="X79" s="91">
        <f aca="true" t="shared" si="16" ref="X79:Y81">W79*1.018</f>
        <v>349538516.278</v>
      </c>
      <c r="Y79" s="91">
        <f t="shared" si="16"/>
        <v>355830209.571004</v>
      </c>
    </row>
    <row r="80" spans="1:25" s="6" customFormat="1" ht="15.75" customHeight="1">
      <c r="A80" s="21"/>
      <c r="B80" s="27" t="s">
        <v>99</v>
      </c>
      <c r="C80" s="37"/>
      <c r="D80" s="35"/>
      <c r="E80" s="166">
        <v>205000000</v>
      </c>
      <c r="F80" s="75">
        <v>5000000</v>
      </c>
      <c r="G80" s="43">
        <v>35000000</v>
      </c>
      <c r="H80" s="43">
        <v>45150000</v>
      </c>
      <c r="I80" s="43">
        <v>8767500</v>
      </c>
      <c r="J80" s="43">
        <v>8767500</v>
      </c>
      <c r="K80" s="43"/>
      <c r="L80" s="43"/>
      <c r="M80" s="43">
        <v>31500000</v>
      </c>
      <c r="N80" s="74">
        <v>14000000</v>
      </c>
      <c r="O80" s="26"/>
      <c r="P80" s="74">
        <v>24500000</v>
      </c>
      <c r="Q80" s="29"/>
      <c r="R80" s="29"/>
      <c r="S80" s="29"/>
      <c r="T80" s="156">
        <v>134614.5</v>
      </c>
      <c r="U80" s="156">
        <f t="shared" si="13"/>
        <v>136633.7175</v>
      </c>
      <c r="V80" s="156">
        <f t="shared" si="13"/>
        <v>138683.2232625</v>
      </c>
      <c r="W80" s="91">
        <f>232960000+14040000-54000000</f>
        <v>193000000</v>
      </c>
      <c r="X80" s="91">
        <f t="shared" si="16"/>
        <v>196474000</v>
      </c>
      <c r="Y80" s="91">
        <f t="shared" si="16"/>
        <v>200010532</v>
      </c>
    </row>
    <row r="81" spans="1:25" s="6" customFormat="1" ht="15.75" customHeight="1">
      <c r="A81" s="21"/>
      <c r="B81" s="27" t="s">
        <v>100</v>
      </c>
      <c r="C81" s="37"/>
      <c r="D81" s="35"/>
      <c r="E81" s="166">
        <v>63000000</v>
      </c>
      <c r="F81" s="43"/>
      <c r="G81" s="43"/>
      <c r="H81" s="43">
        <v>120000000</v>
      </c>
      <c r="I81" s="43"/>
      <c r="J81" s="43"/>
      <c r="K81" s="43"/>
      <c r="L81" s="43"/>
      <c r="M81" s="43"/>
      <c r="N81" s="74">
        <f>60000000</f>
        <v>60000000</v>
      </c>
      <c r="O81" s="43"/>
      <c r="P81" s="43"/>
      <c r="Q81" s="43"/>
      <c r="R81" s="43">
        <v>54000000</v>
      </c>
      <c r="S81" s="43">
        <v>54000000</v>
      </c>
      <c r="T81" s="156">
        <v>4500</v>
      </c>
      <c r="U81" s="156">
        <f t="shared" si="13"/>
        <v>4567.5</v>
      </c>
      <c r="V81" s="156">
        <f t="shared" si="13"/>
        <v>4636.0125</v>
      </c>
      <c r="W81" s="91">
        <f>25000000+5000000-10000000</f>
        <v>20000000</v>
      </c>
      <c r="X81" s="91">
        <f t="shared" si="16"/>
        <v>20360000</v>
      </c>
      <c r="Y81" s="91">
        <f t="shared" si="16"/>
        <v>20726480</v>
      </c>
    </row>
    <row r="82" spans="1:25" s="6" customFormat="1" ht="15.75" customHeight="1">
      <c r="A82" s="21"/>
      <c r="B82" s="27" t="s">
        <v>144</v>
      </c>
      <c r="C82" s="37"/>
      <c r="D82" s="35"/>
      <c r="E82" s="166"/>
      <c r="F82" s="43"/>
      <c r="G82" s="43"/>
      <c r="H82" s="43"/>
      <c r="I82" s="43"/>
      <c r="J82" s="43"/>
      <c r="K82" s="43"/>
      <c r="L82" s="43"/>
      <c r="M82" s="43"/>
      <c r="N82" s="74"/>
      <c r="O82" s="35"/>
      <c r="P82" s="35"/>
      <c r="Q82" s="35"/>
      <c r="R82" s="35"/>
      <c r="S82" s="35"/>
      <c r="T82" s="156">
        <v>9985.5</v>
      </c>
      <c r="U82" s="156">
        <f t="shared" si="13"/>
        <v>10135.2825</v>
      </c>
      <c r="V82" s="156">
        <f t="shared" si="13"/>
        <v>10287.311737499998</v>
      </c>
      <c r="W82" s="91"/>
      <c r="X82" s="91"/>
      <c r="Y82" s="91"/>
    </row>
    <row r="83" spans="1:25" s="6" customFormat="1" ht="15.75" customHeight="1">
      <c r="A83" s="21"/>
      <c r="B83" s="27" t="s">
        <v>101</v>
      </c>
      <c r="C83" s="37"/>
      <c r="D83" s="35"/>
      <c r="E83" s="166"/>
      <c r="F83" s="43">
        <v>80000000</v>
      </c>
      <c r="G83" s="43"/>
      <c r="H83" s="43"/>
      <c r="I83" s="43"/>
      <c r="J83" s="43"/>
      <c r="K83" s="43"/>
      <c r="L83" s="43"/>
      <c r="M83" s="43"/>
      <c r="N83" s="74"/>
      <c r="O83" s="26"/>
      <c r="P83" s="30">
        <v>1500000</v>
      </c>
      <c r="Q83" s="30"/>
      <c r="R83" s="30"/>
      <c r="S83" s="30"/>
      <c r="T83" s="156">
        <v>15000</v>
      </c>
      <c r="U83" s="156">
        <f t="shared" si="13"/>
        <v>15224.999999999998</v>
      </c>
      <c r="V83" s="156">
        <f t="shared" si="13"/>
        <v>15453.374999999996</v>
      </c>
      <c r="W83" s="91">
        <f>27000000-10000000</f>
        <v>17000000</v>
      </c>
      <c r="X83" s="91">
        <f>W83*1.018</f>
        <v>17306000</v>
      </c>
      <c r="Y83" s="91">
        <f>X83*1.018</f>
        <v>17617508</v>
      </c>
    </row>
    <row r="84" spans="1:25" s="6" customFormat="1" ht="15.75" customHeight="1">
      <c r="A84" s="21"/>
      <c r="B84" s="27" t="s">
        <v>102</v>
      </c>
      <c r="C84" s="37"/>
      <c r="D84" s="35"/>
      <c r="E84" s="166">
        <v>30000000</v>
      </c>
      <c r="F84" s="43"/>
      <c r="G84" s="43"/>
      <c r="H84" s="43"/>
      <c r="I84" s="43"/>
      <c r="J84" s="43"/>
      <c r="K84" s="43"/>
      <c r="L84" s="43"/>
      <c r="M84" s="43"/>
      <c r="N84" s="74"/>
      <c r="O84" s="26"/>
      <c r="P84" s="30"/>
      <c r="Q84" s="30"/>
      <c r="R84" s="30"/>
      <c r="S84" s="30"/>
      <c r="T84" s="156">
        <v>621343.8</v>
      </c>
      <c r="U84" s="156">
        <f t="shared" si="13"/>
        <v>630663.9569999999</v>
      </c>
      <c r="V84" s="156">
        <f t="shared" si="13"/>
        <v>640123.9163549999</v>
      </c>
      <c r="W84" s="91">
        <f>433303883-25726127</f>
        <v>407577756</v>
      </c>
      <c r="X84" s="91">
        <f>W84*1.018</f>
        <v>414914155.608</v>
      </c>
      <c r="Y84" s="91">
        <f>X84*1.018</f>
        <v>422382610.408944</v>
      </c>
    </row>
    <row r="85" spans="1:25" s="6" customFormat="1" ht="15.75" customHeight="1">
      <c r="A85" s="21"/>
      <c r="B85" s="27" t="s">
        <v>121</v>
      </c>
      <c r="C85" s="37"/>
      <c r="D85" s="35"/>
      <c r="E85" s="166">
        <v>1500000</v>
      </c>
      <c r="F85" s="43">
        <v>9450000</v>
      </c>
      <c r="G85" s="43">
        <v>1500000</v>
      </c>
      <c r="H85" s="43"/>
      <c r="I85" s="43"/>
      <c r="J85" s="43"/>
      <c r="K85" s="43">
        <v>1700000</v>
      </c>
      <c r="L85" s="43">
        <v>530000</v>
      </c>
      <c r="M85" s="43"/>
      <c r="N85" s="74"/>
      <c r="O85" s="26"/>
      <c r="P85" s="30"/>
      <c r="Q85" s="30"/>
      <c r="R85" s="30"/>
      <c r="S85" s="30"/>
      <c r="T85" s="156">
        <v>60785.22</v>
      </c>
      <c r="U85" s="156">
        <f aca="true" t="shared" si="17" ref="U85:V90">T85*1.015</f>
        <v>61696.99829999999</v>
      </c>
      <c r="V85" s="156">
        <f t="shared" si="17"/>
        <v>62622.45327449999</v>
      </c>
      <c r="W85" s="91">
        <f>189800000+14600000+3534960</f>
        <v>207934960</v>
      </c>
      <c r="X85" s="91">
        <f aca="true" t="shared" si="18" ref="X85:Y88">W85*1.018</f>
        <v>211677789.28</v>
      </c>
      <c r="Y85" s="91">
        <f t="shared" si="18"/>
        <v>215487989.48704</v>
      </c>
    </row>
    <row r="86" spans="1:25" s="6" customFormat="1" ht="15.75" customHeight="1">
      <c r="A86" s="21"/>
      <c r="B86" s="27" t="s">
        <v>103</v>
      </c>
      <c r="C86" s="37"/>
      <c r="D86" s="35"/>
      <c r="E86" s="166">
        <v>1100000</v>
      </c>
      <c r="F86" s="43">
        <v>3990000</v>
      </c>
      <c r="G86" s="43"/>
      <c r="H86" s="43"/>
      <c r="I86" s="43"/>
      <c r="J86" s="43"/>
      <c r="K86" s="43"/>
      <c r="L86" s="43"/>
      <c r="M86" s="43"/>
      <c r="N86" s="74"/>
      <c r="O86" s="26"/>
      <c r="P86" s="30"/>
      <c r="Q86" s="30"/>
      <c r="R86" s="30"/>
      <c r="S86" s="30"/>
      <c r="T86" s="156">
        <v>16722</v>
      </c>
      <c r="U86" s="156">
        <f t="shared" si="17"/>
        <v>16972.829999999998</v>
      </c>
      <c r="V86" s="156">
        <f t="shared" si="17"/>
        <v>17227.42245</v>
      </c>
      <c r="W86" s="91">
        <v>3477574</v>
      </c>
      <c r="X86" s="91">
        <f t="shared" si="18"/>
        <v>3540170.332</v>
      </c>
      <c r="Y86" s="91">
        <f t="shared" si="18"/>
        <v>3603893.397976</v>
      </c>
    </row>
    <row r="87" spans="1:25" s="6" customFormat="1" ht="15.75" customHeight="1">
      <c r="A87" s="21"/>
      <c r="B87" s="27" t="s">
        <v>131</v>
      </c>
      <c r="C87" s="37"/>
      <c r="D87" s="35"/>
      <c r="E87" s="166">
        <v>13000000</v>
      </c>
      <c r="F87" s="43">
        <v>6000000</v>
      </c>
      <c r="G87" s="43">
        <v>1000000</v>
      </c>
      <c r="H87" s="43">
        <v>1100000</v>
      </c>
      <c r="I87" s="43">
        <v>2000000</v>
      </c>
      <c r="J87" s="43">
        <v>2000000</v>
      </c>
      <c r="K87" s="43">
        <v>1400000</v>
      </c>
      <c r="L87" s="43">
        <v>50000</v>
      </c>
      <c r="M87" s="43">
        <v>2150000</v>
      </c>
      <c r="N87" s="74">
        <v>8000000</v>
      </c>
      <c r="O87" s="26"/>
      <c r="P87" s="30">
        <v>450000</v>
      </c>
      <c r="Q87" s="30">
        <v>500000</v>
      </c>
      <c r="R87" s="30">
        <v>2000000</v>
      </c>
      <c r="S87" s="30"/>
      <c r="T87" s="156">
        <v>1044330.08</v>
      </c>
      <c r="U87" s="156">
        <f>T87*1.015</f>
        <v>1059995.0311999999</v>
      </c>
      <c r="V87" s="156">
        <f t="shared" si="17"/>
        <v>1075894.9566679997</v>
      </c>
      <c r="W87" s="91">
        <f>879897875+354193441</f>
        <v>1234091316</v>
      </c>
      <c r="X87" s="91">
        <f t="shared" si="18"/>
        <v>1256304959.688</v>
      </c>
      <c r="Y87" s="91">
        <f t="shared" si="18"/>
        <v>1278918448.962384</v>
      </c>
    </row>
    <row r="88" spans="1:25" s="6" customFormat="1" ht="15.75" customHeight="1">
      <c r="A88" s="21"/>
      <c r="B88" s="51" t="s">
        <v>132</v>
      </c>
      <c r="C88" s="52"/>
      <c r="D88" s="53"/>
      <c r="E88" s="166">
        <v>5500000</v>
      </c>
      <c r="F88" s="43">
        <v>3500000</v>
      </c>
      <c r="G88" s="43">
        <v>2500000</v>
      </c>
      <c r="H88" s="43">
        <v>750000</v>
      </c>
      <c r="I88" s="43">
        <v>5000000</v>
      </c>
      <c r="J88" s="43">
        <v>4500000</v>
      </c>
      <c r="K88" s="43">
        <v>600000</v>
      </c>
      <c r="L88" s="43"/>
      <c r="M88" s="43">
        <v>735000</v>
      </c>
      <c r="N88" s="74">
        <v>1500000</v>
      </c>
      <c r="O88" s="26">
        <v>2100000</v>
      </c>
      <c r="P88" s="30">
        <v>2500000</v>
      </c>
      <c r="Q88" s="30"/>
      <c r="R88" s="30"/>
      <c r="S88" s="30"/>
      <c r="T88" s="156">
        <v>103902.64</v>
      </c>
      <c r="U88" s="156">
        <f t="shared" si="17"/>
        <v>105461.17959999999</v>
      </c>
      <c r="V88" s="156">
        <f t="shared" si="17"/>
        <v>107043.09729399998</v>
      </c>
      <c r="W88" s="91">
        <f>416302886-47072205</f>
        <v>369230681</v>
      </c>
      <c r="X88" s="91">
        <f t="shared" si="18"/>
        <v>375876833.258</v>
      </c>
      <c r="Y88" s="91">
        <f t="shared" si="18"/>
        <v>382642616.256644</v>
      </c>
    </row>
    <row r="89" spans="1:25" s="6" customFormat="1" ht="15.75" customHeight="1">
      <c r="A89" s="21"/>
      <c r="B89" s="51" t="s">
        <v>133</v>
      </c>
      <c r="C89" s="52"/>
      <c r="D89" s="45"/>
      <c r="E89" s="166"/>
      <c r="F89" s="43"/>
      <c r="G89" s="43"/>
      <c r="H89" s="43"/>
      <c r="I89" s="43"/>
      <c r="J89" s="43"/>
      <c r="K89" s="43"/>
      <c r="L89" s="43"/>
      <c r="M89" s="43"/>
      <c r="N89" s="74"/>
      <c r="O89" s="26"/>
      <c r="P89" s="30"/>
      <c r="Q89" s="30"/>
      <c r="R89" s="30"/>
      <c r="S89" s="30"/>
      <c r="T89" s="156">
        <v>216149.99</v>
      </c>
      <c r="U89" s="156">
        <f t="shared" si="17"/>
        <v>219392.23984999998</v>
      </c>
      <c r="V89" s="156">
        <f t="shared" si="17"/>
        <v>222683.12344774997</v>
      </c>
      <c r="W89" s="91"/>
      <c r="X89" s="91"/>
      <c r="Y89" s="91"/>
    </row>
    <row r="90" spans="1:25" s="6" customFormat="1" ht="15.75" customHeight="1">
      <c r="A90" s="21"/>
      <c r="B90" s="51" t="s">
        <v>134</v>
      </c>
      <c r="C90" s="52"/>
      <c r="D90" s="45"/>
      <c r="E90" s="166"/>
      <c r="F90" s="43"/>
      <c r="G90" s="43"/>
      <c r="H90" s="43"/>
      <c r="I90" s="43"/>
      <c r="J90" s="43"/>
      <c r="K90" s="43"/>
      <c r="L90" s="43"/>
      <c r="M90" s="43"/>
      <c r="N90" s="74"/>
      <c r="O90" s="26"/>
      <c r="P90" s="30"/>
      <c r="Q90" s="30"/>
      <c r="R90" s="30"/>
      <c r="S90" s="30"/>
      <c r="T90" s="156">
        <v>102600.82</v>
      </c>
      <c r="U90" s="156">
        <f t="shared" si="17"/>
        <v>104139.8323</v>
      </c>
      <c r="V90" s="156">
        <f t="shared" si="17"/>
        <v>105701.92978449998</v>
      </c>
      <c r="W90" s="91"/>
      <c r="X90" s="91"/>
      <c r="Y90" s="91"/>
    </row>
    <row r="91" spans="1:25" ht="15.75">
      <c r="A91" s="21"/>
      <c r="B91" s="96" t="s">
        <v>104</v>
      </c>
      <c r="C91" s="38"/>
      <c r="D91" s="29"/>
      <c r="E91" s="178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56">
        <v>2788.87</v>
      </c>
      <c r="U91" s="156">
        <f>T91*1.015</f>
        <v>2830.7030499999996</v>
      </c>
      <c r="V91" s="156">
        <f>U91*1.015</f>
        <v>2873.1635957499993</v>
      </c>
      <c r="W91" s="91">
        <v>5400000</v>
      </c>
      <c r="X91" s="91">
        <f aca="true" t="shared" si="19" ref="X91:Y98">W91*1.018</f>
        <v>5497200</v>
      </c>
      <c r="Y91" s="91">
        <f t="shared" si="19"/>
        <v>5596149.6</v>
      </c>
    </row>
    <row r="92" spans="1:25" ht="15.75">
      <c r="A92" s="21"/>
      <c r="B92" s="96" t="s">
        <v>137</v>
      </c>
      <c r="C92" s="38"/>
      <c r="D92" s="29"/>
      <c r="E92" s="178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56">
        <f>420355.04+53175.09</f>
        <v>473530.13</v>
      </c>
      <c r="U92" s="156">
        <f>T92*1.015</f>
        <v>480633.08194999996</v>
      </c>
      <c r="V92" s="156">
        <f>U92*1.015</f>
        <v>487842.5781792499</v>
      </c>
      <c r="W92" s="91">
        <v>1875468</v>
      </c>
      <c r="X92" s="91">
        <f t="shared" si="19"/>
        <v>1909226.424</v>
      </c>
      <c r="Y92" s="91">
        <f t="shared" si="19"/>
        <v>1943592.4996320002</v>
      </c>
    </row>
    <row r="93" spans="1:25" ht="15.75">
      <c r="A93" s="114" t="s">
        <v>145</v>
      </c>
      <c r="B93" s="25"/>
      <c r="C93" s="65"/>
      <c r="D93" s="21"/>
      <c r="E93" s="179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156">
        <f aca="true" t="shared" si="20" ref="T93:Y93">SUM(T94:T98)</f>
        <v>97689.66</v>
      </c>
      <c r="U93" s="156">
        <f t="shared" si="20"/>
        <v>99155.00489999999</v>
      </c>
      <c r="V93" s="156">
        <f t="shared" si="20"/>
        <v>100642.32997349997</v>
      </c>
      <c r="W93" s="126">
        <f t="shared" si="20"/>
        <v>237064003</v>
      </c>
      <c r="X93" s="126">
        <f t="shared" si="20"/>
        <v>241331155.05400002</v>
      </c>
      <c r="Y93" s="126">
        <f t="shared" si="20"/>
        <v>245675115.84497198</v>
      </c>
    </row>
    <row r="94" spans="1:25" ht="15.75">
      <c r="A94" s="21"/>
      <c r="B94" s="96" t="s">
        <v>122</v>
      </c>
      <c r="C94" s="38"/>
      <c r="D94" s="29"/>
      <c r="E94" s="178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56">
        <v>1369.46</v>
      </c>
      <c r="U94" s="156">
        <f aca="true" t="shared" si="21" ref="U94:V98">T94*1.015</f>
        <v>1390.0019</v>
      </c>
      <c r="V94" s="156">
        <f t="shared" si="21"/>
        <v>1410.8519284999998</v>
      </c>
      <c r="W94" s="91">
        <v>3000001</v>
      </c>
      <c r="X94" s="91">
        <f t="shared" si="19"/>
        <v>3054001.018</v>
      </c>
      <c r="Y94" s="91">
        <f t="shared" si="19"/>
        <v>3108973.036324</v>
      </c>
    </row>
    <row r="95" spans="1:25" ht="15.75">
      <c r="A95" s="21"/>
      <c r="B95" s="96" t="s">
        <v>177</v>
      </c>
      <c r="C95" s="38"/>
      <c r="D95" s="29"/>
      <c r="E95" s="178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56">
        <v>3144.64</v>
      </c>
      <c r="U95" s="156">
        <f t="shared" si="21"/>
        <v>3191.8095999999996</v>
      </c>
      <c r="V95" s="156">
        <f t="shared" si="21"/>
        <v>3239.686743999999</v>
      </c>
      <c r="W95" s="91"/>
      <c r="X95" s="91"/>
      <c r="Y95" s="91"/>
    </row>
    <row r="96" spans="1:25" ht="15.75">
      <c r="A96" s="21"/>
      <c r="B96" s="96" t="s">
        <v>107</v>
      </c>
      <c r="C96" s="38"/>
      <c r="D96" s="29"/>
      <c r="E96" s="178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56">
        <v>66941.64</v>
      </c>
      <c r="U96" s="156">
        <f t="shared" si="21"/>
        <v>67945.7646</v>
      </c>
      <c r="V96" s="156">
        <f t="shared" si="21"/>
        <v>68964.95106899999</v>
      </c>
      <c r="W96" s="91">
        <f>174064001</f>
        <v>174064001</v>
      </c>
      <c r="X96" s="91">
        <f t="shared" si="19"/>
        <v>177197153.018</v>
      </c>
      <c r="Y96" s="91">
        <f t="shared" si="19"/>
        <v>180386701.772324</v>
      </c>
    </row>
    <row r="97" spans="1:25" ht="15.75">
      <c r="A97" s="21"/>
      <c r="B97" s="96" t="s">
        <v>108</v>
      </c>
      <c r="C97" s="38"/>
      <c r="D97" s="29"/>
      <c r="E97" s="178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56">
        <v>17233.92</v>
      </c>
      <c r="U97" s="156">
        <f t="shared" si="21"/>
        <v>17492.428799999998</v>
      </c>
      <c r="V97" s="156">
        <f t="shared" si="21"/>
        <v>17754.815231999997</v>
      </c>
      <c r="W97" s="91">
        <v>40000001</v>
      </c>
      <c r="X97" s="91">
        <f t="shared" si="19"/>
        <v>40720001.018</v>
      </c>
      <c r="Y97" s="91">
        <f t="shared" si="19"/>
        <v>41452961.036324</v>
      </c>
    </row>
    <row r="98" spans="1:25" ht="15.75">
      <c r="A98" s="21"/>
      <c r="B98" s="96" t="s">
        <v>109</v>
      </c>
      <c r="C98" s="38"/>
      <c r="D98" s="29"/>
      <c r="E98" s="178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56">
        <v>9000</v>
      </c>
      <c r="U98" s="156">
        <f t="shared" si="21"/>
        <v>9135</v>
      </c>
      <c r="V98" s="156">
        <f t="shared" si="21"/>
        <v>9272.025</v>
      </c>
      <c r="W98" s="91">
        <v>20000000</v>
      </c>
      <c r="X98" s="91">
        <f t="shared" si="19"/>
        <v>20360000</v>
      </c>
      <c r="Y98" s="91">
        <f t="shared" si="19"/>
        <v>20726480</v>
      </c>
    </row>
    <row r="99" spans="1:25" s="6" customFormat="1" ht="15.75" customHeight="1">
      <c r="A99" s="24" t="s">
        <v>48</v>
      </c>
      <c r="B99" s="98"/>
      <c r="C99" s="99"/>
      <c r="D99" s="100"/>
      <c r="E99" s="166"/>
      <c r="F99" s="43"/>
      <c r="G99" s="43"/>
      <c r="H99" s="43"/>
      <c r="I99" s="43"/>
      <c r="J99" s="43"/>
      <c r="K99" s="43"/>
      <c r="L99" s="43"/>
      <c r="M99" s="43"/>
      <c r="N99" s="74"/>
      <c r="O99" s="56"/>
      <c r="P99" s="29"/>
      <c r="Q99" s="29"/>
      <c r="R99" s="29"/>
      <c r="S99" s="35"/>
      <c r="T99" s="156">
        <f>SUM(T100:T104)</f>
        <v>99887.98999999999</v>
      </c>
      <c r="U99" s="156">
        <f>SUM(U100:U104)</f>
        <v>101386.30984999999</v>
      </c>
      <c r="V99" s="156">
        <f>SUM(V100:V104)</f>
        <v>102907.10449774998</v>
      </c>
      <c r="W99" s="126">
        <f>SUM(W100:W102)</f>
        <v>74873191</v>
      </c>
      <c r="X99" s="126">
        <f>SUM(X100:X102)</f>
        <v>76220908.43800001</v>
      </c>
      <c r="Y99" s="126">
        <f>SUM(Y100:Y102)</f>
        <v>77592884.789884</v>
      </c>
    </row>
    <row r="100" spans="1:25" s="6" customFormat="1" ht="15.75" customHeight="1">
      <c r="A100" s="21"/>
      <c r="B100" s="96" t="s">
        <v>49</v>
      </c>
      <c r="C100" s="38"/>
      <c r="D100" s="29"/>
      <c r="E100" s="163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156">
        <v>52965.3</v>
      </c>
      <c r="U100" s="156">
        <f aca="true" t="shared" si="22" ref="U100:V104">T100*1.015</f>
        <v>53759.7795</v>
      </c>
      <c r="V100" s="156">
        <f t="shared" si="22"/>
        <v>54566.17619249999</v>
      </c>
      <c r="W100" s="91">
        <f>27234000+37087284</f>
        <v>64321284</v>
      </c>
      <c r="X100" s="91">
        <f aca="true" t="shared" si="23" ref="X100:Y111">W100*1.018</f>
        <v>65479067.112</v>
      </c>
      <c r="Y100" s="91">
        <f t="shared" si="23"/>
        <v>66657690.320016004</v>
      </c>
    </row>
    <row r="101" spans="1:25" s="6" customFormat="1" ht="15.75" customHeight="1">
      <c r="A101" s="92"/>
      <c r="B101" s="34" t="s">
        <v>50</v>
      </c>
      <c r="C101" s="95"/>
      <c r="D101" s="29"/>
      <c r="E101" s="180">
        <v>0.02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156">
        <v>9410.97</v>
      </c>
      <c r="U101" s="156">
        <f t="shared" si="22"/>
        <v>9552.134549999999</v>
      </c>
      <c r="V101" s="156">
        <f t="shared" si="22"/>
        <v>9695.416568249997</v>
      </c>
      <c r="W101" s="91">
        <f>8456405+2095502</f>
        <v>10551907</v>
      </c>
      <c r="X101" s="91">
        <f t="shared" si="23"/>
        <v>10741841.326</v>
      </c>
      <c r="Y101" s="91">
        <f t="shared" si="23"/>
        <v>10935194.469867999</v>
      </c>
    </row>
    <row r="102" spans="1:25" s="6" customFormat="1" ht="15.75" customHeight="1">
      <c r="A102" s="21"/>
      <c r="B102" s="96" t="s">
        <v>51</v>
      </c>
      <c r="C102" s="38"/>
      <c r="D102" s="29"/>
      <c r="E102" s="163">
        <f>2348259459+15737334+94415004+28191620+29855304+15737334-28191620-26752640-28191620</f>
        <v>2449060175</v>
      </c>
      <c r="F102" s="29">
        <f>360088856-G102</f>
        <v>302459890</v>
      </c>
      <c r="G102" s="29">
        <f>28856668+28772298</f>
        <v>57628966</v>
      </c>
      <c r="H102" s="29"/>
      <c r="I102" s="29">
        <f>77282140+42003905+41910305</f>
        <v>161196350</v>
      </c>
      <c r="J102" s="29">
        <f>42896474+23532401+28729593</f>
        <v>95158468</v>
      </c>
      <c r="K102" s="29">
        <v>28191620</v>
      </c>
      <c r="L102" s="29">
        <v>26752640</v>
      </c>
      <c r="M102" s="29">
        <v>14095810</v>
      </c>
      <c r="N102" s="29">
        <v>14095810</v>
      </c>
      <c r="O102" s="29">
        <f>30474843+28772298+30408283</f>
        <v>89655424</v>
      </c>
      <c r="P102" s="29"/>
      <c r="Q102" s="29"/>
      <c r="R102" s="29"/>
      <c r="S102" s="29"/>
      <c r="T102" s="156">
        <v>5839.9</v>
      </c>
      <c r="U102" s="156">
        <f t="shared" si="22"/>
        <v>5927.498499999999</v>
      </c>
      <c r="V102" s="156">
        <f t="shared" si="22"/>
        <v>6016.410977499998</v>
      </c>
      <c r="W102" s="91">
        <v>0</v>
      </c>
      <c r="X102" s="91">
        <f t="shared" si="23"/>
        <v>0</v>
      </c>
      <c r="Y102" s="91">
        <f t="shared" si="23"/>
        <v>0</v>
      </c>
    </row>
    <row r="103" spans="1:25" s="6" customFormat="1" ht="15.75" customHeight="1">
      <c r="A103" s="21"/>
      <c r="B103" s="96" t="s">
        <v>178</v>
      </c>
      <c r="C103" s="38"/>
      <c r="D103" s="29"/>
      <c r="E103" s="163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156">
        <v>21529.78</v>
      </c>
      <c r="U103" s="156">
        <f t="shared" si="22"/>
        <v>21852.726699999996</v>
      </c>
      <c r="V103" s="156">
        <f t="shared" si="22"/>
        <v>22180.517600499992</v>
      </c>
      <c r="W103" s="91"/>
      <c r="X103" s="91"/>
      <c r="Y103" s="91"/>
    </row>
    <row r="104" spans="1:25" s="6" customFormat="1" ht="15.75" customHeight="1">
      <c r="A104" s="21"/>
      <c r="B104" s="96" t="s">
        <v>138</v>
      </c>
      <c r="C104" s="38"/>
      <c r="D104" s="29"/>
      <c r="E104" s="163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156">
        <v>10142.04</v>
      </c>
      <c r="U104" s="156">
        <f t="shared" si="22"/>
        <v>10294.1706</v>
      </c>
      <c r="V104" s="156">
        <f t="shared" si="22"/>
        <v>10448.583158999998</v>
      </c>
      <c r="W104" s="91"/>
      <c r="X104" s="91"/>
      <c r="Y104" s="91"/>
    </row>
    <row r="105" spans="1:25" s="6" customFormat="1" ht="15.75" customHeight="1">
      <c r="A105" s="24" t="s">
        <v>52</v>
      </c>
      <c r="B105" s="104"/>
      <c r="C105" s="102"/>
      <c r="D105" s="103"/>
      <c r="E105" s="163">
        <v>8544450</v>
      </c>
      <c r="F105" s="40">
        <f>8080000-1150000</f>
        <v>6930000</v>
      </c>
      <c r="G105" s="29">
        <v>1150000</v>
      </c>
      <c r="H105" s="29"/>
      <c r="I105" s="29">
        <v>500000</v>
      </c>
      <c r="J105" s="29">
        <v>500000</v>
      </c>
      <c r="K105" s="29">
        <v>1500000</v>
      </c>
      <c r="L105" s="29">
        <v>505000</v>
      </c>
      <c r="M105" s="29"/>
      <c r="N105" s="29"/>
      <c r="O105" s="29">
        <v>1010000</v>
      </c>
      <c r="P105" s="29"/>
      <c r="Q105" s="29"/>
      <c r="R105" s="29"/>
      <c r="S105" s="29"/>
      <c r="T105" s="156">
        <f>SUM(T106:T111)</f>
        <v>2421130.13</v>
      </c>
      <c r="U105" s="156">
        <f>SUM(U106:U111)</f>
        <v>2473286.2116</v>
      </c>
      <c r="V105" s="156">
        <f>SUM(V106:V111)</f>
        <v>2605149.15218</v>
      </c>
      <c r="W105" s="126">
        <f>SUM(W106:W110)</f>
        <v>3556775350</v>
      </c>
      <c r="X105" s="126">
        <f>SUM(X106:X110)</f>
        <v>3620797306.3</v>
      </c>
      <c r="Y105" s="126">
        <f>SUM(Y106:Y110)</f>
        <v>3685971657.8134003</v>
      </c>
    </row>
    <row r="106" spans="1:25" s="6" customFormat="1" ht="15.75" customHeight="1">
      <c r="A106" s="21"/>
      <c r="B106" s="96" t="s">
        <v>53</v>
      </c>
      <c r="C106" s="38"/>
      <c r="D106" s="29"/>
      <c r="E106" s="163">
        <f>32896912-K106</f>
        <v>27468112</v>
      </c>
      <c r="F106" s="40">
        <f>17675000-G106</f>
        <v>14335000</v>
      </c>
      <c r="G106" s="29">
        <v>3340000</v>
      </c>
      <c r="H106" s="29"/>
      <c r="I106" s="29">
        <f>52*5*3*17400</f>
        <v>13572000</v>
      </c>
      <c r="J106" s="29">
        <f>52*5*2*17400</f>
        <v>9048000</v>
      </c>
      <c r="K106" s="29">
        <f>3*52*2*17400</f>
        <v>5428800</v>
      </c>
      <c r="L106" s="29"/>
      <c r="M106" s="29"/>
      <c r="N106" s="29"/>
      <c r="O106" s="29">
        <v>7214430</v>
      </c>
      <c r="P106" s="29"/>
      <c r="Q106" s="29"/>
      <c r="R106" s="29"/>
      <c r="S106" s="29"/>
      <c r="T106" s="156">
        <f>1681993</f>
        <v>1681993</v>
      </c>
      <c r="U106" s="156">
        <f>T106*1.04-5667.41-20000</f>
        <v>1723605.31</v>
      </c>
      <c r="V106" s="156">
        <f>U106*1.05+30953.85-18480.22</f>
        <v>1822259.2055000002</v>
      </c>
      <c r="W106" s="91">
        <f>2589603822-16666667</f>
        <v>2572937155</v>
      </c>
      <c r="X106" s="91">
        <f t="shared" si="23"/>
        <v>2619250023.79</v>
      </c>
      <c r="Y106" s="91">
        <f t="shared" si="23"/>
        <v>2666396524.21822</v>
      </c>
    </row>
    <row r="107" spans="1:25" s="6" customFormat="1" ht="15.75" customHeight="1">
      <c r="A107" s="21"/>
      <c r="B107" s="96" t="s">
        <v>123</v>
      </c>
      <c r="C107" s="38"/>
      <c r="D107" s="29"/>
      <c r="E107" s="181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156">
        <v>480763.09</v>
      </c>
      <c r="U107" s="156">
        <f>T107*1.04-15000</f>
        <v>484993.61360000004</v>
      </c>
      <c r="V107" s="156">
        <f>U107*1.05</f>
        <v>509243.2942800001</v>
      </c>
      <c r="W107" s="91">
        <v>722717793</v>
      </c>
      <c r="X107" s="91">
        <f t="shared" si="23"/>
        <v>735726713.274</v>
      </c>
      <c r="Y107" s="91">
        <f t="shared" si="23"/>
        <v>748969794.1129321</v>
      </c>
    </row>
    <row r="108" spans="1:25" s="6" customFormat="1" ht="15.75" customHeight="1">
      <c r="A108" s="92"/>
      <c r="B108" s="34" t="s">
        <v>110</v>
      </c>
      <c r="C108" s="95"/>
      <c r="D108" s="29"/>
      <c r="E108" s="181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156">
        <v>16350</v>
      </c>
      <c r="U108" s="156">
        <f>T108*1.04</f>
        <v>17004</v>
      </c>
      <c r="V108" s="156">
        <f>U108*1.05</f>
        <v>17854.2</v>
      </c>
      <c r="W108" s="91">
        <v>39068433</v>
      </c>
      <c r="X108" s="91">
        <f t="shared" si="23"/>
        <v>39771664.794</v>
      </c>
      <c r="Y108" s="91">
        <f t="shared" si="23"/>
        <v>40487554.760292</v>
      </c>
    </row>
    <row r="109" spans="1:25" s="6" customFormat="1" ht="15.75" customHeight="1">
      <c r="A109" s="92"/>
      <c r="B109" s="96" t="s">
        <v>54</v>
      </c>
      <c r="C109" s="38"/>
      <c r="D109" s="29"/>
      <c r="E109" s="163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156">
        <v>141481.2</v>
      </c>
      <c r="U109" s="156">
        <f>T109*1.04</f>
        <v>147140.448</v>
      </c>
      <c r="V109" s="156">
        <f>U109*1.05</f>
        <v>154497.47040000002</v>
      </c>
      <c r="W109" s="91">
        <v>222051969</v>
      </c>
      <c r="X109" s="91">
        <f t="shared" si="23"/>
        <v>226048904.442</v>
      </c>
      <c r="Y109" s="91">
        <f t="shared" si="23"/>
        <v>230117784.721956</v>
      </c>
    </row>
    <row r="110" spans="1:25" s="6" customFormat="1" ht="15.75" customHeight="1">
      <c r="A110" s="92"/>
      <c r="B110" s="96" t="s">
        <v>106</v>
      </c>
      <c r="C110" s="38"/>
      <c r="D110" s="29"/>
      <c r="E110" s="163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156">
        <v>85500</v>
      </c>
      <c r="U110" s="156">
        <f>T110</f>
        <v>85500</v>
      </c>
      <c r="V110" s="156">
        <f>U110</f>
        <v>85500</v>
      </c>
      <c r="W110" s="91">
        <v>0</v>
      </c>
      <c r="X110" s="91">
        <f t="shared" si="23"/>
        <v>0</v>
      </c>
      <c r="Y110" s="91">
        <f t="shared" si="23"/>
        <v>0</v>
      </c>
    </row>
    <row r="111" spans="1:25" ht="15.75">
      <c r="A111" s="21"/>
      <c r="B111" s="96" t="s">
        <v>111</v>
      </c>
      <c r="C111" s="38"/>
      <c r="D111" s="29"/>
      <c r="E111" s="178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56">
        <v>15042.84</v>
      </c>
      <c r="U111" s="156">
        <f>T111</f>
        <v>15042.84</v>
      </c>
      <c r="V111" s="156">
        <f>U111*1.05</f>
        <v>15794.982</v>
      </c>
      <c r="W111" s="91">
        <v>165000000</v>
      </c>
      <c r="X111" s="91">
        <f t="shared" si="23"/>
        <v>167970000</v>
      </c>
      <c r="Y111" s="91">
        <f t="shared" si="23"/>
        <v>170993460</v>
      </c>
    </row>
    <row r="112" spans="1:25" s="6" customFormat="1" ht="15.75" customHeight="1">
      <c r="A112" s="24" t="s">
        <v>55</v>
      </c>
      <c r="B112" s="25"/>
      <c r="C112" s="65"/>
      <c r="D112" s="21"/>
      <c r="E112" s="161"/>
      <c r="F112" s="17"/>
      <c r="G112" s="17"/>
      <c r="H112" s="17"/>
      <c r="I112" s="17"/>
      <c r="J112" s="17"/>
      <c r="K112" s="17"/>
      <c r="L112" s="17"/>
      <c r="M112" s="17"/>
      <c r="N112" s="18"/>
      <c r="O112" s="55"/>
      <c r="P112" s="19"/>
      <c r="Q112" s="21"/>
      <c r="R112" s="19"/>
      <c r="S112" s="19"/>
      <c r="T112" s="156">
        <f aca="true" t="shared" si="24" ref="T112:Y112">SUM(T113:T115)</f>
        <v>186874.18</v>
      </c>
      <c r="U112" s="156">
        <f t="shared" si="24"/>
        <v>170034.19179999997</v>
      </c>
      <c r="V112" s="156">
        <f t="shared" si="24"/>
        <v>173434.87563599998</v>
      </c>
      <c r="W112" s="126">
        <f t="shared" si="24"/>
        <v>157936961</v>
      </c>
      <c r="X112" s="126">
        <f t="shared" si="24"/>
        <v>160779826.298</v>
      </c>
      <c r="Y112" s="126">
        <f t="shared" si="24"/>
        <v>163673863.171364</v>
      </c>
    </row>
    <row r="113" spans="1:25" s="6" customFormat="1" ht="15.75" customHeight="1">
      <c r="A113" s="92"/>
      <c r="B113" s="34" t="s">
        <v>139</v>
      </c>
      <c r="C113" s="95"/>
      <c r="D113" s="29"/>
      <c r="E113" s="163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156">
        <v>30600</v>
      </c>
      <c r="U113" s="156">
        <f>T113*1.01</f>
        <v>30906</v>
      </c>
      <c r="V113" s="156">
        <f>U113*1.02</f>
        <v>31524.12</v>
      </c>
      <c r="W113" s="91">
        <v>157936961</v>
      </c>
      <c r="X113" s="91">
        <f aca="true" t="shared" si="25" ref="X113:Y115">W113*1.018</f>
        <v>160779826.298</v>
      </c>
      <c r="Y113" s="91">
        <f t="shared" si="25"/>
        <v>163673863.171364</v>
      </c>
    </row>
    <row r="114" spans="1:25" s="6" customFormat="1" ht="15.75" customHeight="1">
      <c r="A114" s="92"/>
      <c r="B114" s="34" t="s">
        <v>146</v>
      </c>
      <c r="C114" s="95"/>
      <c r="D114" s="29"/>
      <c r="E114" s="163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156">
        <v>156274.18</v>
      </c>
      <c r="U114" s="156">
        <f>T114*1.01-18708.73</f>
        <v>139128.19179999997</v>
      </c>
      <c r="V114" s="156">
        <f>U114*1.02</f>
        <v>141910.755636</v>
      </c>
      <c r="W114" s="91"/>
      <c r="X114" s="91"/>
      <c r="Y114" s="91"/>
    </row>
    <row r="115" spans="1:25" s="6" customFormat="1" ht="15.75" customHeight="1">
      <c r="A115" s="92"/>
      <c r="B115" s="96" t="s">
        <v>56</v>
      </c>
      <c r="C115" s="38"/>
      <c r="D115" s="29"/>
      <c r="E115" s="163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156">
        <v>0</v>
      </c>
      <c r="U115" s="156">
        <v>0</v>
      </c>
      <c r="V115" s="156">
        <v>0</v>
      </c>
      <c r="W115" s="91">
        <v>0</v>
      </c>
      <c r="X115" s="91">
        <f t="shared" si="25"/>
        <v>0</v>
      </c>
      <c r="Y115" s="91">
        <f t="shared" si="25"/>
        <v>0</v>
      </c>
    </row>
    <row r="116" spans="1:25" s="6" customFormat="1" ht="15.75" customHeight="1">
      <c r="A116" s="24" t="s">
        <v>57</v>
      </c>
      <c r="B116" s="115" t="s">
        <v>58</v>
      </c>
      <c r="C116" s="116"/>
      <c r="D116" s="41"/>
      <c r="E116" s="166"/>
      <c r="F116" s="43"/>
      <c r="G116" s="43"/>
      <c r="H116" s="43"/>
      <c r="I116" s="43"/>
      <c r="J116" s="43"/>
      <c r="K116" s="43"/>
      <c r="L116" s="43"/>
      <c r="M116" s="43"/>
      <c r="N116" s="74"/>
      <c r="O116" s="56"/>
      <c r="P116" s="26"/>
      <c r="Q116" s="35"/>
      <c r="R116" s="26"/>
      <c r="S116" s="35"/>
      <c r="T116" s="156">
        <v>0</v>
      </c>
      <c r="U116" s="156">
        <v>0</v>
      </c>
      <c r="V116" s="156">
        <v>0</v>
      </c>
      <c r="W116" s="126">
        <f>SUM(W117:W118)</f>
        <v>0</v>
      </c>
      <c r="X116" s="126">
        <f>SUM(X117:X118)</f>
        <v>0</v>
      </c>
      <c r="Y116" s="126">
        <f>SUM(Y117:Y118)</f>
        <v>0</v>
      </c>
    </row>
    <row r="117" spans="1:25" s="6" customFormat="1" ht="15.75" customHeight="1">
      <c r="A117" s="92"/>
      <c r="B117" s="96" t="s">
        <v>59</v>
      </c>
      <c r="C117" s="38"/>
      <c r="D117" s="29"/>
      <c r="E117" s="163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156">
        <v>0</v>
      </c>
      <c r="U117" s="156">
        <v>0</v>
      </c>
      <c r="V117" s="156">
        <v>0</v>
      </c>
      <c r="W117" s="91">
        <v>0</v>
      </c>
      <c r="X117" s="91">
        <f>W117*1.018</f>
        <v>0</v>
      </c>
      <c r="Y117" s="91">
        <f>X117*1.018</f>
        <v>0</v>
      </c>
    </row>
    <row r="118" spans="1:25" s="6" customFormat="1" ht="15.75" customHeight="1">
      <c r="A118" s="92"/>
      <c r="B118" s="34" t="s">
        <v>60</v>
      </c>
      <c r="C118" s="95"/>
      <c r="D118" s="29"/>
      <c r="E118" s="163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156">
        <v>0</v>
      </c>
      <c r="U118" s="156">
        <v>0</v>
      </c>
      <c r="V118" s="156">
        <v>0</v>
      </c>
      <c r="W118" s="91">
        <v>0</v>
      </c>
      <c r="X118" s="91">
        <f>W118*1.018</f>
        <v>0</v>
      </c>
      <c r="Y118" s="91">
        <f>X118*1.018</f>
        <v>0</v>
      </c>
    </row>
    <row r="119" spans="1:25" s="6" customFormat="1" ht="15.75" customHeight="1">
      <c r="A119" s="24" t="s">
        <v>61</v>
      </c>
      <c r="B119" s="117" t="s">
        <v>62</v>
      </c>
      <c r="C119" s="118"/>
      <c r="D119" s="119"/>
      <c r="E119" s="163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156">
        <f aca="true" t="shared" si="26" ref="T119:Y119">SUM(T120)</f>
        <v>10000</v>
      </c>
      <c r="U119" s="156">
        <f t="shared" si="26"/>
        <v>10149.999999999998</v>
      </c>
      <c r="V119" s="156">
        <f t="shared" si="26"/>
        <v>10302.249999999996</v>
      </c>
      <c r="W119" s="126">
        <f t="shared" si="26"/>
        <v>0</v>
      </c>
      <c r="X119" s="126">
        <f t="shared" si="26"/>
        <v>0</v>
      </c>
      <c r="Y119" s="126">
        <f t="shared" si="26"/>
        <v>0</v>
      </c>
    </row>
    <row r="120" spans="1:25" s="6" customFormat="1" ht="15.75" customHeight="1">
      <c r="A120" s="92"/>
      <c r="B120" s="34" t="s">
        <v>63</v>
      </c>
      <c r="C120" s="95"/>
      <c r="D120" s="29"/>
      <c r="E120" s="163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156">
        <v>10000</v>
      </c>
      <c r="U120" s="156">
        <f>T120*1.015</f>
        <v>10149.999999999998</v>
      </c>
      <c r="V120" s="156">
        <f>U120*1.015</f>
        <v>10302.249999999996</v>
      </c>
      <c r="W120" s="91">
        <v>0</v>
      </c>
      <c r="X120" s="91">
        <f>W120*1.018</f>
        <v>0</v>
      </c>
      <c r="Y120" s="91">
        <f>X120*1.018</f>
        <v>0</v>
      </c>
    </row>
    <row r="121" spans="1:25" s="6" customFormat="1" ht="15.75" customHeight="1">
      <c r="A121" s="24" t="s">
        <v>64</v>
      </c>
      <c r="B121" s="117" t="s">
        <v>65</v>
      </c>
      <c r="C121" s="118"/>
      <c r="D121" s="119"/>
      <c r="E121" s="163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156">
        <f>SUM(T122)</f>
        <v>0</v>
      </c>
      <c r="U121" s="156">
        <v>0</v>
      </c>
      <c r="V121" s="156">
        <v>0</v>
      </c>
      <c r="W121" s="126">
        <f>SUM(W122)</f>
        <v>5871883</v>
      </c>
      <c r="X121" s="126">
        <f>SUM(X122)</f>
        <v>5977576.894</v>
      </c>
      <c r="Y121" s="126">
        <f>SUM(Y122)</f>
        <v>6085173.278092001</v>
      </c>
    </row>
    <row r="122" spans="1:25" s="6" customFormat="1" ht="15.75" customHeight="1">
      <c r="A122" s="92"/>
      <c r="B122" s="96" t="s">
        <v>124</v>
      </c>
      <c r="C122" s="38"/>
      <c r="D122" s="29"/>
      <c r="E122" s="163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156">
        <v>0</v>
      </c>
      <c r="U122" s="156">
        <v>0</v>
      </c>
      <c r="V122" s="156">
        <v>0</v>
      </c>
      <c r="W122" s="91">
        <v>5871883</v>
      </c>
      <c r="X122" s="91">
        <f>W122*1.018</f>
        <v>5977576.894</v>
      </c>
      <c r="Y122" s="91">
        <f>X122*1.018</f>
        <v>6085173.278092001</v>
      </c>
    </row>
    <row r="123" spans="1:25" s="6" customFormat="1" ht="15.75" customHeight="1">
      <c r="A123" s="24" t="s">
        <v>66</v>
      </c>
      <c r="B123" s="117" t="s">
        <v>67</v>
      </c>
      <c r="C123" s="118"/>
      <c r="D123" s="119"/>
      <c r="E123" s="163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156">
        <f aca="true" t="shared" si="27" ref="T123:Y123">SUM(T124:T133)</f>
        <v>67733.47</v>
      </c>
      <c r="U123" s="156">
        <f t="shared" si="27"/>
        <v>68749.47204999998</v>
      </c>
      <c r="V123" s="156">
        <f t="shared" si="27"/>
        <v>69780.71413074998</v>
      </c>
      <c r="W123" s="126">
        <f t="shared" si="27"/>
        <v>78484500</v>
      </c>
      <c r="X123" s="126">
        <f t="shared" si="27"/>
        <v>79897220.99999999</v>
      </c>
      <c r="Y123" s="126">
        <f t="shared" si="27"/>
        <v>81335370.978</v>
      </c>
    </row>
    <row r="124" spans="1:25" s="6" customFormat="1" ht="15.75" customHeight="1">
      <c r="A124" s="92"/>
      <c r="B124" s="96" t="s">
        <v>68</v>
      </c>
      <c r="C124" s="38"/>
      <c r="D124" s="29"/>
      <c r="E124" s="163">
        <v>30600000</v>
      </c>
      <c r="F124" s="29"/>
      <c r="G124" s="29"/>
      <c r="H124" s="29">
        <v>1500000</v>
      </c>
      <c r="I124" s="29">
        <v>700000</v>
      </c>
      <c r="J124" s="29">
        <v>800000</v>
      </c>
      <c r="K124" s="29"/>
      <c r="L124" s="29"/>
      <c r="M124" s="29"/>
      <c r="N124" s="29"/>
      <c r="O124" s="29"/>
      <c r="P124" s="29"/>
      <c r="Q124" s="29"/>
      <c r="R124" s="29"/>
      <c r="S124" s="29"/>
      <c r="T124" s="156">
        <v>5473.22</v>
      </c>
      <c r="U124" s="156">
        <f aca="true" t="shared" si="28" ref="U124:V133">T124*1.015</f>
        <v>5555.3183</v>
      </c>
      <c r="V124" s="156">
        <f t="shared" si="28"/>
        <v>5638.648074499999</v>
      </c>
      <c r="W124" s="91">
        <v>8019293</v>
      </c>
      <c r="X124" s="91">
        <f aca="true" t="shared" si="29" ref="X124:Y133">W124*1.018</f>
        <v>8163640.274</v>
      </c>
      <c r="Y124" s="91">
        <f t="shared" si="29"/>
        <v>8310585.798932</v>
      </c>
    </row>
    <row r="125" spans="1:25" s="6" customFormat="1" ht="15.75" customHeight="1">
      <c r="A125" s="92"/>
      <c r="B125" s="96" t="s">
        <v>69</v>
      </c>
      <c r="C125" s="38"/>
      <c r="D125" s="29"/>
      <c r="E125" s="163">
        <v>5100000</v>
      </c>
      <c r="F125" s="29"/>
      <c r="G125" s="29">
        <v>1020000</v>
      </c>
      <c r="H125" s="29">
        <v>525000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156">
        <v>1150.08</v>
      </c>
      <c r="U125" s="156">
        <f t="shared" si="28"/>
        <v>1167.3311999999999</v>
      </c>
      <c r="V125" s="156">
        <f t="shared" si="28"/>
        <v>1184.8411679999997</v>
      </c>
      <c r="W125" s="91">
        <f>1113430+1113430</f>
        <v>2226860</v>
      </c>
      <c r="X125" s="91">
        <f t="shared" si="29"/>
        <v>2266943.48</v>
      </c>
      <c r="Y125" s="91">
        <f t="shared" si="29"/>
        <v>2307748.46264</v>
      </c>
    </row>
    <row r="126" spans="1:25" s="6" customFormat="1" ht="15.75" customHeight="1">
      <c r="A126" s="92"/>
      <c r="B126" s="96" t="s">
        <v>179</v>
      </c>
      <c r="C126" s="38"/>
      <c r="D126" s="29"/>
      <c r="E126" s="163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156">
        <v>1277.86</v>
      </c>
      <c r="U126" s="156">
        <f t="shared" si="28"/>
        <v>1297.0278999999998</v>
      </c>
      <c r="V126" s="156">
        <f t="shared" si="28"/>
        <v>1316.4833184999998</v>
      </c>
      <c r="W126" s="91"/>
      <c r="X126" s="91"/>
      <c r="Y126" s="91"/>
    </row>
    <row r="127" spans="1:25" s="6" customFormat="1" ht="15.75" customHeight="1">
      <c r="A127" s="92"/>
      <c r="B127" s="96" t="s">
        <v>180</v>
      </c>
      <c r="C127" s="38"/>
      <c r="D127" s="29"/>
      <c r="E127" s="163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156">
        <v>651</v>
      </c>
      <c r="U127" s="156">
        <f t="shared" si="28"/>
        <v>660.765</v>
      </c>
      <c r="V127" s="156">
        <f t="shared" si="28"/>
        <v>670.6764749999999</v>
      </c>
      <c r="W127" s="91"/>
      <c r="X127" s="91"/>
      <c r="Y127" s="91"/>
    </row>
    <row r="128" spans="1:25" s="6" customFormat="1" ht="15.75" customHeight="1">
      <c r="A128" s="92"/>
      <c r="B128" s="96" t="s">
        <v>112</v>
      </c>
      <c r="C128" s="38"/>
      <c r="D128" s="29"/>
      <c r="E128" s="163">
        <f>16000000+9000000</f>
        <v>25000000</v>
      </c>
      <c r="F128" s="29">
        <v>1000000</v>
      </c>
      <c r="G128" s="29">
        <v>500000</v>
      </c>
      <c r="H128" s="29">
        <v>3000000</v>
      </c>
      <c r="I128" s="29">
        <v>1500000</v>
      </c>
      <c r="J128" s="29">
        <v>1500000</v>
      </c>
      <c r="K128" s="29">
        <v>500000</v>
      </c>
      <c r="L128" s="29">
        <v>500000</v>
      </c>
      <c r="M128" s="29">
        <v>3000000</v>
      </c>
      <c r="N128" s="29">
        <v>500000</v>
      </c>
      <c r="O128" s="29">
        <v>500000</v>
      </c>
      <c r="P128" s="29">
        <v>3000000</v>
      </c>
      <c r="Q128" s="29"/>
      <c r="R128" s="29"/>
      <c r="S128" s="29"/>
      <c r="T128" s="156">
        <v>496</v>
      </c>
      <c r="U128" s="156">
        <f t="shared" si="28"/>
        <v>503.43999999999994</v>
      </c>
      <c r="V128" s="156">
        <f t="shared" si="28"/>
        <v>510.9915999999999</v>
      </c>
      <c r="W128" s="91">
        <v>7350367</v>
      </c>
      <c r="X128" s="91">
        <f t="shared" si="29"/>
        <v>7482673.606</v>
      </c>
      <c r="Y128" s="91">
        <f t="shared" si="29"/>
        <v>7617361.730908</v>
      </c>
    </row>
    <row r="129" spans="1:25" s="6" customFormat="1" ht="15.75" customHeight="1">
      <c r="A129" s="92"/>
      <c r="B129" s="96" t="s">
        <v>113</v>
      </c>
      <c r="C129" s="38"/>
      <c r="D129" s="29"/>
      <c r="E129" s="163">
        <v>1020000</v>
      </c>
      <c r="F129" s="29"/>
      <c r="G129" s="29"/>
      <c r="H129" s="29"/>
      <c r="I129" s="29">
        <v>1000000</v>
      </c>
      <c r="J129" s="29">
        <v>1000000</v>
      </c>
      <c r="K129" s="29"/>
      <c r="L129" s="29"/>
      <c r="M129" s="29"/>
      <c r="N129" s="29"/>
      <c r="O129" s="29"/>
      <c r="P129" s="29"/>
      <c r="Q129" s="29"/>
      <c r="R129" s="29"/>
      <c r="S129" s="29"/>
      <c r="T129" s="156">
        <v>17613.62</v>
      </c>
      <c r="U129" s="156">
        <f t="shared" si="28"/>
        <v>17877.824299999997</v>
      </c>
      <c r="V129" s="156">
        <f t="shared" si="28"/>
        <v>18145.991664499994</v>
      </c>
      <c r="W129" s="91">
        <v>24787091</v>
      </c>
      <c r="X129" s="91">
        <f t="shared" si="29"/>
        <v>25233258.638</v>
      </c>
      <c r="Y129" s="91">
        <f t="shared" si="29"/>
        <v>25687457.293484002</v>
      </c>
    </row>
    <row r="130" spans="1:25" s="6" customFormat="1" ht="15.75" customHeight="1">
      <c r="A130" s="92"/>
      <c r="B130" s="96" t="s">
        <v>114</v>
      </c>
      <c r="C130" s="38"/>
      <c r="D130" s="29"/>
      <c r="E130" s="163">
        <v>1428000</v>
      </c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156">
        <v>6276.26</v>
      </c>
      <c r="U130" s="156">
        <f t="shared" si="28"/>
        <v>6370.403899999999</v>
      </c>
      <c r="V130" s="156">
        <f t="shared" si="28"/>
        <v>6465.959958499999</v>
      </c>
      <c r="W130" s="91">
        <v>4369289</v>
      </c>
      <c r="X130" s="91">
        <f t="shared" si="29"/>
        <v>4447936.2020000005</v>
      </c>
      <c r="Y130" s="91">
        <f t="shared" si="29"/>
        <v>4527999.0536360005</v>
      </c>
    </row>
    <row r="131" spans="1:25" s="6" customFormat="1" ht="15.75" customHeight="1">
      <c r="A131" s="21"/>
      <c r="B131" s="105" t="s">
        <v>115</v>
      </c>
      <c r="C131" s="38"/>
      <c r="D131" s="29"/>
      <c r="E131" s="163"/>
      <c r="F131" s="29"/>
      <c r="G131" s="29"/>
      <c r="H131" s="29"/>
      <c r="I131" s="29">
        <v>12000000</v>
      </c>
      <c r="J131" s="29">
        <v>12000000</v>
      </c>
      <c r="K131" s="29"/>
      <c r="L131" s="29"/>
      <c r="M131" s="29"/>
      <c r="N131" s="29"/>
      <c r="O131" s="29"/>
      <c r="P131" s="29"/>
      <c r="Q131" s="29"/>
      <c r="R131" s="29"/>
      <c r="S131" s="29"/>
      <c r="T131" s="156">
        <v>29777.87</v>
      </c>
      <c r="U131" s="156">
        <f t="shared" si="28"/>
        <v>30224.538049999996</v>
      </c>
      <c r="V131" s="156">
        <f t="shared" si="28"/>
        <v>30677.90612074999</v>
      </c>
      <c r="W131" s="91">
        <v>26800000</v>
      </c>
      <c r="X131" s="91">
        <f t="shared" si="29"/>
        <v>27282400</v>
      </c>
      <c r="Y131" s="91">
        <f t="shared" si="29"/>
        <v>27773483.2</v>
      </c>
    </row>
    <row r="132" spans="1:25" s="6" customFormat="1" ht="15.75" customHeight="1">
      <c r="A132" s="92"/>
      <c r="B132" s="105" t="s">
        <v>116</v>
      </c>
      <c r="C132" s="38"/>
      <c r="D132" s="29"/>
      <c r="E132" s="163">
        <v>22700000</v>
      </c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156">
        <v>1291</v>
      </c>
      <c r="U132" s="156">
        <f t="shared" si="28"/>
        <v>1310.3649999999998</v>
      </c>
      <c r="V132" s="156">
        <f t="shared" si="28"/>
        <v>1330.0204749999996</v>
      </c>
      <c r="W132" s="91">
        <f>1236000+1236000</f>
        <v>2472000</v>
      </c>
      <c r="X132" s="91">
        <f t="shared" si="29"/>
        <v>2516496</v>
      </c>
      <c r="Y132" s="91">
        <f t="shared" si="29"/>
        <v>2561792.928</v>
      </c>
    </row>
    <row r="133" spans="1:25" s="6" customFormat="1" ht="15.75" customHeight="1">
      <c r="A133" s="92"/>
      <c r="B133" s="87" t="s">
        <v>70</v>
      </c>
      <c r="C133" s="23"/>
      <c r="D133" s="19"/>
      <c r="E133" s="182">
        <v>2000000</v>
      </c>
      <c r="F133" s="19">
        <v>2000000</v>
      </c>
      <c r="G133" s="19">
        <v>2000000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56">
        <v>3726.56</v>
      </c>
      <c r="U133" s="156">
        <f t="shared" si="28"/>
        <v>3782.4583999999995</v>
      </c>
      <c r="V133" s="156">
        <f t="shared" si="28"/>
        <v>3839.195275999999</v>
      </c>
      <c r="W133" s="90">
        <f>1359600+600000+500000</f>
        <v>2459600</v>
      </c>
      <c r="X133" s="91">
        <f t="shared" si="29"/>
        <v>2503872.8</v>
      </c>
      <c r="Y133" s="91">
        <f t="shared" si="29"/>
        <v>2548942.5104</v>
      </c>
    </row>
    <row r="134" spans="1:25" s="6" customFormat="1" ht="15.75" customHeight="1">
      <c r="A134" s="100"/>
      <c r="B134" s="52"/>
      <c r="C134" s="52"/>
      <c r="D134" s="45"/>
      <c r="E134" s="183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156"/>
      <c r="U134" s="156"/>
      <c r="V134" s="156"/>
      <c r="W134" s="131"/>
      <c r="X134" s="131"/>
      <c r="Y134" s="131"/>
    </row>
    <row r="135" spans="1:25" s="6" customFormat="1" ht="15.75" customHeight="1">
      <c r="A135" s="30"/>
      <c r="B135" s="58" t="s">
        <v>29</v>
      </c>
      <c r="C135" s="58"/>
      <c r="D135" s="28"/>
      <c r="E135" s="184">
        <f aca="true" t="shared" si="30" ref="E135:S135">SUM(E109:E131)</f>
        <v>63148000</v>
      </c>
      <c r="F135" s="130">
        <f t="shared" si="30"/>
        <v>1000000</v>
      </c>
      <c r="G135" s="130">
        <f t="shared" si="30"/>
        <v>1520000</v>
      </c>
      <c r="H135" s="130">
        <f t="shared" si="30"/>
        <v>5025000</v>
      </c>
      <c r="I135" s="130">
        <f t="shared" si="30"/>
        <v>15200000</v>
      </c>
      <c r="J135" s="130">
        <f t="shared" si="30"/>
        <v>15300000</v>
      </c>
      <c r="K135" s="130">
        <f t="shared" si="30"/>
        <v>500000</v>
      </c>
      <c r="L135" s="130">
        <f t="shared" si="30"/>
        <v>500000</v>
      </c>
      <c r="M135" s="130">
        <f t="shared" si="30"/>
        <v>3000000</v>
      </c>
      <c r="N135" s="130">
        <f t="shared" si="30"/>
        <v>500000</v>
      </c>
      <c r="O135" s="130">
        <f t="shared" si="30"/>
        <v>500000</v>
      </c>
      <c r="P135" s="130">
        <f t="shared" si="30"/>
        <v>3000000</v>
      </c>
      <c r="Q135" s="130">
        <f t="shared" si="30"/>
        <v>0</v>
      </c>
      <c r="R135" s="130">
        <f t="shared" si="30"/>
        <v>0</v>
      </c>
      <c r="S135" s="130">
        <f t="shared" si="30"/>
        <v>0</v>
      </c>
      <c r="T135" s="156">
        <f>T42+T54+T93+T99+T105+T112+T119+T123</f>
        <v>9438080.35</v>
      </c>
      <c r="U135" s="156">
        <f>U42+U54+U93+U99+U105+U112+U119+U123</f>
        <v>9575847.584</v>
      </c>
      <c r="V135" s="156">
        <f>V42+V54+V93+V99+V105+V112+V119+V123</f>
        <v>9815099.116124999</v>
      </c>
      <c r="W135" s="132">
        <f>SUM(W42+W54+W93+W99+W105+W112+W116+W119+W121+W123)</f>
        <v>13463735210</v>
      </c>
      <c r="X135" s="132">
        <f>SUM(X42+X54+X93+X99+X105+X112+X116+X119+X121+X123)</f>
        <v>13658594390.903997</v>
      </c>
      <c r="Y135" s="132">
        <f>SUM(Y42+Y54+Y93+Y99+Y105+Y112+Y116+Y119+Y121+Y123)</f>
        <v>14017290111.483767</v>
      </c>
    </row>
    <row r="136" spans="1:25" s="6" customFormat="1" ht="15.75" customHeight="1">
      <c r="A136" s="146"/>
      <c r="B136" s="52"/>
      <c r="C136" s="52"/>
      <c r="D136" s="45"/>
      <c r="E136" s="183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131"/>
      <c r="U136" s="131"/>
      <c r="V136" s="131"/>
      <c r="W136" s="131"/>
      <c r="X136" s="131"/>
      <c r="Y136" s="131"/>
    </row>
    <row r="137" spans="1:25" s="86" customFormat="1" ht="15.75">
      <c r="A137" s="66" t="s">
        <v>71</v>
      </c>
      <c r="B137" s="67" t="s">
        <v>72</v>
      </c>
      <c r="C137" s="68"/>
      <c r="D137" s="133"/>
      <c r="E137" s="17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56">
        <f>SUM(T138:T140)</f>
        <v>-15381.17</v>
      </c>
      <c r="U137" s="156">
        <f>SUM(U138:U140)</f>
        <v>-17900</v>
      </c>
      <c r="V137" s="156">
        <f>SUM(V138:V140)</f>
        <v>-17900</v>
      </c>
      <c r="W137" s="135">
        <f>SUM(W140-W139-W138)</f>
        <v>-20000000</v>
      </c>
      <c r="X137" s="135">
        <f>SUM(X140-X139-X138)</f>
        <v>-20000000</v>
      </c>
      <c r="Y137" s="135">
        <f>SUM(Y140-Y139-Y138)</f>
        <v>-20000000</v>
      </c>
    </row>
    <row r="138" spans="1:25" s="86" customFormat="1" ht="15.75">
      <c r="A138" s="147" t="s">
        <v>73</v>
      </c>
      <c r="B138" s="121" t="s">
        <v>74</v>
      </c>
      <c r="C138" s="121"/>
      <c r="D138" s="122"/>
      <c r="E138" s="17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53">
        <f>W138/1936.27</f>
        <v>0</v>
      </c>
      <c r="U138" s="153">
        <f aca="true" t="shared" si="31" ref="U138:U145">X138/1936.27</f>
        <v>0</v>
      </c>
      <c r="V138" s="153">
        <f aca="true" t="shared" si="32" ref="V138:V145">Y138/1936.27</f>
        <v>0</v>
      </c>
      <c r="W138" s="91">
        <v>0</v>
      </c>
      <c r="X138" s="91">
        <f aca="true" t="shared" si="33" ref="X138:Y140">W138*1.018</f>
        <v>0</v>
      </c>
      <c r="Y138" s="91">
        <f t="shared" si="33"/>
        <v>0</v>
      </c>
    </row>
    <row r="139" spans="1:25" s="86" customFormat="1" ht="15.75">
      <c r="A139" s="120" t="s">
        <v>75</v>
      </c>
      <c r="B139" s="121" t="s">
        <v>76</v>
      </c>
      <c r="C139" s="121"/>
      <c r="D139" s="122"/>
      <c r="E139" s="17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56">
        <v>-17900</v>
      </c>
      <c r="U139" s="156">
        <f>T139</f>
        <v>-17900</v>
      </c>
      <c r="V139" s="156">
        <f>U139</f>
        <v>-17900</v>
      </c>
      <c r="W139" s="152">
        <v>20000000</v>
      </c>
      <c r="X139" s="152">
        <f>W139</f>
        <v>20000000</v>
      </c>
      <c r="Y139" s="152">
        <f>X139</f>
        <v>20000000</v>
      </c>
    </row>
    <row r="140" spans="1:25" s="86" customFormat="1" ht="15.75">
      <c r="A140" s="148" t="s">
        <v>77</v>
      </c>
      <c r="B140" s="121" t="s">
        <v>78</v>
      </c>
      <c r="C140" s="121"/>
      <c r="D140" s="122"/>
      <c r="E140" s="17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56">
        <v>2518.83</v>
      </c>
      <c r="U140" s="153">
        <f t="shared" si="31"/>
        <v>0</v>
      </c>
      <c r="V140" s="153">
        <f t="shared" si="32"/>
        <v>0</v>
      </c>
      <c r="W140" s="91">
        <v>0</v>
      </c>
      <c r="X140" s="91">
        <f t="shared" si="33"/>
        <v>0</v>
      </c>
      <c r="Y140" s="91">
        <f t="shared" si="33"/>
        <v>0</v>
      </c>
    </row>
    <row r="141" spans="1:25" s="86" customFormat="1" ht="15.75">
      <c r="A141" s="66" t="s">
        <v>79</v>
      </c>
      <c r="B141" s="67" t="s">
        <v>117</v>
      </c>
      <c r="C141" s="68"/>
      <c r="D141" s="69"/>
      <c r="E141" s="17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53">
        <f>W141/1936.27</f>
        <v>0</v>
      </c>
      <c r="U141" s="153">
        <f t="shared" si="31"/>
        <v>0</v>
      </c>
      <c r="V141" s="153">
        <f t="shared" si="32"/>
        <v>0</v>
      </c>
      <c r="W141" s="126">
        <v>0</v>
      </c>
      <c r="X141" s="126">
        <v>0</v>
      </c>
      <c r="Y141" s="126">
        <v>0</v>
      </c>
    </row>
    <row r="142" spans="1:25" s="86" customFormat="1" ht="15.75">
      <c r="A142" s="111"/>
      <c r="B142" s="63"/>
      <c r="C142" s="63"/>
      <c r="D142" s="62"/>
      <c r="E142" s="17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53"/>
      <c r="U142" s="153"/>
      <c r="V142" s="153"/>
      <c r="W142" s="91"/>
      <c r="X142" s="91"/>
      <c r="Y142" s="91"/>
    </row>
    <row r="143" spans="1:25" s="86" customFormat="1" ht="15.75">
      <c r="A143" s="66" t="s">
        <v>80</v>
      </c>
      <c r="B143" s="107" t="s">
        <v>81</v>
      </c>
      <c r="C143" s="108"/>
      <c r="D143" s="109"/>
      <c r="E143" s="17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53">
        <f>W143/1936.27</f>
        <v>0</v>
      </c>
      <c r="U143" s="153">
        <f t="shared" si="31"/>
        <v>0</v>
      </c>
      <c r="V143" s="153">
        <f t="shared" si="32"/>
        <v>0</v>
      </c>
      <c r="W143" s="126">
        <f>SUM(-W144+W145)</f>
        <v>0</v>
      </c>
      <c r="X143" s="126">
        <f>SUM(-X144+X145)</f>
        <v>0</v>
      </c>
      <c r="Y143" s="126">
        <f>SUM(-Y144+Y145)</f>
        <v>0</v>
      </c>
    </row>
    <row r="144" spans="1:25" s="86" customFormat="1" ht="15.75">
      <c r="A144" s="147" t="s">
        <v>82</v>
      </c>
      <c r="B144" s="121" t="s">
        <v>83</v>
      </c>
      <c r="C144" s="123"/>
      <c r="D144" s="124"/>
      <c r="E144" s="17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53">
        <f>W144/1936.27</f>
        <v>0</v>
      </c>
      <c r="U144" s="153">
        <f t="shared" si="31"/>
        <v>0</v>
      </c>
      <c r="V144" s="153">
        <f t="shared" si="32"/>
        <v>0</v>
      </c>
      <c r="W144" s="91">
        <v>0</v>
      </c>
      <c r="X144" s="91">
        <f>W144*1.018</f>
        <v>0</v>
      </c>
      <c r="Y144" s="91">
        <f>X144*1.018</f>
        <v>0</v>
      </c>
    </row>
    <row r="145" spans="1:25" s="6" customFormat="1" ht="15.75" customHeight="1">
      <c r="A145" s="24" t="s">
        <v>84</v>
      </c>
      <c r="B145" s="115" t="s">
        <v>85</v>
      </c>
      <c r="C145" s="58"/>
      <c r="D145" s="94"/>
      <c r="E145" s="185"/>
      <c r="F145" s="19"/>
      <c r="G145" s="19"/>
      <c r="H145" s="19"/>
      <c r="I145" s="19"/>
      <c r="J145" s="19"/>
      <c r="K145" s="19"/>
      <c r="L145" s="19"/>
      <c r="M145" s="19"/>
      <c r="N145" s="19"/>
      <c r="O145" s="84"/>
      <c r="P145" s="19"/>
      <c r="Q145" s="84"/>
      <c r="R145" s="84"/>
      <c r="S145" s="84"/>
      <c r="T145" s="153">
        <f>W145/1936.27</f>
        <v>0</v>
      </c>
      <c r="U145" s="153">
        <f t="shared" si="31"/>
        <v>0</v>
      </c>
      <c r="V145" s="153">
        <f t="shared" si="32"/>
        <v>0</v>
      </c>
      <c r="W145" s="90">
        <v>0</v>
      </c>
      <c r="X145" s="91">
        <f>W145*1.018</f>
        <v>0</v>
      </c>
      <c r="Y145" s="91">
        <f>X145*1.018</f>
        <v>0</v>
      </c>
    </row>
    <row r="146" spans="1:25" s="6" customFormat="1" ht="15.75" customHeight="1">
      <c r="A146" s="41"/>
      <c r="B146" s="115"/>
      <c r="C146" s="58"/>
      <c r="D146" s="93"/>
      <c r="E146" s="183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153"/>
      <c r="U146" s="153"/>
      <c r="V146" s="153"/>
      <c r="W146" s="131"/>
      <c r="X146" s="131"/>
      <c r="Y146" s="131"/>
    </row>
    <row r="147" spans="1:25" s="6" customFormat="1" ht="15.75" customHeight="1">
      <c r="A147" s="66" t="s">
        <v>86</v>
      </c>
      <c r="B147" s="67" t="s">
        <v>140</v>
      </c>
      <c r="C147" s="68"/>
      <c r="D147" s="134"/>
      <c r="E147" s="166"/>
      <c r="F147" s="43"/>
      <c r="G147" s="43"/>
      <c r="H147" s="43"/>
      <c r="I147" s="43"/>
      <c r="J147" s="43"/>
      <c r="K147" s="43"/>
      <c r="L147" s="43"/>
      <c r="M147" s="43"/>
      <c r="N147" s="43"/>
      <c r="O147" s="35"/>
      <c r="P147" s="26"/>
      <c r="Q147" s="56"/>
      <c r="R147" s="56"/>
      <c r="S147" s="56"/>
      <c r="T147" s="156">
        <v>110000</v>
      </c>
      <c r="U147" s="156">
        <f>T147*1.01</f>
        <v>111100</v>
      </c>
      <c r="V147" s="156">
        <f>U147*1.05</f>
        <v>116655</v>
      </c>
      <c r="W147" s="135">
        <v>154720074</v>
      </c>
      <c r="X147" s="126">
        <f>W147*1.018</f>
        <v>157505035.33200002</v>
      </c>
      <c r="Y147" s="126">
        <f>X147*1.018</f>
        <v>160340125.96797603</v>
      </c>
    </row>
    <row r="148" spans="1:25" ht="15.75" customHeight="1">
      <c r="A148" s="149"/>
      <c r="B148"/>
      <c r="C148"/>
      <c r="D148"/>
      <c r="E148" s="186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53"/>
      <c r="U148" s="153"/>
      <c r="V148" s="153"/>
      <c r="W148" s="5"/>
      <c r="X148" s="5"/>
      <c r="Y148" s="5"/>
    </row>
    <row r="149" spans="1:25" ht="24.75" customHeight="1">
      <c r="A149" s="136"/>
      <c r="B149" s="137" t="s">
        <v>118</v>
      </c>
      <c r="C149" s="138"/>
      <c r="D149" s="139"/>
      <c r="E149" s="187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56">
        <f>T38-T135-T137-T147</f>
        <v>0</v>
      </c>
      <c r="U149" s="156">
        <f>U38-U135-U137-U147</f>
        <v>-0.002400001510977745</v>
      </c>
      <c r="V149" s="156">
        <f>V38-V135-V137-V147</f>
        <v>-0.0008929967880249023</v>
      </c>
      <c r="W149" s="141">
        <f>SUM(W38-W135-W137-W141-W143-W147)</f>
        <v>1117106528</v>
      </c>
      <c r="X149" s="141">
        <f>SUM(X38-X135-X137-X141-X143-X147)</f>
        <v>2460802475.170003</v>
      </c>
      <c r="Y149" s="141">
        <f>SUM(Y38-Y135-Y137-Y141-Y143-Y147)</f>
        <v>3751788747.7577224</v>
      </c>
    </row>
    <row r="150" spans="1:22" ht="15.75" customHeight="1">
      <c r="A150" s="149"/>
      <c r="B150"/>
      <c r="C150"/>
      <c r="D150"/>
      <c r="E150" s="186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5"/>
      <c r="U150" s="5"/>
      <c r="V150" s="5"/>
    </row>
    <row r="151" spans="1:22" ht="15.75" customHeight="1">
      <c r="A151"/>
      <c r="B151"/>
      <c r="C151"/>
      <c r="D151"/>
      <c r="E151" s="186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5"/>
      <c r="U151" s="5"/>
      <c r="V151" s="5"/>
    </row>
    <row r="152" spans="1:22" ht="15.75" customHeight="1">
      <c r="A152"/>
      <c r="B152"/>
      <c r="C152"/>
      <c r="D152"/>
      <c r="E152" s="186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5"/>
      <c r="U152" s="5"/>
      <c r="V152" s="5"/>
    </row>
    <row r="153" spans="1:22" ht="15.75" customHeight="1">
      <c r="A153"/>
      <c r="B153"/>
      <c r="C153"/>
      <c r="D153"/>
      <c r="E153" s="186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5"/>
      <c r="U153" s="5"/>
      <c r="V153" s="5"/>
    </row>
    <row r="154" spans="1:22" ht="15.75" customHeight="1">
      <c r="A154"/>
      <c r="B154"/>
      <c r="C154"/>
      <c r="D154"/>
      <c r="E154" s="186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5"/>
      <c r="U154" s="5"/>
      <c r="V154" s="5"/>
    </row>
    <row r="155" spans="1:22" ht="15.75" customHeight="1">
      <c r="A155"/>
      <c r="B155"/>
      <c r="C155"/>
      <c r="D155"/>
      <c r="E155" s="186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5"/>
      <c r="U155" s="5"/>
      <c r="V155" s="5"/>
    </row>
    <row r="156" spans="1:22" ht="15.75" customHeight="1">
      <c r="A156"/>
      <c r="B156"/>
      <c r="C156"/>
      <c r="D156"/>
      <c r="E156" s="18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5"/>
      <c r="U156" s="5"/>
      <c r="V156" s="5"/>
    </row>
    <row r="157" spans="1:22" ht="15.75">
      <c r="A157"/>
      <c r="B157"/>
      <c r="C157"/>
      <c r="D157"/>
      <c r="E157" s="186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5"/>
      <c r="U157" s="5"/>
      <c r="V157" s="5"/>
    </row>
    <row r="158" spans="1:22" ht="15.75">
      <c r="A158"/>
      <c r="B158"/>
      <c r="C158"/>
      <c r="D158"/>
      <c r="E158" s="186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5"/>
      <c r="U158" s="5"/>
      <c r="V158" s="5"/>
    </row>
    <row r="159" spans="1:22" ht="15.75">
      <c r="A159"/>
      <c r="B159"/>
      <c r="C159"/>
      <c r="D159"/>
      <c r="E159" s="186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5"/>
      <c r="U159" s="5"/>
      <c r="V159" s="5"/>
    </row>
    <row r="160" spans="1:22" ht="15.75">
      <c r="A160"/>
      <c r="B160"/>
      <c r="C160"/>
      <c r="D160"/>
      <c r="E160" s="186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5"/>
      <c r="U160" s="5"/>
      <c r="V160" s="5"/>
    </row>
    <row r="161" spans="1:22" ht="15.75">
      <c r="A161"/>
      <c r="B161"/>
      <c r="C161"/>
      <c r="D161"/>
      <c r="E161" s="186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5"/>
      <c r="U161" s="5"/>
      <c r="V161" s="5"/>
    </row>
    <row r="162" spans="1:22" ht="15.75">
      <c r="A162"/>
      <c r="B162"/>
      <c r="C162"/>
      <c r="D162"/>
      <c r="E162" s="186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5"/>
      <c r="U162" s="5"/>
      <c r="V162" s="5"/>
    </row>
    <row r="163" spans="1:22" ht="15.75">
      <c r="A163"/>
      <c r="B163"/>
      <c r="C163"/>
      <c r="D163"/>
      <c r="E163" s="186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5"/>
      <c r="U163" s="5"/>
      <c r="V163" s="5"/>
    </row>
    <row r="164" spans="1:22" ht="15.75">
      <c r="A164"/>
      <c r="B164"/>
      <c r="C164"/>
      <c r="D164"/>
      <c r="E164" s="186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5"/>
      <c r="U164" s="5"/>
      <c r="V164" s="5"/>
    </row>
    <row r="165" spans="1:22" ht="15.75">
      <c r="A165"/>
      <c r="B165"/>
      <c r="C165"/>
      <c r="D165"/>
      <c r="E165" s="186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5"/>
      <c r="U165" s="5"/>
      <c r="V165" s="5"/>
    </row>
    <row r="166" spans="1:22" ht="15.75">
      <c r="A166"/>
      <c r="B166"/>
      <c r="C166"/>
      <c r="D166"/>
      <c r="E166" s="18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5"/>
      <c r="U166" s="5"/>
      <c r="V166" s="5"/>
    </row>
    <row r="167" spans="1:22" ht="15.75">
      <c r="A167"/>
      <c r="B167"/>
      <c r="C167"/>
      <c r="D167"/>
      <c r="E167" s="186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5"/>
      <c r="U167" s="5"/>
      <c r="V167" s="5"/>
    </row>
    <row r="168" spans="1:22" ht="15.75">
      <c r="A168"/>
      <c r="B168"/>
      <c r="C168"/>
      <c r="D168"/>
      <c r="E168" s="186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5"/>
      <c r="U168" s="5"/>
      <c r="V168" s="5"/>
    </row>
    <row r="169" spans="1:19" ht="12.75">
      <c r="A169"/>
      <c r="B169"/>
      <c r="C169"/>
      <c r="D169"/>
      <c r="E169" s="186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75">
      <c r="A170"/>
      <c r="B170"/>
      <c r="C170"/>
      <c r="D170"/>
      <c r="E170" s="186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75">
      <c r="A171"/>
      <c r="B171"/>
      <c r="C171"/>
      <c r="D171"/>
      <c r="E171" s="186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75">
      <c r="A172"/>
      <c r="B172"/>
      <c r="C172"/>
      <c r="D172"/>
      <c r="E172" s="186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75">
      <c r="A173"/>
      <c r="B173"/>
      <c r="C173"/>
      <c r="D173"/>
      <c r="E173" s="186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75">
      <c r="A174"/>
      <c r="B174"/>
      <c r="C174"/>
      <c r="D174"/>
      <c r="E174" s="186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75">
      <c r="A175"/>
      <c r="B175"/>
      <c r="C175"/>
      <c r="D175"/>
      <c r="E175" s="186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75">
      <c r="A176"/>
      <c r="B176"/>
      <c r="C176"/>
      <c r="D176"/>
      <c r="E176" s="18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75">
      <c r="A177"/>
      <c r="B177"/>
      <c r="C177"/>
      <c r="D177"/>
      <c r="E177" s="186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</sheetData>
  <mergeCells count="3">
    <mergeCell ref="A2:V2"/>
    <mergeCell ref="A3:V3"/>
    <mergeCell ref="A5:V5"/>
  </mergeCells>
  <printOptions/>
  <pageMargins left="1.1811023622047245" right="0.7874015748031497" top="0.984251968503937" bottom="0.984251968503937" header="0.5118110236220472" footer="0.5118110236220472"/>
  <pageSetup fitToHeight="2" fitToWidth="1" horizontalDpi="300" verticalDpi="300" orientation="portrait" paperSize="9" scale="58" r:id="rId1"/>
  <rowBreaks count="2" manualBreakCount="2">
    <brk id="38" max="22" man="1"/>
    <brk id="9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61"/>
  <sheetViews>
    <sheetView workbookViewId="0" topLeftCell="A1">
      <selection activeCell="A23" sqref="A23"/>
    </sheetView>
  </sheetViews>
  <sheetFormatPr defaultColWidth="9.140625" defaultRowHeight="12.75"/>
  <cols>
    <col min="1" max="1" width="83.00390625" style="188" customWidth="1"/>
  </cols>
  <sheetData>
    <row r="2" ht="12.75">
      <c r="A2" s="190" t="s">
        <v>190</v>
      </c>
    </row>
    <row r="4" ht="12.75">
      <c r="A4" s="188" t="s">
        <v>147</v>
      </c>
    </row>
    <row r="6" ht="12.75">
      <c r="A6" s="191" t="s">
        <v>148</v>
      </c>
    </row>
    <row r="8" ht="12.75">
      <c r="A8" s="189" t="s">
        <v>192</v>
      </c>
    </row>
    <row r="10" ht="25.5">
      <c r="A10" s="188" t="s">
        <v>191</v>
      </c>
    </row>
    <row r="14" ht="12.75">
      <c r="A14" s="189" t="s">
        <v>149</v>
      </c>
    </row>
    <row r="16" ht="12.75">
      <c r="A16" s="188" t="s">
        <v>181</v>
      </c>
    </row>
    <row r="18" ht="12.75">
      <c r="A18" s="189" t="s">
        <v>150</v>
      </c>
    </row>
    <row r="20" ht="25.5">
      <c r="A20" s="188" t="s">
        <v>151</v>
      </c>
    </row>
    <row r="23" ht="12.75">
      <c r="A23" s="189" t="s">
        <v>152</v>
      </c>
    </row>
    <row r="25" ht="12.75">
      <c r="A25" s="188" t="s">
        <v>182</v>
      </c>
    </row>
    <row r="27" ht="12.75">
      <c r="A27" s="189" t="s">
        <v>153</v>
      </c>
    </row>
    <row r="29" ht="38.25">
      <c r="A29" s="188" t="s">
        <v>183</v>
      </c>
    </row>
    <row r="31" ht="12.75">
      <c r="A31" s="189" t="s">
        <v>154</v>
      </c>
    </row>
    <row r="33" ht="25.5">
      <c r="A33" s="188" t="s">
        <v>184</v>
      </c>
    </row>
    <row r="35" ht="12.75">
      <c r="A35" s="189"/>
    </row>
    <row r="39" ht="12.75">
      <c r="A39" s="189" t="s">
        <v>155</v>
      </c>
    </row>
    <row r="41" ht="25.5">
      <c r="A41" s="188" t="s">
        <v>185</v>
      </c>
    </row>
    <row r="43" ht="12.75">
      <c r="A43" s="191" t="s">
        <v>156</v>
      </c>
    </row>
    <row r="45" ht="12.75">
      <c r="A45" s="189" t="s">
        <v>157</v>
      </c>
    </row>
    <row r="47" ht="12.75">
      <c r="A47" s="188" t="s">
        <v>186</v>
      </c>
    </row>
    <row r="49" ht="12.75">
      <c r="A49" s="189" t="s">
        <v>158</v>
      </c>
    </row>
    <row r="51" ht="38.25">
      <c r="A51" s="188" t="s">
        <v>159</v>
      </c>
    </row>
    <row r="52" ht="12.75">
      <c r="A52" s="188" t="s">
        <v>187</v>
      </c>
    </row>
    <row r="53" ht="12.75">
      <c r="A53" s="188" t="s">
        <v>188</v>
      </c>
    </row>
    <row r="55" ht="12.75">
      <c r="A55" s="189" t="s">
        <v>160</v>
      </c>
    </row>
    <row r="57" ht="12.75">
      <c r="A57" s="188" t="s">
        <v>189</v>
      </c>
    </row>
    <row r="59" ht="12.75">
      <c r="A59" s="192" t="s">
        <v>161</v>
      </c>
    </row>
    <row r="61" ht="38.25">
      <c r="A61" s="188" t="s">
        <v>162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Campedelli</cp:lastModifiedBy>
  <cp:lastPrinted>2003-12-03T08:27:24Z</cp:lastPrinted>
  <dcterms:created xsi:type="dcterms:W3CDTF">2000-01-12T12:55:58Z</dcterms:created>
  <dcterms:modified xsi:type="dcterms:W3CDTF">2004-01-27T16:48:06Z</dcterms:modified>
  <cp:category/>
  <cp:version/>
  <cp:contentType/>
  <cp:contentStatus/>
</cp:coreProperties>
</file>