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560" windowWidth="11160" windowHeight="6195" tabRatio="903" firstSheet="5" activeTab="13"/>
  </bookViews>
  <sheets>
    <sheet name="RSA" sheetId="1" r:id="rId1"/>
    <sheet name="SAD" sheetId="2" r:id="rId2"/>
    <sheet name="CDI" sheetId="3" r:id="rId3"/>
    <sheet name="DORM" sheetId="4" r:id="rId4"/>
    <sheet name="2PINI" sheetId="5" r:id="rId5"/>
    <sheet name="GRAMSCI" sheetId="6" r:id="rId6"/>
    <sheet name="TRASP" sheetId="7" r:id="rId7"/>
    <sheet name="TANA" sheetId="8" r:id="rId8"/>
    <sheet name="CAG" sheetId="9" r:id="rId9"/>
    <sheet name="PROG.GIOVANI" sheetId="10" r:id="rId10"/>
    <sheet name="nuoto disabili" sheetId="11" r:id="rId11"/>
    <sheet name="Comunità alloggio" sheetId="12" r:id="rId12"/>
    <sheet name="Foglio1" sheetId="13" r:id="rId13"/>
    <sheet name="A4" sheetId="14" r:id="rId14"/>
    <sheet name="intero triennale" sheetId="15" r:id="rId15"/>
  </sheets>
  <definedNames>
    <definedName name="_xlnm.Print_Area" localSheetId="2">'CDI'!$A:$IV</definedName>
  </definedNames>
  <calcPr fullCalcOnLoad="1" iterate="1" iterateCount="50" iterateDelta="0.001"/>
  <oleSize ref="A1:R107"/>
</workbook>
</file>

<file path=xl/comments10.xml><?xml version="1.0" encoding="utf-8"?>
<comments xmlns="http://schemas.openxmlformats.org/spreadsheetml/2006/main">
  <authors>
    <author>.</author>
  </authors>
  <commentList>
    <comment ref="B1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tendone = 450.000.000 per acquisto</t>
        </r>
      </text>
    </comment>
    <comment ref="B1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compenso diviso in 5 parti:
RSA - SAD- GR e 2P - altri
1 quota suddivisa per il n° dei servizi</t>
        </r>
      </text>
    </comment>
    <comment ref="B2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ghizzi 16.500.000
tambalo 11.000.000
trida 11.000.000
gettone 3.000.000
diviso 5 servizi
</t>
        </r>
      </text>
    </comment>
    <comment ref="B2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626 = 1.500.000 RSA, 1.000.000 SAD, 1.000.000 GR, 1.000.000 2P
biaggi = 
haccp = 8.500.000 RSA, 1.000.000 GR, 1.000.000 2P
ferretti =3.000.000
denti =5.000.000
bottura = 3.000.000, 550.000 SAD, 100.000 2P, 300.000 GR
</t>
        </r>
      </text>
    </comment>
  </commentList>
</comments>
</file>

<file path=xl/comments12.xml><?xml version="1.0" encoding="utf-8"?>
<comments xmlns="http://schemas.openxmlformats.org/spreadsheetml/2006/main">
  <authors>
    <author>.</author>
  </authors>
  <commentList>
    <comment ref="B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tendone = 450.000.000 per acquisto</t>
        </r>
      </text>
    </comment>
    <comment ref="B1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INAIL, CPDL, INPS, VARIE</t>
        </r>
      </text>
    </comment>
    <comment ref="B2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2% da inserire</t>
        </r>
      </text>
    </comment>
  </commentList>
</comments>
</file>

<file path=xl/comments13.xml><?xml version="1.0" encoding="utf-8"?>
<comments xmlns="http://schemas.openxmlformats.org/spreadsheetml/2006/main">
  <authors>
    <author>.</author>
  </authors>
  <commentList>
    <comment ref="I47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INAIL, CPDL, INPS, VARIE</t>
        </r>
      </text>
    </comment>
    <comment ref="I5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2% da inserire</t>
        </r>
      </text>
    </comment>
  </commentList>
</comments>
</file>

<file path=xl/comments2.xml><?xml version="1.0" encoding="utf-8"?>
<comments xmlns="http://schemas.openxmlformats.org/spreadsheetml/2006/main">
  <authors>
    <author>.</author>
  </authors>
  <commentList>
    <comment ref="B2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compenso diviso in 5 parti:
RSA - SAD- GR e 2P - altri
1 quota suddivisa per il n° dei servizi</t>
        </r>
      </text>
    </comment>
    <comment ref="B2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ghizzi 16.500.000
tambalo 11.000.000
trida 11.000.000
gettone 3.000.000
diviso 5 servizi
</t>
        </r>
      </text>
    </comment>
    <comment ref="B3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626 = 1.500.000 RSA, 1.000.000 SAD, 1.000.000 GR, 1.000.000 2P
biaggi = 
haccp = 8.500.000 RSA, 1.000.000 GR, 1.000.000 2P
ferretti =3.000.000
denti =5.000.000
bottura = 3.000.000, 550.000 SAD, 100.000 2P, 300.000 GR
</t>
        </r>
      </text>
    </comment>
    <comment ref="B4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INAIL, CPDL, INPS, VARIE</t>
        </r>
      </text>
    </comment>
    <comment ref="B52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2% da inserire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B4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INAIL, CPDL, INPS, VARIE</t>
        </r>
      </text>
    </comment>
    <comment ref="B47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2% da inserire</t>
        </r>
      </text>
    </comment>
  </commentList>
</comments>
</file>

<file path=xl/comments4.xml><?xml version="1.0" encoding="utf-8"?>
<comments xmlns="http://schemas.openxmlformats.org/spreadsheetml/2006/main">
  <authors>
    <author>.</author>
  </authors>
  <commentList>
    <comment ref="B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soldi da chiedere al comune
210.000.000 più iva 20% da fatturare</t>
        </r>
      </text>
    </comment>
    <comment ref="B1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tendone = 450.000.000 per acquisto</t>
        </r>
      </text>
    </comment>
    <comment ref="E46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20.000.000 = ammortamento immobile
1/5 di 200.000.000 = 40.000.000 per manutenzione straord.
Tirati via</t>
        </r>
      </text>
    </comment>
    <comment ref="B4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gazzetta n°3 1.452.000
voce = 1      460.000
sole = 1        510.000
rai 3.000.000</t>
        </r>
      </text>
    </comment>
    <comment ref="B4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INAIL, CPDL, INPS, VARIE</t>
        </r>
      </text>
    </comment>
  </commentList>
</comments>
</file>

<file path=xl/comments5.xml><?xml version="1.0" encoding="utf-8"?>
<comments xmlns="http://schemas.openxmlformats.org/spreadsheetml/2006/main">
  <authors>
    <author>.</author>
  </authors>
  <commentList>
    <comment ref="B2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compenso diviso in 5 parti:
RSA - SAD- GR e 2P - altri
1 quota suddivisa per il n° dei servizi</t>
        </r>
      </text>
    </comment>
    <comment ref="B2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ghizzi 16.500.000
tambalo 11.000.000
trida 11.000.000
gettone 3.000.000
diviso 5 servizi
</t>
        </r>
      </text>
    </comment>
    <comment ref="B22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626 = 1.500.000 RSA, 1.000.000 SAD, 1.000.000 GR, 1.000.000 2P
biaggi = 
haccp = 8.500.000 RSA, 1.000.000 GR, 1.000.000 2P
ferretti =3.000.000
denti =5.000.000
bottura = 3.000.000, 550.000 SAD, 100.000 2P, 300.000 GR
</t>
        </r>
      </text>
    </comment>
    <comment ref="B3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INAIL, CPDL, INPS, VARIE</t>
        </r>
      </text>
    </comment>
    <comment ref="B42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2% da inserire</t>
        </r>
      </text>
    </comment>
  </commentList>
</comments>
</file>

<file path=xl/comments6.xml><?xml version="1.0" encoding="utf-8"?>
<comments xmlns="http://schemas.openxmlformats.org/spreadsheetml/2006/main">
  <authors>
    <author>.</author>
  </authors>
  <commentList>
    <comment ref="B1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compenso diviso in 5 parti:
RSA - SAD- GR e 2P - altri
1 quota suddivisa per il n° dei servizi</t>
        </r>
      </text>
    </comment>
    <comment ref="B2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ghizzi 16.500.000
tambalo 11.000.000
trida 11.000.000
gettone 3.000.000
diviso 5 servizi
</t>
        </r>
      </text>
    </comment>
    <comment ref="B2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626 = 1.500.000 RSA, 1.000.000 SAD, 1.000.000 GR, 1.000.000 2P
biaggi = 
haccp = 8.500.000 RSA, 1.000.000 GR, 1.000.000 2P
ferretti =3.000.000
denti =5.000.000
bottura = 3.000.000, 550.000 SAD, 100.000 2P, 300.000 GR
</t>
        </r>
      </text>
    </comment>
    <comment ref="B3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INAIL, CPDL, INPS, VARIE</t>
        </r>
      </text>
    </comment>
    <comment ref="B3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2% da inserire</t>
        </r>
      </text>
    </comment>
    <comment ref="B5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gazzetta n°3 1.452.000
voce = 1      460.000
sole = 1        510.000
rai 3.000.000</t>
        </r>
      </text>
    </comment>
  </commentList>
</comments>
</file>

<file path=xl/comments7.xml><?xml version="1.0" encoding="utf-8"?>
<comments xmlns="http://schemas.openxmlformats.org/spreadsheetml/2006/main">
  <authors>
    <author>.</author>
  </authors>
  <commentList>
    <comment ref="B1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tendone = 450.000.000 per acquisto</t>
        </r>
      </text>
    </comment>
    <comment ref="B27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INAIL, CPDL, INPS, VARIE</t>
        </r>
      </text>
    </comment>
    <comment ref="B3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2% da inserire</t>
        </r>
      </text>
    </comment>
  </commentList>
</comments>
</file>

<file path=xl/comments9.xml><?xml version="1.0" encoding="utf-8"?>
<comments xmlns="http://schemas.openxmlformats.org/spreadsheetml/2006/main">
  <authors>
    <author>.</author>
  </authors>
  <commentList>
    <comment ref="B22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compenso diviso in 5 parti:
RSA - SAD- GR e 2P - altri
1 quota suddivisa per il n° dei servizi</t>
        </r>
      </text>
    </comment>
    <comment ref="B2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ghizzi 16.500.000
tambalo 11.000.000
trida 11.000.000
gettone 3.000.000
diviso 5 servizi
</t>
        </r>
      </text>
    </comment>
    <comment ref="B24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626 = 1.500.000 RSA, 1.000.000 SAD, 1.000.000 GR, 1.000.000 2P
biaggi = 
haccp = 8.500.000 RSA, 1.000.000 GR, 1.000.000 2P
ferretti =3.000.000
denti =5.000.000
bottura = 3.000.000, 550.000 SAD, 100.000 2P, 300.000 GR
</t>
        </r>
      </text>
    </comment>
    <comment ref="B37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INAIL, CPDL, INPS, VARIE</t>
        </r>
      </text>
    </comment>
    <comment ref="B4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2% da inserire</t>
        </r>
      </text>
    </comment>
  </commentList>
</comments>
</file>

<file path=xl/sharedStrings.xml><?xml version="1.0" encoding="utf-8"?>
<sst xmlns="http://schemas.openxmlformats.org/spreadsheetml/2006/main" count="1456" uniqueCount="215">
  <si>
    <t>Azienda Servizi alla Persona e alla Famiglia</t>
  </si>
  <si>
    <t>A</t>
  </si>
  <si>
    <t>VALORE DELLA PRODUZIONE</t>
  </si>
  <si>
    <t>a)</t>
  </si>
  <si>
    <t>b)</t>
  </si>
  <si>
    <t>c)</t>
  </si>
  <si>
    <t>Contributi</t>
  </si>
  <si>
    <t xml:space="preserve"> - Comune</t>
  </si>
  <si>
    <t xml:space="preserve"> - Regione</t>
  </si>
  <si>
    <t>Altri ricavi e proventi vari</t>
  </si>
  <si>
    <t xml:space="preserve"> - Altri</t>
  </si>
  <si>
    <t>B</t>
  </si>
  <si>
    <t>COSTI DELLA PRODUZIONE</t>
  </si>
  <si>
    <t xml:space="preserve"> - Acquisto farmaci e parafarmaci farmacie</t>
  </si>
  <si>
    <t xml:space="preserve"> - Materiali di pulizia</t>
  </si>
  <si>
    <t xml:space="preserve"> - Cancelleria</t>
  </si>
  <si>
    <t xml:space="preserve"> - Materiale pubblicitario</t>
  </si>
  <si>
    <t xml:space="preserve"> - Carburanti e lubrificanti</t>
  </si>
  <si>
    <t xml:space="preserve"> - Teleriscaldamento</t>
  </si>
  <si>
    <t xml:space="preserve"> - Abbuoni e arrotondamenti</t>
  </si>
  <si>
    <t xml:space="preserve"> - Energia elettrica</t>
  </si>
  <si>
    <t xml:space="preserve"> - Rimborsi a piè di lista al personale</t>
  </si>
  <si>
    <t xml:space="preserve"> - Spese per manutenzioni e riparazioni varie</t>
  </si>
  <si>
    <t xml:space="preserve"> - Compensi agli amministratori</t>
  </si>
  <si>
    <t xml:space="preserve"> - Compensi ai sindaci</t>
  </si>
  <si>
    <t xml:space="preserve"> - Servizi barbiere e parrucchiere</t>
  </si>
  <si>
    <t xml:space="preserve"> - Servizio di portineria</t>
  </si>
  <si>
    <t xml:space="preserve"> - Servizio di pulizia</t>
  </si>
  <si>
    <t xml:space="preserve"> - Compensi animatore</t>
  </si>
  <si>
    <t xml:space="preserve"> - Altri compensi professionali</t>
  </si>
  <si>
    <t xml:space="preserve"> - Spese per manutenzione automezzi</t>
  </si>
  <si>
    <t xml:space="preserve"> - Spese per assicurazione automezzi</t>
  </si>
  <si>
    <t xml:space="preserve"> - Spese telefoniche</t>
  </si>
  <si>
    <t xml:space="preserve"> - Spese postali e di affrancatura</t>
  </si>
  <si>
    <t xml:space="preserve"> - Spese di rappresentanza</t>
  </si>
  <si>
    <t xml:space="preserve"> - Spese viaggi e trasferte</t>
  </si>
  <si>
    <t xml:space="preserve"> - Altre spese per servizi</t>
  </si>
  <si>
    <t xml:space="preserve"> - Affitti e locazioni</t>
  </si>
  <si>
    <t xml:space="preserve"> - Spese condominiali</t>
  </si>
  <si>
    <t xml:space="preserve"> - Salari e stipendi</t>
  </si>
  <si>
    <t xml:space="preserve"> - Trattamento di fine rapporto</t>
  </si>
  <si>
    <t xml:space="preserve"> - Divise per il personale</t>
  </si>
  <si>
    <t xml:space="preserve"> - Buoni pasto</t>
  </si>
  <si>
    <t xml:space="preserve"> - Altri costi per il personale</t>
  </si>
  <si>
    <t xml:space="preserve"> - Ammortamento immobilizzazioni immateriali</t>
  </si>
  <si>
    <t xml:space="preserve"> - Ammortamento immobilizzazioni materiali</t>
  </si>
  <si>
    <t xml:space="preserve"> - Altre svalutazioni delle immobilizzazioni</t>
  </si>
  <si>
    <t xml:space="preserve"> 11)</t>
  </si>
  <si>
    <t xml:space="preserve">Variazioni delle rimanenze </t>
  </si>
  <si>
    <t xml:space="preserve"> - Rimanenze iniziali</t>
  </si>
  <si>
    <t xml:space="preserve"> - (Rimanenze finali)</t>
  </si>
  <si>
    <t xml:space="preserve"> 12)</t>
  </si>
  <si>
    <t>Accantonamenti per rischi</t>
  </si>
  <si>
    <t xml:space="preserve"> - Accantonamento a fondo rischi</t>
  </si>
  <si>
    <t xml:space="preserve"> 13)</t>
  </si>
  <si>
    <t>Altri accantonamenti</t>
  </si>
  <si>
    <t xml:space="preserve"> - Altri accantonamenti</t>
  </si>
  <si>
    <t xml:space="preserve"> 14)</t>
  </si>
  <si>
    <t>Oneri diversi di gestione</t>
  </si>
  <si>
    <t xml:space="preserve"> - Imposte di bollo</t>
  </si>
  <si>
    <t xml:space="preserve"> - Utif</t>
  </si>
  <si>
    <t xml:space="preserve"> - Tasse di concessione regionale</t>
  </si>
  <si>
    <t xml:space="preserve"> - Imposta di registro</t>
  </si>
  <si>
    <t xml:space="preserve"> - Altre imposte e tasse</t>
  </si>
  <si>
    <t xml:space="preserve"> - Spese per sicurezza e adempimenti L.626</t>
  </si>
  <si>
    <t xml:space="preserve"> - Contributi ad associzioni sindac. e di categoria</t>
  </si>
  <si>
    <t xml:space="preserve"> - Tasse di circolazione automezzi</t>
  </si>
  <si>
    <t>C</t>
  </si>
  <si>
    <t>PROVENTI E ONERI FINANZIARI</t>
  </si>
  <si>
    <t xml:space="preserve"> 15)</t>
  </si>
  <si>
    <t>Proventi da partecipazioni</t>
  </si>
  <si>
    <t xml:space="preserve"> 16)</t>
  </si>
  <si>
    <t>Altri proventi finanziari</t>
  </si>
  <si>
    <t xml:space="preserve"> - Interessi attivi tesoriere</t>
  </si>
  <si>
    <t xml:space="preserve"> - Interessi attivi bancari</t>
  </si>
  <si>
    <t xml:space="preserve"> - Altri interessi attivi</t>
  </si>
  <si>
    <t xml:space="preserve"> 17)</t>
  </si>
  <si>
    <t>Interessi e altri oneri finanziari</t>
  </si>
  <si>
    <t xml:space="preserve"> - Interessi passivi su mutui</t>
  </si>
  <si>
    <t xml:space="preserve"> - Interessi passivi tesoriere</t>
  </si>
  <si>
    <t xml:space="preserve"> - Interessi passivi bancari</t>
  </si>
  <si>
    <t xml:space="preserve"> - Spese diverse bancarie</t>
  </si>
  <si>
    <t xml:space="preserve"> - Interessi passivi verso altri finanziatori</t>
  </si>
  <si>
    <t>D</t>
  </si>
  <si>
    <t>RETTIFICHE DI VALORE DI ATTIVITA' FINANZIARIE</t>
  </si>
  <si>
    <t>E</t>
  </si>
  <si>
    <t>PROVENTI E ONERI STRAORDINARI</t>
  </si>
  <si>
    <t xml:space="preserve"> 20)</t>
  </si>
  <si>
    <t>Proventi</t>
  </si>
  <si>
    <t xml:space="preserve"> - plusvalenze da alienazioni</t>
  </si>
  <si>
    <t xml:space="preserve"> - sopravvennienze attive</t>
  </si>
  <si>
    <t xml:space="preserve"> - altri</t>
  </si>
  <si>
    <t xml:space="preserve"> 21)</t>
  </si>
  <si>
    <t>Oneri</t>
  </si>
  <si>
    <t xml:space="preserve"> - minusvalenze da alienazioni</t>
  </si>
  <si>
    <t xml:space="preserve"> - insussistenze passive</t>
  </si>
  <si>
    <t xml:space="preserve"> - imposte esercizi precedenti</t>
  </si>
  <si>
    <t xml:space="preserve"> 22)</t>
  </si>
  <si>
    <t>IMPOSTE DELL'ESERCIZIO</t>
  </si>
  <si>
    <t xml:space="preserve"> - IRPEG</t>
  </si>
  <si>
    <t xml:space="preserve"> - IRAP</t>
  </si>
  <si>
    <t>Vendita farmaci</t>
  </si>
  <si>
    <t xml:space="preserve"> - Acqua e Gas</t>
  </si>
  <si>
    <t xml:space="preserve"> - Contributi</t>
  </si>
  <si>
    <t xml:space="preserve"> - Spese lavanderia biancheria piana</t>
  </si>
  <si>
    <t xml:space="preserve"> - Servizio assistenza geriatrica domiciliare</t>
  </si>
  <si>
    <t xml:space="preserve"> - Acquisto attrezzature per investimenti</t>
  </si>
  <si>
    <t xml:space="preserve"> - Abbonamenti a testi, riviste, quotidiani e RAI</t>
  </si>
  <si>
    <t xml:space="preserve"> - Piccole spese economali e fondo cassa</t>
  </si>
  <si>
    <t>TOTALE PARZIALE PER SERVIZIO</t>
  </si>
  <si>
    <t xml:space="preserve"> - Acquisto sollevatori</t>
  </si>
  <si>
    <t>d)</t>
  </si>
  <si>
    <t>e)</t>
  </si>
  <si>
    <t>f)</t>
  </si>
  <si>
    <t>Proventi C.A.G.</t>
  </si>
  <si>
    <t>Proventi Dormitorio</t>
  </si>
  <si>
    <t>Proventi Progetto giovani</t>
  </si>
  <si>
    <t xml:space="preserve"> - Acquisto materiali di consumo vari (n.2)</t>
  </si>
  <si>
    <t xml:space="preserve"> - Manutenzioni contrattuali (n. 3)</t>
  </si>
  <si>
    <t xml:space="preserve"> - Consulenze tecniche (n.4)</t>
  </si>
  <si>
    <t xml:space="preserve"> - Consulenze legali, fiscali e del lavoro (n.5)</t>
  </si>
  <si>
    <t xml:space="preserve"> - Altre spese per automezzi (n.6)</t>
  </si>
  <si>
    <t xml:space="preserve"> - Assicurazioni diverse (n. 7)</t>
  </si>
  <si>
    <t xml:space="preserve"> - Noleggio strutture e attrezzature (n. 8)</t>
  </si>
  <si>
    <t xml:space="preserve"> - Rimborsi co sti telefonici</t>
  </si>
  <si>
    <t xml:space="preserve"> - Enpam / Inps a carico azienda (n. 9)</t>
  </si>
  <si>
    <t xml:space="preserve"> - Canoni di smaltimento rifiuti urbani e speciali</t>
  </si>
  <si>
    <t>g)</t>
  </si>
  <si>
    <t>h)</t>
  </si>
  <si>
    <t>i)</t>
  </si>
  <si>
    <t>Proventi Tanatologico</t>
  </si>
  <si>
    <t>Proventi Trasporti</t>
  </si>
  <si>
    <t xml:space="preserve"> - Ristorazione obiettori</t>
  </si>
  <si>
    <t xml:space="preserve"> - Fitti</t>
  </si>
  <si>
    <t xml:space="preserve"> - b1) Pasti</t>
  </si>
  <si>
    <t xml:space="preserve"> - b2) Consegna pasti</t>
  </si>
  <si>
    <t xml:space="preserve"> - b3) Sollevatori</t>
  </si>
  <si>
    <t xml:space="preserve"> - b4) Telesoccorso</t>
  </si>
  <si>
    <t xml:space="preserve"> - b5) Trasporto anziani</t>
  </si>
  <si>
    <t xml:space="preserve"> - b6) Prestazioni socio - sanitarie</t>
  </si>
  <si>
    <t>A. S. P. e F.</t>
  </si>
  <si>
    <t>TOTALE          "A"</t>
  </si>
  <si>
    <t>AVANZO / DISAVANZO DI GESTIONE PER SERVIZIO</t>
  </si>
  <si>
    <t xml:space="preserve"> - Servizio di gestione funzionamento servizi</t>
  </si>
  <si>
    <t xml:space="preserve"> - Compensi pofessionisti</t>
  </si>
  <si>
    <t xml:space="preserve"> - SIAE</t>
  </si>
  <si>
    <t>Rette Centro Diurno</t>
  </si>
  <si>
    <t>Rette SAD</t>
  </si>
  <si>
    <t>Rette RSA (n. 1)</t>
  </si>
  <si>
    <t xml:space="preserve"> - Rimborso farmaci e altre prestazioni farmacie</t>
  </si>
  <si>
    <t xml:space="preserve"> 1) Ricavi delle vendite e prestazioni</t>
  </si>
  <si>
    <t xml:space="preserve"> 2) Variazione delle rimanenze</t>
  </si>
  <si>
    <t xml:space="preserve"> 3) Variazione dei lavori in corso su ordinazione</t>
  </si>
  <si>
    <t xml:space="preserve"> 4) Incrementi di immobilizz. per lavori interni</t>
  </si>
  <si>
    <t xml:space="preserve"> 5) Altri ricavi e proventi</t>
  </si>
  <si>
    <t xml:space="preserve"> 6) Costi per mat. prime, sussidiarie, di consumo e merci</t>
  </si>
  <si>
    <t xml:space="preserve"> - Acquisto mat. medico per assist. farm. e sanit.</t>
  </si>
  <si>
    <t xml:space="preserve"> - Spese access. su acquisti e addebiti da fornitori</t>
  </si>
  <si>
    <t xml:space="preserve"> - Comp. collab. occasionali e comp. co.co.co.</t>
  </si>
  <si>
    <t xml:space="preserve"> 7) Costi per servizi</t>
  </si>
  <si>
    <t xml:space="preserve"> 8) Costi per godimento beni di terzi</t>
  </si>
  <si>
    <t xml:space="preserve"> 9) Costi per il personale</t>
  </si>
  <si>
    <t xml:space="preserve"> 10) Ammortamenti e svalutazioni</t>
  </si>
  <si>
    <t xml:space="preserve"> - Svalut. dei crediti compresi nell'attivo circolante</t>
  </si>
  <si>
    <t xml:space="preserve"> - Imposte e tasse non relative al reddito d'eserc.</t>
  </si>
  <si>
    <t>l)</t>
  </si>
  <si>
    <t>Proventi nuoto disabili</t>
  </si>
  <si>
    <t xml:space="preserve"> - Acquisto generi alimentari</t>
  </si>
  <si>
    <t xml:space="preserve"> -  Telesoccorso</t>
  </si>
  <si>
    <t xml:space="preserve"> - Trasporti</t>
  </si>
  <si>
    <t xml:space="preserve"> - Spese lavanderia indumenti ospiti</t>
  </si>
  <si>
    <t xml:space="preserve"> - Acquisto pasti</t>
  </si>
  <si>
    <t xml:space="preserve"> - Consegna pasti</t>
  </si>
  <si>
    <t xml:space="preserve"> - Gestione reparti NAP</t>
  </si>
  <si>
    <t xml:space="preserve"> -  attività di animazione</t>
  </si>
  <si>
    <t xml:space="preserve"> - Gestione del CPIH e Comunità Alloggio</t>
  </si>
  <si>
    <t xml:space="preserve"> - ASL</t>
  </si>
  <si>
    <t>m)</t>
  </si>
  <si>
    <t>Vari</t>
  </si>
  <si>
    <t>TOTALE          "C"</t>
  </si>
  <si>
    <t>TOTALE          "B"+"D"+"E"</t>
  </si>
  <si>
    <t xml:space="preserve"> 2) Altri ricavi e proventi</t>
  </si>
  <si>
    <t>Bilancio Previsionale triennale RSA Isabella d'Este 1999 - 2001</t>
  </si>
  <si>
    <t>Bilancio Previsionale triennale Servizio Assistenza Domiciliare 1999 - 2001</t>
  </si>
  <si>
    <t>Bilancio Previsionale triennale Centro Diurno 1999 - 2001</t>
  </si>
  <si>
    <t>Bilancio Previsionale triennale Dormitorio - Alloggi Protetti e residenze 1999 - 2001</t>
  </si>
  <si>
    <t>Bilancio Previsionale triennale Farmacia Due Pini 1999 - 2001</t>
  </si>
  <si>
    <t>Bilancio Previsionale triennale Farmacia Gramsci 1999 - 2001</t>
  </si>
  <si>
    <t>Bilancio Previsionale triennale Servizio trasporti 1999 - 2001</t>
  </si>
  <si>
    <t>Bilancio Previsionale triennale Servizio tanatologico 1999 - 2001</t>
  </si>
  <si>
    <t>Bilancio Previsionale triennale Progetto Giovani - Palatè 1999 - 2001</t>
  </si>
  <si>
    <t>Bilancio Previsionale triennale Nuoto disabili 1999 - 2001</t>
  </si>
  <si>
    <t>Bilancio Previsionale triennale Comunità Alloggio 1999 - 2001</t>
  </si>
  <si>
    <t xml:space="preserve"> - Attività di animazione</t>
  </si>
  <si>
    <t>rsa</t>
  </si>
  <si>
    <t xml:space="preserve"> - b4) Trasporto anziani</t>
  </si>
  <si>
    <t xml:space="preserve"> - b5) Prestazioni socio - sanitarie</t>
  </si>
  <si>
    <t xml:space="preserve"> -  Attività di animazione soggiorni e gite</t>
  </si>
  <si>
    <t xml:space="preserve"> - Compensi professionisti</t>
  </si>
  <si>
    <t xml:space="preserve">  - Spese condominiali</t>
  </si>
  <si>
    <t>Bilancio Previsionale triennale CAG 1999 - 2001</t>
  </si>
  <si>
    <t xml:space="preserve">TOTALE PARZIALE </t>
  </si>
  <si>
    <t>Totale per voce</t>
  </si>
  <si>
    <t>AVANZO / DISAVANZO DI GESTIONE</t>
  </si>
  <si>
    <t>Bilancio Previsionale Triennale</t>
  </si>
  <si>
    <t>COSTI DELLA PRODUZIONE (segue)</t>
  </si>
  <si>
    <t>Rette RSA</t>
  </si>
  <si>
    <t xml:space="preserve"> - Acquisto materiali di consumo vari</t>
  </si>
  <si>
    <t xml:space="preserve"> - Consulenze tecniche </t>
  </si>
  <si>
    <t xml:space="preserve"> - Consulenze legali, fiscali e del lavoro</t>
  </si>
  <si>
    <t xml:space="preserve"> - Manutenzioni contrattuali</t>
  </si>
  <si>
    <t xml:space="preserve"> - Enpam / Inps a carico azienda</t>
  </si>
  <si>
    <t xml:space="preserve"> - Altre spese per automezzi</t>
  </si>
  <si>
    <t xml:space="preserve"> - Assicurazioni diverse </t>
  </si>
  <si>
    <t xml:space="preserve"> - Noleggio strutture e attrezzature 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</si>
</sst>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_)"/>
    <numFmt numFmtId="165" formatCode="#,##0_);\(#,##0\)"/>
    <numFmt numFmtId="166" formatCode="_-* #,##0.0_-;\-* #,##0.0_-;_-* &quot;-&quot;_-;_-@_-"/>
    <numFmt numFmtId="167" formatCode="_-* #,##0.00_-;\-* #,##0.00_-;_-* &quot;-&quot;_-;_-@_-"/>
    <numFmt numFmtId="168" formatCode="_-* #,##0.000_-;\-* #,##0.000_-;_-* &quot;-&quot;_-;_-@_-"/>
    <numFmt numFmtId="169" formatCode="_-* #,##0.0000_-;\-* #,##0.0000_-;_-* &quot;-&quot;_-;_-@_-"/>
    <numFmt numFmtId="170" formatCode="_-* #,##0.00000_-;\-* #,##0.00000_-;_-* &quot;-&quot;_-;_-@_-"/>
    <numFmt numFmtId="171" formatCode="0.0"/>
    <numFmt numFmtId="172" formatCode="0.000"/>
    <numFmt numFmtId="173" formatCode="0.0000"/>
    <numFmt numFmtId="174" formatCode="#,##0.0_);\(#,##0.0\)"/>
    <numFmt numFmtId="175" formatCode="#,##0.00_);\(#,##0.00\)"/>
    <numFmt numFmtId="176" formatCode="#,##0.000_);\(#,##0.000\)"/>
    <numFmt numFmtId="177" formatCode="#,##0.0000_);\(#,##0.0000\)"/>
    <numFmt numFmtId="178" formatCode="#,##0.00000_);\(#,##0.00000\)"/>
    <numFmt numFmtId="179" formatCode="#,##0.000000_);\(#,##0.000000\)"/>
    <numFmt numFmtId="180" formatCode="#,##0.0000000_);\(#,##0.0000000\)"/>
  </numFmts>
  <fonts count="22">
    <font>
      <sz val="12"/>
      <name val="Arial MT"/>
      <family val="0"/>
    </font>
    <font>
      <sz val="10"/>
      <name val="Arial"/>
      <family val="0"/>
    </font>
    <font>
      <sz val="10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sz val="18"/>
      <name val="Times New Roman"/>
      <family val="1"/>
    </font>
    <font>
      <sz val="18"/>
      <name val="Swis721 Hv BT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22"/>
      <name val="Times New Roman"/>
      <family val="1"/>
    </font>
    <font>
      <sz val="9"/>
      <color indexed="9"/>
      <name val="Times New Roman"/>
      <family val="1"/>
    </font>
    <font>
      <b/>
      <sz val="14"/>
      <name val="Times New Roman"/>
      <family val="1"/>
    </font>
    <font>
      <b/>
      <sz val="12"/>
      <name val="Arial MT"/>
      <family val="0"/>
    </font>
    <font>
      <sz val="16"/>
      <name val="Times New Roman"/>
      <family val="1"/>
    </font>
    <font>
      <sz val="14"/>
      <name val="Swis721 Hv BT"/>
      <family val="2"/>
    </font>
    <font>
      <b/>
      <sz val="18"/>
      <name val="Times New Roman"/>
      <family val="1"/>
    </font>
    <font>
      <b/>
      <sz val="8"/>
      <name val="Arial MT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8" fillId="2" borderId="1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165" fontId="8" fillId="2" borderId="2" xfId="0" applyNumberFormat="1" applyFont="1" applyFill="1" applyBorder="1" applyAlignment="1" applyProtection="1">
      <alignment horizontal="center" vertical="center"/>
      <protection/>
    </xf>
    <xf numFmtId="165" fontId="8" fillId="2" borderId="3" xfId="0" applyNumberFormat="1" applyFont="1" applyFill="1" applyBorder="1" applyAlignment="1" applyProtection="1">
      <alignment vertical="center"/>
      <protection/>
    </xf>
    <xf numFmtId="0" fontId="11" fillId="2" borderId="3" xfId="0" applyFont="1" applyFill="1" applyBorder="1" applyAlignment="1" applyProtection="1">
      <alignment vertical="center"/>
      <protection/>
    </xf>
    <xf numFmtId="165" fontId="11" fillId="2" borderId="3" xfId="0" applyNumberFormat="1" applyFont="1" applyFill="1" applyBorder="1" applyAlignment="1" applyProtection="1">
      <alignment vertical="center"/>
      <protection/>
    </xf>
    <xf numFmtId="165" fontId="11" fillId="3" borderId="4" xfId="0" applyNumberFormat="1" applyFont="1" applyFill="1" applyBorder="1" applyAlignment="1" applyProtection="1">
      <alignment/>
      <protection/>
    </xf>
    <xf numFmtId="165" fontId="11" fillId="3" borderId="5" xfId="0" applyNumberFormat="1" applyFont="1" applyFill="1" applyBorder="1" applyAlignment="1" applyProtection="1">
      <alignment/>
      <protection/>
    </xf>
    <xf numFmtId="0" fontId="9" fillId="0" borderId="6" xfId="0" applyFont="1" applyBorder="1" applyAlignment="1">
      <alignment/>
    </xf>
    <xf numFmtId="165" fontId="12" fillId="3" borderId="7" xfId="0" applyNumberFormat="1" applyFont="1" applyFill="1" applyBorder="1" applyAlignment="1" applyProtection="1">
      <alignment/>
      <protection/>
    </xf>
    <xf numFmtId="165" fontId="12" fillId="3" borderId="0" xfId="0" applyNumberFormat="1" applyFont="1" applyFill="1" applyAlignment="1" applyProtection="1">
      <alignment/>
      <protection/>
    </xf>
    <xf numFmtId="0" fontId="11" fillId="3" borderId="0" xfId="0" applyFont="1" applyFill="1" applyAlignment="1" applyProtection="1">
      <alignment/>
      <protection/>
    </xf>
    <xf numFmtId="165" fontId="11" fillId="3" borderId="0" xfId="0" applyNumberFormat="1" applyFont="1" applyFill="1" applyAlignment="1" applyProtection="1">
      <alignment/>
      <protection/>
    </xf>
    <xf numFmtId="165" fontId="11" fillId="3" borderId="8" xfId="0" applyNumberFormat="1" applyFont="1" applyFill="1" applyBorder="1" applyAlignment="1" applyProtection="1">
      <alignment/>
      <protection/>
    </xf>
    <xf numFmtId="165" fontId="11" fillId="3" borderId="9" xfId="0" applyNumberFormat="1" applyFont="1" applyFill="1" applyBorder="1" applyAlignment="1" applyProtection="1">
      <alignment horizontal="center"/>
      <protection/>
    </xf>
    <xf numFmtId="165" fontId="11" fillId="3" borderId="10" xfId="0" applyNumberFormat="1" applyFont="1" applyFill="1" applyBorder="1" applyAlignment="1" applyProtection="1">
      <alignment/>
      <protection/>
    </xf>
    <xf numFmtId="0" fontId="11" fillId="3" borderId="10" xfId="0" applyFont="1" applyFill="1" applyBorder="1" applyAlignment="1" applyProtection="1">
      <alignment/>
      <protection/>
    </xf>
    <xf numFmtId="165" fontId="11" fillId="3" borderId="11" xfId="0" applyNumberFormat="1" applyFont="1" applyFill="1" applyBorder="1" applyAlignment="1" applyProtection="1">
      <alignment/>
      <protection/>
    </xf>
    <xf numFmtId="165" fontId="13" fillId="3" borderId="9" xfId="0" applyNumberFormat="1" applyFont="1" applyFill="1" applyBorder="1" applyAlignment="1" applyProtection="1">
      <alignment horizontal="center"/>
      <protection/>
    </xf>
    <xf numFmtId="165" fontId="13" fillId="3" borderId="10" xfId="0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/>
    </xf>
    <xf numFmtId="165" fontId="11" fillId="0" borderId="11" xfId="0" applyNumberFormat="1" applyFont="1" applyFill="1" applyBorder="1" applyAlignment="1" applyProtection="1">
      <alignment/>
      <protection/>
    </xf>
    <xf numFmtId="165" fontId="12" fillId="3" borderId="9" xfId="0" applyNumberFormat="1" applyFont="1" applyFill="1" applyBorder="1" applyAlignment="1" applyProtection="1">
      <alignment/>
      <protection/>
    </xf>
    <xf numFmtId="165" fontId="12" fillId="3" borderId="10" xfId="0" applyNumberFormat="1" applyFont="1" applyFill="1" applyBorder="1" applyAlignment="1" applyProtection="1">
      <alignment/>
      <protection/>
    </xf>
    <xf numFmtId="165" fontId="11" fillId="3" borderId="12" xfId="0" applyNumberFormat="1" applyFont="1" applyFill="1" applyBorder="1" applyAlignment="1" applyProtection="1">
      <alignment/>
      <protection/>
    </xf>
    <xf numFmtId="165" fontId="11" fillId="3" borderId="13" xfId="0" applyNumberFormat="1" applyFont="1" applyFill="1" applyBorder="1" applyAlignment="1" applyProtection="1">
      <alignment/>
      <protection/>
    </xf>
    <xf numFmtId="165" fontId="13" fillId="3" borderId="0" xfId="0" applyNumberFormat="1" applyFont="1" applyFill="1" applyAlignment="1" applyProtection="1">
      <alignment/>
      <protection/>
    </xf>
    <xf numFmtId="165" fontId="11" fillId="3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165" fontId="11" fillId="3" borderId="9" xfId="0" applyNumberFormat="1" applyFont="1" applyFill="1" applyBorder="1" applyAlignment="1" applyProtection="1">
      <alignment/>
      <protection/>
    </xf>
    <xf numFmtId="0" fontId="9" fillId="0" borderId="1" xfId="0" applyFont="1" applyBorder="1" applyAlignment="1">
      <alignment/>
    </xf>
    <xf numFmtId="165" fontId="11" fillId="3" borderId="1" xfId="0" applyNumberFormat="1" applyFont="1" applyFill="1" applyBorder="1" applyAlignment="1" applyProtection="1">
      <alignment/>
      <protection/>
    </xf>
    <xf numFmtId="165" fontId="11" fillId="3" borderId="14" xfId="0" applyNumberFormat="1" applyFont="1" applyFill="1" applyBorder="1" applyAlignment="1" applyProtection="1">
      <alignment/>
      <protection/>
    </xf>
    <xf numFmtId="0" fontId="10" fillId="0" borderId="1" xfId="0" applyFont="1" applyBorder="1" applyAlignment="1">
      <alignment/>
    </xf>
    <xf numFmtId="165" fontId="8" fillId="4" borderId="11" xfId="0" applyNumberFormat="1" applyFont="1" applyFill="1" applyBorder="1" applyAlignment="1" applyProtection="1">
      <alignment/>
      <protection/>
    </xf>
    <xf numFmtId="165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65" fontId="8" fillId="2" borderId="14" xfId="0" applyNumberFormat="1" applyFont="1" applyFill="1" applyBorder="1" applyAlignment="1" applyProtection="1">
      <alignment horizontal="center" vertical="center"/>
      <protection/>
    </xf>
    <xf numFmtId="0" fontId="11" fillId="2" borderId="1" xfId="0" applyFont="1" applyFill="1" applyBorder="1" applyAlignment="1" applyProtection="1">
      <alignment vertical="center"/>
      <protection/>
    </xf>
    <xf numFmtId="165" fontId="11" fillId="2" borderId="1" xfId="0" applyNumberFormat="1" applyFont="1" applyFill="1" applyBorder="1" applyAlignment="1" applyProtection="1">
      <alignment vertical="center"/>
      <protection/>
    </xf>
    <xf numFmtId="165" fontId="11" fillId="0" borderId="15" xfId="0" applyNumberFormat="1" applyFont="1" applyFill="1" applyBorder="1" applyAlignment="1" applyProtection="1">
      <alignment/>
      <protection/>
    </xf>
    <xf numFmtId="165" fontId="11" fillId="0" borderId="16" xfId="0" applyNumberFormat="1" applyFont="1" applyFill="1" applyBorder="1" applyAlignment="1" applyProtection="1">
      <alignment/>
      <protection/>
    </xf>
    <xf numFmtId="0" fontId="9" fillId="0" borderId="9" xfId="0" applyFont="1" applyBorder="1" applyAlignment="1">
      <alignment/>
    </xf>
    <xf numFmtId="165" fontId="11" fillId="3" borderId="17" xfId="0" applyNumberFormat="1" applyFont="1" applyFill="1" applyBorder="1" applyAlignment="1" applyProtection="1">
      <alignment/>
      <protection/>
    </xf>
    <xf numFmtId="165" fontId="11" fillId="0" borderId="13" xfId="0" applyNumberFormat="1" applyFont="1" applyFill="1" applyBorder="1" applyAlignment="1" applyProtection="1">
      <alignment/>
      <protection/>
    </xf>
    <xf numFmtId="0" fontId="11" fillId="3" borderId="0" xfId="0" applyFont="1" applyFill="1" applyBorder="1" applyAlignment="1" applyProtection="1">
      <alignment/>
      <protection/>
    </xf>
    <xf numFmtId="0" fontId="11" fillId="3" borderId="1" xfId="0" applyFont="1" applyFill="1" applyBorder="1" applyAlignment="1" applyProtection="1">
      <alignment/>
      <protection/>
    </xf>
    <xf numFmtId="165" fontId="11" fillId="3" borderId="18" xfId="0" applyNumberFormat="1" applyFont="1" applyFill="1" applyBorder="1" applyAlignment="1" applyProtection="1">
      <alignment/>
      <protection/>
    </xf>
    <xf numFmtId="41" fontId="9" fillId="0" borderId="1" xfId="16" applyFont="1" applyBorder="1" applyAlignment="1">
      <alignment/>
    </xf>
    <xf numFmtId="41" fontId="9" fillId="0" borderId="19" xfId="16" applyFont="1" applyFill="1" applyBorder="1" applyAlignment="1">
      <alignment/>
    </xf>
    <xf numFmtId="41" fontId="9" fillId="0" borderId="20" xfId="16" applyFont="1" applyFill="1" applyBorder="1" applyAlignment="1">
      <alignment/>
    </xf>
    <xf numFmtId="165" fontId="11" fillId="0" borderId="21" xfId="0" applyNumberFormat="1" applyFont="1" applyFill="1" applyBorder="1" applyAlignment="1" applyProtection="1">
      <alignment/>
      <protection/>
    </xf>
    <xf numFmtId="165" fontId="11" fillId="3" borderId="22" xfId="0" applyNumberFormat="1" applyFont="1" applyFill="1" applyBorder="1" applyAlignment="1" applyProtection="1">
      <alignment/>
      <protection/>
    </xf>
    <xf numFmtId="165" fontId="12" fillId="3" borderId="6" xfId="0" applyNumberFormat="1" applyFont="1" applyFill="1" applyBorder="1" applyAlignment="1" applyProtection="1">
      <alignment/>
      <protection/>
    </xf>
    <xf numFmtId="165" fontId="13" fillId="3" borderId="9" xfId="0" applyNumberFormat="1" applyFont="1" applyFill="1" applyBorder="1" applyAlignment="1" applyProtection="1">
      <alignment/>
      <protection/>
    </xf>
    <xf numFmtId="165" fontId="8" fillId="2" borderId="14" xfId="0" applyNumberFormat="1" applyFont="1" applyFill="1" applyBorder="1" applyAlignment="1" applyProtection="1">
      <alignment vertical="center"/>
      <protection/>
    </xf>
    <xf numFmtId="165" fontId="11" fillId="3" borderId="23" xfId="0" applyNumberFormat="1" applyFont="1" applyFill="1" applyBorder="1" applyAlignment="1" applyProtection="1">
      <alignment/>
      <protection/>
    </xf>
    <xf numFmtId="165" fontId="11" fillId="3" borderId="20" xfId="0" applyNumberFormat="1" applyFont="1" applyFill="1" applyBorder="1" applyAlignment="1" applyProtection="1">
      <alignment/>
      <protection/>
    </xf>
    <xf numFmtId="0" fontId="9" fillId="0" borderId="9" xfId="0" applyFont="1" applyBorder="1" applyAlignment="1" applyProtection="1">
      <alignment/>
      <protection/>
    </xf>
    <xf numFmtId="165" fontId="8" fillId="2" borderId="11" xfId="0" applyNumberFormat="1" applyFont="1" applyFill="1" applyBorder="1" applyAlignment="1" applyProtection="1">
      <alignment/>
      <protection/>
    </xf>
    <xf numFmtId="165" fontId="11" fillId="2" borderId="11" xfId="0" applyNumberFormat="1" applyFont="1" applyFill="1" applyBorder="1" applyAlignment="1" applyProtection="1">
      <alignment/>
      <protection/>
    </xf>
    <xf numFmtId="165" fontId="8" fillId="0" borderId="9" xfId="0" applyNumberFormat="1" applyFont="1" applyFill="1" applyBorder="1" applyAlignment="1" applyProtection="1">
      <alignment horizontal="center" vertical="center"/>
      <protection/>
    </xf>
    <xf numFmtId="165" fontId="8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165" fontId="11" fillId="0" borderId="0" xfId="0" applyNumberFormat="1" applyFont="1" applyFill="1" applyBorder="1" applyAlignment="1" applyProtection="1">
      <alignment vertical="center"/>
      <protection/>
    </xf>
    <xf numFmtId="165" fontId="8" fillId="0" borderId="23" xfId="0" applyNumberFormat="1" applyFont="1" applyFill="1" applyBorder="1" applyAlignment="1" applyProtection="1">
      <alignment/>
      <protection/>
    </xf>
    <xf numFmtId="165" fontId="11" fillId="0" borderId="23" xfId="0" applyNumberFormat="1" applyFont="1" applyFill="1" applyBorder="1" applyAlignment="1" applyProtection="1">
      <alignment/>
      <protection/>
    </xf>
    <xf numFmtId="165" fontId="8" fillId="3" borderId="0" xfId="0" applyNumberFormat="1" applyFont="1" applyFill="1" applyAlignment="1" applyProtection="1">
      <alignment/>
      <protection/>
    </xf>
    <xf numFmtId="0" fontId="9" fillId="0" borderId="24" xfId="0" applyFont="1" applyBorder="1" applyAlignment="1">
      <alignment/>
    </xf>
    <xf numFmtId="0" fontId="10" fillId="0" borderId="24" xfId="0" applyFont="1" applyBorder="1" applyAlignment="1">
      <alignment/>
    </xf>
    <xf numFmtId="165" fontId="10" fillId="5" borderId="11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22" xfId="0" applyFont="1" applyBorder="1" applyAlignment="1">
      <alignment/>
    </xf>
    <xf numFmtId="42" fontId="10" fillId="5" borderId="11" xfId="0" applyNumberFormat="1" applyFont="1" applyFill="1" applyBorder="1" applyAlignment="1">
      <alignment horizontal="right"/>
    </xf>
    <xf numFmtId="165" fontId="11" fillId="3" borderId="25" xfId="0" applyNumberFormat="1" applyFont="1" applyFill="1" applyBorder="1" applyAlignment="1" applyProtection="1">
      <alignment/>
      <protection/>
    </xf>
    <xf numFmtId="165" fontId="11" fillId="3" borderId="16" xfId="0" applyNumberFormat="1" applyFont="1" applyFill="1" applyBorder="1" applyAlignment="1" applyProtection="1">
      <alignment/>
      <protection/>
    </xf>
    <xf numFmtId="165" fontId="12" fillId="3" borderId="0" xfId="0" applyNumberFormat="1" applyFont="1" applyFill="1" applyBorder="1" applyAlignment="1" applyProtection="1">
      <alignment/>
      <protection/>
    </xf>
    <xf numFmtId="165" fontId="8" fillId="2" borderId="26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vertical="center"/>
      <protection/>
    </xf>
    <xf numFmtId="165" fontId="11" fillId="2" borderId="27" xfId="0" applyNumberFormat="1" applyFont="1" applyFill="1" applyBorder="1" applyAlignment="1" applyProtection="1">
      <alignment vertical="center"/>
      <protection/>
    </xf>
    <xf numFmtId="165" fontId="11" fillId="3" borderId="28" xfId="0" applyNumberFormat="1" applyFont="1" applyFill="1" applyBorder="1" applyAlignment="1" applyProtection="1">
      <alignment/>
      <protection/>
    </xf>
    <xf numFmtId="165" fontId="14" fillId="4" borderId="11" xfId="0" applyNumberFormat="1" applyFont="1" applyFill="1" applyBorder="1" applyAlignment="1" applyProtection="1">
      <alignment/>
      <protection/>
    </xf>
    <xf numFmtId="165" fontId="15" fillId="3" borderId="13" xfId="0" applyNumberFormat="1" applyFont="1" applyFill="1" applyBorder="1" applyAlignment="1" applyProtection="1">
      <alignment/>
      <protection/>
    </xf>
    <xf numFmtId="165" fontId="15" fillId="3" borderId="11" xfId="0" applyNumberFormat="1" applyFont="1" applyFill="1" applyBorder="1" applyAlignment="1" applyProtection="1">
      <alignment/>
      <protection/>
    </xf>
    <xf numFmtId="0" fontId="9" fillId="0" borderId="9" xfId="0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6" borderId="11" xfId="0" applyFont="1" applyFill="1" applyBorder="1" applyAlignment="1">
      <alignment horizontal="center"/>
    </xf>
    <xf numFmtId="165" fontId="8" fillId="0" borderId="11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9" fillId="0" borderId="24" xfId="0" applyNumberFormat="1" applyFont="1" applyBorder="1" applyAlignment="1">
      <alignment/>
    </xf>
    <xf numFmtId="41" fontId="9" fillId="0" borderId="24" xfId="16" applyFont="1" applyBorder="1" applyAlignment="1">
      <alignment/>
    </xf>
    <xf numFmtId="165" fontId="11" fillId="2" borderId="26" xfId="0" applyNumberFormat="1" applyFont="1" applyFill="1" applyBorder="1" applyAlignment="1" applyProtection="1">
      <alignment vertical="center"/>
      <protection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1" xfId="0" applyBorder="1" applyAlignment="1">
      <alignment/>
    </xf>
    <xf numFmtId="41" fontId="9" fillId="0" borderId="11" xfId="16" applyFont="1" applyBorder="1" applyAlignment="1">
      <alignment/>
    </xf>
    <xf numFmtId="41" fontId="9" fillId="0" borderId="11" xfId="0" applyNumberFormat="1" applyFont="1" applyBorder="1" applyAlignment="1">
      <alignment/>
    </xf>
    <xf numFmtId="165" fontId="11" fillId="3" borderId="29" xfId="0" applyNumberFormat="1" applyFont="1" applyFill="1" applyBorder="1" applyAlignment="1" applyProtection="1">
      <alignment/>
      <protection/>
    </xf>
    <xf numFmtId="165" fontId="8" fillId="3" borderId="11" xfId="0" applyNumberFormat="1" applyFont="1" applyFill="1" applyBorder="1" applyAlignment="1" applyProtection="1">
      <alignment/>
      <protection/>
    </xf>
    <xf numFmtId="165" fontId="10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165" fontId="11" fillId="3" borderId="3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65" fontId="11" fillId="0" borderId="11" xfId="0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/>
    </xf>
    <xf numFmtId="0" fontId="17" fillId="0" borderId="0" xfId="0" applyFont="1" applyBorder="1" applyAlignment="1">
      <alignment/>
    </xf>
    <xf numFmtId="165" fontId="10" fillId="0" borderId="0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9" fillId="0" borderId="32" xfId="0" applyFont="1" applyBorder="1" applyAlignment="1">
      <alignment/>
    </xf>
    <xf numFmtId="165" fontId="10" fillId="0" borderId="32" xfId="0" applyNumberFormat="1" applyFont="1" applyBorder="1" applyAlignment="1">
      <alignment/>
    </xf>
    <xf numFmtId="165" fontId="10" fillId="0" borderId="33" xfId="0" applyNumberFormat="1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165" fontId="10" fillId="0" borderId="35" xfId="0" applyNumberFormat="1" applyFont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10" fillId="0" borderId="36" xfId="0" applyFont="1" applyBorder="1" applyAlignment="1">
      <alignment/>
    </xf>
    <xf numFmtId="0" fontId="9" fillId="0" borderId="37" xfId="0" applyFont="1" applyBorder="1" applyAlignment="1">
      <alignment/>
    </xf>
    <xf numFmtId="165" fontId="10" fillId="0" borderId="37" xfId="0" applyNumberFormat="1" applyFont="1" applyBorder="1" applyAlignment="1">
      <alignment/>
    </xf>
    <xf numFmtId="165" fontId="10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16" xfId="0" applyBorder="1" applyAlignment="1">
      <alignment/>
    </xf>
    <xf numFmtId="0" fontId="10" fillId="0" borderId="16" xfId="0" applyFont="1" applyBorder="1" applyAlignment="1">
      <alignment/>
    </xf>
    <xf numFmtId="165" fontId="11" fillId="2" borderId="40" xfId="0" applyNumberFormat="1" applyFont="1" applyFill="1" applyBorder="1" applyAlignment="1" applyProtection="1">
      <alignment vertical="center"/>
      <protection/>
    </xf>
    <xf numFmtId="165" fontId="11" fillId="3" borderId="41" xfId="0" applyNumberFormat="1" applyFont="1" applyFill="1" applyBorder="1" applyAlignment="1" applyProtection="1">
      <alignment/>
      <protection/>
    </xf>
    <xf numFmtId="165" fontId="10" fillId="0" borderId="40" xfId="0" applyNumberFormat="1" applyFont="1" applyBorder="1" applyAlignment="1">
      <alignment/>
    </xf>
    <xf numFmtId="165" fontId="13" fillId="3" borderId="22" xfId="0" applyNumberFormat="1" applyFont="1" applyFill="1" applyBorder="1" applyAlignment="1" applyProtection="1">
      <alignment/>
      <protection/>
    </xf>
    <xf numFmtId="165" fontId="11" fillId="0" borderId="16" xfId="0" applyNumberFormat="1" applyFont="1" applyFill="1" applyBorder="1" applyAlignment="1" applyProtection="1">
      <alignment vertical="center"/>
      <protection/>
    </xf>
    <xf numFmtId="165" fontId="11" fillId="3" borderId="40" xfId="0" applyNumberFormat="1" applyFont="1" applyFill="1" applyBorder="1" applyAlignment="1" applyProtection="1">
      <alignment/>
      <protection/>
    </xf>
    <xf numFmtId="165" fontId="11" fillId="3" borderId="21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22">
    <cellStyle name="Normal" xfId="0"/>
    <cellStyle name="Comma" xfId="15"/>
    <cellStyle name="Comma [0]" xfId="16"/>
    <cellStyle name="Non_definito" xfId="17"/>
    <cellStyle name="Non_definito_B" xfId="18"/>
    <cellStyle name="Non_definito_C" xfId="19"/>
    <cellStyle name="Non_definito_D" xfId="20"/>
    <cellStyle name="Non_definito_E" xfId="21"/>
    <cellStyle name="Non_definito_F" xfId="22"/>
    <cellStyle name="Non_definito_G" xfId="23"/>
    <cellStyle name="Non_definito_H" xfId="24"/>
    <cellStyle name="Non_definito_I" xfId="25"/>
    <cellStyle name="Non_definito_J" xfId="26"/>
    <cellStyle name="Non_definito_K" xfId="27"/>
    <cellStyle name="Non_definito_L" xfId="28"/>
    <cellStyle name="Non_definito_M" xfId="29"/>
    <cellStyle name="Non_definito_N" xfId="30"/>
    <cellStyle name="Non_definito_O" xfId="31"/>
    <cellStyle name="Non_definito_P" xfId="32"/>
    <cellStyle name="Percent" xfId="33"/>
    <cellStyle name="Currency" xfId="34"/>
    <cellStyle name="Currency [0]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workbookViewId="0" topLeftCell="A54">
      <selection activeCell="D64" sqref="D64"/>
    </sheetView>
  </sheetViews>
  <sheetFormatPr defaultColWidth="8.88671875" defaultRowHeight="15"/>
  <cols>
    <col min="1" max="1" width="5.21484375" style="1" customWidth="1"/>
    <col min="2" max="3" width="8.88671875" style="1" customWidth="1"/>
    <col min="4" max="4" width="11.99609375" style="1" customWidth="1"/>
    <col min="5" max="5" width="9.77734375" style="1" customWidth="1"/>
    <col min="6" max="6" width="11.10546875" style="1" customWidth="1"/>
    <col min="7" max="7" width="10.77734375" style="1" bestFit="1" customWidth="1"/>
    <col min="8" max="8" width="12.88671875" style="1" bestFit="1" customWidth="1"/>
    <col min="9" max="9" width="9.10546875" style="1" customWidth="1"/>
    <col min="10" max="10" width="10.21484375" style="1" customWidth="1"/>
    <col min="11" max="11" width="9.88671875" style="1" customWidth="1"/>
    <col min="12" max="12" width="10.10546875" style="1" customWidth="1"/>
    <col min="13" max="13" width="9.99609375" style="1" customWidth="1"/>
    <col min="14" max="14" width="9.4453125" style="1" customWidth="1"/>
    <col min="15" max="15" width="11.10546875" style="1" customWidth="1"/>
    <col min="16" max="16" width="9.99609375" style="1" customWidth="1"/>
    <col min="17" max="17" width="10.88671875" style="1" customWidth="1"/>
    <col min="18" max="18" width="12.77734375" style="1" customWidth="1"/>
  </cols>
  <sheetData>
    <row r="1" spans="1:17" ht="23.25">
      <c r="A1" s="93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3.25">
      <c r="A2" s="9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3.25">
      <c r="A3" s="5" t="s">
        <v>182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8.75">
      <c r="A4" s="6"/>
      <c r="B4" s="6"/>
      <c r="C4" s="6"/>
      <c r="D4" s="6"/>
      <c r="E4" s="96">
        <v>1999</v>
      </c>
      <c r="F4" s="96">
        <v>2000</v>
      </c>
      <c r="G4" s="96">
        <v>2001</v>
      </c>
      <c r="H4"/>
      <c r="I4"/>
      <c r="J4"/>
      <c r="K4"/>
      <c r="L4"/>
      <c r="M4"/>
      <c r="N4"/>
      <c r="O4"/>
      <c r="P4"/>
      <c r="Q4"/>
      <c r="R4"/>
    </row>
    <row r="5" spans="1:18" ht="15">
      <c r="A5" s="7" t="s">
        <v>1</v>
      </c>
      <c r="B5" s="84" t="s">
        <v>2</v>
      </c>
      <c r="C5" s="85"/>
      <c r="D5" s="86"/>
      <c r="E5" s="11"/>
      <c r="F5" s="11"/>
      <c r="G5" s="11"/>
      <c r="H5"/>
      <c r="I5"/>
      <c r="J5"/>
      <c r="K5"/>
      <c r="L5"/>
      <c r="M5"/>
      <c r="N5"/>
      <c r="O5"/>
      <c r="P5"/>
      <c r="Q5"/>
      <c r="R5"/>
    </row>
    <row r="6" spans="1:18" ht="15">
      <c r="A6" s="14" t="s">
        <v>150</v>
      </c>
      <c r="B6" s="83"/>
      <c r="C6" s="52"/>
      <c r="D6" s="32"/>
      <c r="E6" s="87"/>
      <c r="F6" s="87"/>
      <c r="G6" s="87"/>
      <c r="H6"/>
      <c r="I6"/>
      <c r="J6"/>
      <c r="K6"/>
      <c r="L6"/>
      <c r="M6"/>
      <c r="N6"/>
      <c r="O6"/>
      <c r="P6"/>
      <c r="Q6"/>
      <c r="R6"/>
    </row>
    <row r="7" spans="1:18" ht="15">
      <c r="A7" s="19" t="s">
        <v>3</v>
      </c>
      <c r="B7" s="24" t="s">
        <v>148</v>
      </c>
      <c r="C7" s="21"/>
      <c r="D7" s="82"/>
      <c r="E7" s="22">
        <v>1910000000</v>
      </c>
      <c r="F7" s="22">
        <f>(E7*0.12)+E7</f>
        <v>2139200000</v>
      </c>
      <c r="G7" s="22">
        <f>(F7*0.12)+F7</f>
        <v>2395904000</v>
      </c>
      <c r="H7"/>
      <c r="I7"/>
      <c r="J7"/>
      <c r="K7"/>
      <c r="L7"/>
      <c r="M7"/>
      <c r="N7"/>
      <c r="O7"/>
      <c r="P7"/>
      <c r="Q7"/>
      <c r="R7"/>
    </row>
    <row r="8" spans="1:18" ht="15">
      <c r="A8" s="19" t="s">
        <v>4</v>
      </c>
      <c r="B8" s="21" t="s">
        <v>178</v>
      </c>
      <c r="C8" s="25"/>
      <c r="D8" s="20"/>
      <c r="E8" s="22">
        <v>60000000</v>
      </c>
      <c r="F8" s="22">
        <f>(E8*0.12)+E8</f>
        <v>67200000</v>
      </c>
      <c r="G8" s="22">
        <f>(F8*0.12)+F8</f>
        <v>75264000</v>
      </c>
      <c r="H8"/>
      <c r="I8"/>
      <c r="J8"/>
      <c r="K8"/>
      <c r="L8"/>
      <c r="M8"/>
      <c r="N8"/>
      <c r="O8"/>
      <c r="P8"/>
      <c r="Q8"/>
      <c r="R8"/>
    </row>
    <row r="9" spans="1:18" ht="15">
      <c r="A9" s="27" t="s">
        <v>181</v>
      </c>
      <c r="B9" s="28"/>
      <c r="C9" s="21"/>
      <c r="D9" s="20"/>
      <c r="E9" s="22"/>
      <c r="F9" s="22"/>
      <c r="G9" s="22"/>
      <c r="H9"/>
      <c r="I9"/>
      <c r="J9"/>
      <c r="K9"/>
      <c r="L9"/>
      <c r="M9"/>
      <c r="N9"/>
      <c r="O9"/>
      <c r="P9"/>
      <c r="Q9"/>
      <c r="R9"/>
    </row>
    <row r="10" spans="1:18" ht="15">
      <c r="A10" s="23" t="s">
        <v>3</v>
      </c>
      <c r="B10" s="31" t="s">
        <v>6</v>
      </c>
      <c r="C10" s="16"/>
      <c r="D10" s="17"/>
      <c r="E10" s="32"/>
      <c r="F10" s="32"/>
      <c r="G10" s="32"/>
      <c r="H10"/>
      <c r="I10"/>
      <c r="J10"/>
      <c r="K10"/>
      <c r="L10"/>
      <c r="M10"/>
      <c r="N10"/>
      <c r="O10"/>
      <c r="P10"/>
      <c r="Q10"/>
      <c r="R10"/>
    </row>
    <row r="11" spans="1:18" ht="15">
      <c r="A11" s="19"/>
      <c r="B11" s="21" t="s">
        <v>7</v>
      </c>
      <c r="C11" s="25"/>
      <c r="D11" s="20"/>
      <c r="E11" s="22">
        <v>273000000</v>
      </c>
      <c r="F11" s="22">
        <f>(E11*0.12)+E11</f>
        <v>305760000</v>
      </c>
      <c r="G11" s="22">
        <f>(F11*0.12)+F11</f>
        <v>342451200</v>
      </c>
      <c r="H11"/>
      <c r="I11"/>
      <c r="J11"/>
      <c r="K11"/>
      <c r="L11"/>
      <c r="M11"/>
      <c r="N11"/>
      <c r="O11"/>
      <c r="P11"/>
      <c r="Q11"/>
      <c r="R11"/>
    </row>
    <row r="12" spans="1:18" ht="15">
      <c r="A12" s="19"/>
      <c r="B12" s="21" t="s">
        <v>8</v>
      </c>
      <c r="C12" s="25"/>
      <c r="D12" s="20"/>
      <c r="E12" s="30">
        <v>1019429000</v>
      </c>
      <c r="F12" s="22">
        <v>764572000</v>
      </c>
      <c r="G12" s="22">
        <v>509714000</v>
      </c>
      <c r="H12"/>
      <c r="I12"/>
      <c r="J12"/>
      <c r="K12"/>
      <c r="L12"/>
      <c r="M12"/>
      <c r="N12"/>
      <c r="O12"/>
      <c r="P12"/>
      <c r="Q12"/>
      <c r="R12"/>
    </row>
    <row r="13" spans="1:18" ht="15">
      <c r="A13" s="19"/>
      <c r="B13" s="21" t="s">
        <v>176</v>
      </c>
      <c r="C13" s="25"/>
      <c r="D13" s="20"/>
      <c r="E13" s="29">
        <v>2000000000</v>
      </c>
      <c r="F13" s="22">
        <f>(E13*0.12)+E13</f>
        <v>2240000000</v>
      </c>
      <c r="G13" s="22">
        <f>(F13*0.12)+F13</f>
        <v>2508800000</v>
      </c>
      <c r="H13"/>
      <c r="I13"/>
      <c r="J13"/>
      <c r="K13"/>
      <c r="L13"/>
      <c r="M13"/>
      <c r="N13"/>
      <c r="O13"/>
      <c r="P13"/>
      <c r="Q13"/>
      <c r="R13"/>
    </row>
    <row r="14" spans="1:18" ht="15">
      <c r="A14" s="23" t="s">
        <v>4</v>
      </c>
      <c r="B14" s="31" t="s">
        <v>9</v>
      </c>
      <c r="C14" s="16"/>
      <c r="D14" s="17"/>
      <c r="E14" s="6"/>
      <c r="F14" s="6"/>
      <c r="G14" s="6"/>
      <c r="H14"/>
      <c r="I14"/>
      <c r="J14"/>
      <c r="K14"/>
      <c r="L14"/>
      <c r="M14"/>
      <c r="N14"/>
      <c r="O14"/>
      <c r="P14"/>
      <c r="Q14"/>
      <c r="R14"/>
    </row>
    <row r="15" spans="1:18" ht="15">
      <c r="A15" s="34"/>
      <c r="B15" s="21" t="s">
        <v>132</v>
      </c>
      <c r="C15" s="25"/>
      <c r="D15" s="20"/>
      <c r="E15" s="22">
        <v>10500000</v>
      </c>
      <c r="F15" s="22">
        <f>(E15*0.12)+E15</f>
        <v>11760000</v>
      </c>
      <c r="G15" s="22">
        <f>(F15*0.12)+F15</f>
        <v>13171200</v>
      </c>
      <c r="H15"/>
      <c r="I15"/>
      <c r="J15"/>
      <c r="K15"/>
      <c r="L15"/>
      <c r="M15"/>
      <c r="N15"/>
      <c r="O15"/>
      <c r="P15"/>
      <c r="Q15"/>
      <c r="R15"/>
    </row>
    <row r="16" spans="1:18" ht="15">
      <c r="A16" s="34"/>
      <c r="B16" s="21" t="s">
        <v>175</v>
      </c>
      <c r="C16" s="25"/>
      <c r="D16" s="20"/>
      <c r="E16" s="30">
        <v>36000000</v>
      </c>
      <c r="F16" s="22"/>
      <c r="G16" s="22">
        <f>(F16*0.12)+F16</f>
        <v>0</v>
      </c>
      <c r="H16"/>
      <c r="I16"/>
      <c r="J16"/>
      <c r="K16"/>
      <c r="L16"/>
      <c r="M16"/>
      <c r="N16"/>
      <c r="O16"/>
      <c r="P16"/>
      <c r="Q16"/>
      <c r="R16"/>
    </row>
    <row r="17" spans="1:18" ht="15">
      <c r="A17" s="34"/>
      <c r="B17" s="6" t="s">
        <v>124</v>
      </c>
      <c r="C17" s="6"/>
      <c r="D17" s="17"/>
      <c r="E17" s="11">
        <v>1000000</v>
      </c>
      <c r="F17" s="22">
        <f>(E17*0.12)+E17</f>
        <v>1120000</v>
      </c>
      <c r="G17" s="22">
        <f>(F17*0.12)+F17</f>
        <v>1254400</v>
      </c>
      <c r="H17" s="98"/>
      <c r="I17"/>
      <c r="J17"/>
      <c r="K17"/>
      <c r="L17"/>
      <c r="M17"/>
      <c r="N17"/>
      <c r="O17"/>
      <c r="P17"/>
      <c r="Q17"/>
      <c r="R17"/>
    </row>
    <row r="18" spans="1:18" ht="15">
      <c r="A18" s="37"/>
      <c r="B18" s="38" t="s">
        <v>109</v>
      </c>
      <c r="C18" s="38"/>
      <c r="D18" s="36"/>
      <c r="E18" s="39">
        <f>SUM(E7:E17)</f>
        <v>5309929000</v>
      </c>
      <c r="F18" s="39">
        <f>SUM(F7:F17)</f>
        <v>5529612000</v>
      </c>
      <c r="G18" s="39">
        <f>SUM(G7:G17)</f>
        <v>5846558800</v>
      </c>
      <c r="H18"/>
      <c r="I18"/>
      <c r="J18"/>
      <c r="K18"/>
      <c r="L18"/>
      <c r="M18"/>
      <c r="N18"/>
      <c r="O18"/>
      <c r="P18"/>
      <c r="Q18"/>
      <c r="R18"/>
    </row>
    <row r="19" spans="1:18" ht="15">
      <c r="A19" s="44" t="s">
        <v>11</v>
      </c>
      <c r="B19" s="4" t="s">
        <v>12</v>
      </c>
      <c r="C19" s="45"/>
      <c r="D19" s="46"/>
      <c r="E19" s="97"/>
      <c r="F19" s="47"/>
      <c r="G19" s="47"/>
      <c r="H19"/>
      <c r="I19"/>
      <c r="J19"/>
      <c r="K19"/>
      <c r="L19"/>
      <c r="M19"/>
      <c r="N19"/>
      <c r="O19"/>
      <c r="P19"/>
      <c r="Q19"/>
      <c r="R19"/>
    </row>
    <row r="20" spans="1:18" ht="15">
      <c r="A20" s="27" t="s">
        <v>155</v>
      </c>
      <c r="B20" s="15"/>
      <c r="C20" s="16"/>
      <c r="D20" s="17"/>
      <c r="E20" s="87"/>
      <c r="F20" s="87"/>
      <c r="G20" s="87"/>
      <c r="H20"/>
      <c r="I20"/>
      <c r="J20"/>
      <c r="K20"/>
      <c r="L20"/>
      <c r="M20"/>
      <c r="N20"/>
      <c r="O20"/>
      <c r="P20"/>
      <c r="Q20"/>
      <c r="R20"/>
    </row>
    <row r="21" spans="1:18" ht="15">
      <c r="A21" s="34"/>
      <c r="B21" s="21" t="s">
        <v>167</v>
      </c>
      <c r="C21" s="25"/>
      <c r="D21" s="20"/>
      <c r="E21" s="26">
        <v>300000000</v>
      </c>
      <c r="F21" s="22">
        <f>(E21*0.05)+E21</f>
        <v>315000000</v>
      </c>
      <c r="G21" s="22">
        <f>(F21*0.05)+F21</f>
        <v>330750000</v>
      </c>
      <c r="H21"/>
      <c r="I21"/>
      <c r="J21"/>
      <c r="K21"/>
      <c r="L21"/>
      <c r="M21"/>
      <c r="N21"/>
      <c r="O21"/>
      <c r="P21"/>
      <c r="Q21"/>
      <c r="R21"/>
    </row>
    <row r="22" spans="1:18" ht="15">
      <c r="A22" s="34"/>
      <c r="B22" s="21" t="s">
        <v>156</v>
      </c>
      <c r="C22" s="25"/>
      <c r="D22" s="20"/>
      <c r="E22" s="30">
        <v>320000000</v>
      </c>
      <c r="F22" s="22">
        <v>410000000</v>
      </c>
      <c r="G22" s="22">
        <v>440000000</v>
      </c>
      <c r="H22"/>
      <c r="I22"/>
      <c r="J22"/>
      <c r="K22"/>
      <c r="L22"/>
      <c r="M22"/>
      <c r="N22"/>
      <c r="O22"/>
      <c r="P22"/>
      <c r="Q22"/>
      <c r="R22"/>
    </row>
    <row r="23" spans="1:18" ht="15">
      <c r="A23" s="34"/>
      <c r="B23" s="21" t="s">
        <v>193</v>
      </c>
      <c r="C23" s="25"/>
      <c r="D23" s="20"/>
      <c r="E23" s="30">
        <v>15000000</v>
      </c>
      <c r="F23" s="22">
        <f>(E23*0.05)+E23</f>
        <v>15750000</v>
      </c>
      <c r="G23" s="22">
        <f>(F23*0.05)+F23</f>
        <v>16537500</v>
      </c>
      <c r="H23"/>
      <c r="I23"/>
      <c r="J23"/>
      <c r="K23"/>
      <c r="L23"/>
      <c r="M23"/>
      <c r="N23"/>
      <c r="O23"/>
      <c r="P23"/>
      <c r="Q23"/>
      <c r="R23"/>
    </row>
    <row r="24" spans="1:18" ht="15">
      <c r="A24" s="34"/>
      <c r="B24" s="21" t="s">
        <v>117</v>
      </c>
      <c r="C24" s="25"/>
      <c r="D24" s="20"/>
      <c r="E24" s="30">
        <v>17200000</v>
      </c>
      <c r="F24" s="22">
        <f>(E24*0.05)+E24</f>
        <v>18060000</v>
      </c>
      <c r="G24" s="22">
        <f>(F24*0.05)+F24</f>
        <v>18963000</v>
      </c>
      <c r="H24"/>
      <c r="I24"/>
      <c r="J24"/>
      <c r="K24"/>
      <c r="L24"/>
      <c r="M24"/>
      <c r="N24"/>
      <c r="O24"/>
      <c r="P24"/>
      <c r="Q24"/>
      <c r="R24"/>
    </row>
    <row r="25" spans="1:18" ht="15">
      <c r="A25" s="34"/>
      <c r="B25" s="21" t="s">
        <v>14</v>
      </c>
      <c r="C25" s="25"/>
      <c r="D25" s="20"/>
      <c r="E25" s="30">
        <v>75000000</v>
      </c>
      <c r="F25" s="22">
        <f>(E25*0.05)+E25</f>
        <v>78750000</v>
      </c>
      <c r="G25" s="22">
        <f>(F25*0.05)+F25</f>
        <v>82687500</v>
      </c>
      <c r="H25"/>
      <c r="I25"/>
      <c r="J25"/>
      <c r="K25"/>
      <c r="L25"/>
      <c r="M25"/>
      <c r="N25"/>
      <c r="O25"/>
      <c r="P25"/>
      <c r="Q25"/>
      <c r="R25"/>
    </row>
    <row r="26" spans="1:18" ht="15">
      <c r="A26" s="34"/>
      <c r="B26" s="21" t="s">
        <v>15</v>
      </c>
      <c r="C26" s="25"/>
      <c r="D26" s="20"/>
      <c r="E26" s="30">
        <v>10000000</v>
      </c>
      <c r="F26" s="22">
        <f>(E26*0.05)+E26</f>
        <v>10500000</v>
      </c>
      <c r="G26" s="22">
        <f>(F26*0.05)+F26</f>
        <v>11025000</v>
      </c>
      <c r="H26"/>
      <c r="I26"/>
      <c r="J26"/>
      <c r="K26"/>
      <c r="L26"/>
      <c r="M26"/>
      <c r="N26"/>
      <c r="O26"/>
      <c r="P26"/>
      <c r="Q26"/>
      <c r="R26"/>
    </row>
    <row r="27" spans="1:18" ht="15">
      <c r="A27" s="34"/>
      <c r="B27" s="21" t="s">
        <v>16</v>
      </c>
      <c r="C27" s="25"/>
      <c r="D27" s="20"/>
      <c r="E27" s="30">
        <v>9000000</v>
      </c>
      <c r="F27" s="22">
        <f>(E27*0.05)+E27</f>
        <v>9450000</v>
      </c>
      <c r="G27" s="22">
        <f>(F27*0.05)+F27</f>
        <v>9922500</v>
      </c>
      <c r="H27"/>
      <c r="I27"/>
      <c r="J27"/>
      <c r="K27"/>
      <c r="L27"/>
      <c r="M27"/>
      <c r="N27"/>
      <c r="O27"/>
      <c r="P27"/>
      <c r="Q27"/>
      <c r="R27"/>
    </row>
    <row r="28" spans="1:18" ht="15">
      <c r="A28" s="34"/>
      <c r="B28" s="21" t="s">
        <v>17</v>
      </c>
      <c r="C28" s="25"/>
      <c r="D28" s="20"/>
      <c r="E28" s="30">
        <v>2000000</v>
      </c>
      <c r="F28" s="22">
        <f>(E28*0.05)+E28</f>
        <v>2100000</v>
      </c>
      <c r="G28" s="22">
        <f>(F28*0.05)+F28</f>
        <v>2205000</v>
      </c>
      <c r="H28"/>
      <c r="I28"/>
      <c r="J28"/>
      <c r="K28"/>
      <c r="L28"/>
      <c r="M28"/>
      <c r="N28"/>
      <c r="O28"/>
      <c r="P28"/>
      <c r="Q28"/>
      <c r="R28"/>
    </row>
    <row r="29" spans="1:18" ht="15">
      <c r="A29" s="34"/>
      <c r="B29" s="21" t="s">
        <v>18</v>
      </c>
      <c r="C29" s="25"/>
      <c r="D29" s="20"/>
      <c r="E29" s="30">
        <v>200000000</v>
      </c>
      <c r="F29" s="22">
        <f>(E29*0.05)+E29</f>
        <v>210000000</v>
      </c>
      <c r="G29" s="22">
        <f>(F29*0.05)+F29</f>
        <v>220500000</v>
      </c>
      <c r="H29"/>
      <c r="I29"/>
      <c r="J29"/>
      <c r="K29"/>
      <c r="L29"/>
      <c r="M29"/>
      <c r="N29"/>
      <c r="O29"/>
      <c r="P29"/>
      <c r="Q29"/>
      <c r="R29"/>
    </row>
    <row r="30" spans="1:18" ht="15">
      <c r="A30" s="34"/>
      <c r="B30" s="21" t="s">
        <v>10</v>
      </c>
      <c r="C30" s="25"/>
      <c r="D30" s="20"/>
      <c r="E30" s="30">
        <v>0</v>
      </c>
      <c r="F30" s="22">
        <f>(E30*0.05)+E30</f>
        <v>0</v>
      </c>
      <c r="G30" s="22">
        <f>(F30*0.05)+F30</f>
        <v>0</v>
      </c>
      <c r="H30"/>
      <c r="I30"/>
      <c r="J30"/>
      <c r="K30"/>
      <c r="L30"/>
      <c r="M30"/>
      <c r="N30"/>
      <c r="O30"/>
      <c r="P30"/>
      <c r="Q30"/>
      <c r="R30"/>
    </row>
    <row r="31" spans="1:18" ht="15">
      <c r="A31" s="27" t="s">
        <v>159</v>
      </c>
      <c r="B31" s="15"/>
      <c r="C31" s="16"/>
      <c r="D31" s="17"/>
      <c r="E31" s="11"/>
      <c r="F31" s="11"/>
      <c r="G31" s="11"/>
      <c r="H31"/>
      <c r="I31"/>
      <c r="J31"/>
      <c r="K31"/>
      <c r="L31"/>
      <c r="M31"/>
      <c r="N31"/>
      <c r="O31"/>
      <c r="P31"/>
      <c r="Q31"/>
      <c r="R31"/>
    </row>
    <row r="32" spans="1:18" ht="15">
      <c r="A32" s="34"/>
      <c r="B32" s="21" t="s">
        <v>20</v>
      </c>
      <c r="C32" s="25"/>
      <c r="D32" s="20"/>
      <c r="E32" s="30">
        <v>63000000</v>
      </c>
      <c r="F32" s="22">
        <f>(E32*0.05)+E32</f>
        <v>66150000</v>
      </c>
      <c r="G32" s="22">
        <f>(F32*0.05)+F32</f>
        <v>69457500</v>
      </c>
      <c r="H32"/>
      <c r="I32"/>
      <c r="J32"/>
      <c r="K32"/>
      <c r="L32"/>
      <c r="M32"/>
      <c r="N32"/>
      <c r="O32"/>
      <c r="P32"/>
      <c r="Q32"/>
      <c r="R32"/>
    </row>
    <row r="33" spans="1:18" ht="15">
      <c r="A33" s="34"/>
      <c r="B33" s="21" t="s">
        <v>102</v>
      </c>
      <c r="C33" s="25"/>
      <c r="D33" s="20"/>
      <c r="E33" s="51">
        <v>35000000</v>
      </c>
      <c r="F33" s="22">
        <f>(E33*0.05)+E33</f>
        <v>36750000</v>
      </c>
      <c r="G33" s="22">
        <f>(F33*0.05)+F33</f>
        <v>38587500</v>
      </c>
      <c r="H33"/>
      <c r="I33"/>
      <c r="J33"/>
      <c r="K33"/>
      <c r="L33"/>
      <c r="M33"/>
      <c r="N33"/>
      <c r="O33"/>
      <c r="P33"/>
      <c r="Q33"/>
      <c r="R33"/>
    </row>
    <row r="34" spans="1:18" ht="15">
      <c r="A34" s="34"/>
      <c r="B34" s="53" t="s">
        <v>22</v>
      </c>
      <c r="C34" s="35"/>
      <c r="D34" s="36"/>
      <c r="E34" s="29">
        <v>60642000</v>
      </c>
      <c r="F34" s="22">
        <f>(E34*0.05)+E34</f>
        <v>63674100</v>
      </c>
      <c r="G34" s="22">
        <f>(F34*0.05)+F34</f>
        <v>66857805</v>
      </c>
      <c r="H34"/>
      <c r="I34"/>
      <c r="J34"/>
      <c r="K34"/>
      <c r="L34"/>
      <c r="M34"/>
      <c r="N34"/>
      <c r="O34"/>
      <c r="P34"/>
      <c r="Q34"/>
      <c r="R34"/>
    </row>
    <row r="35" spans="1:18" ht="15">
      <c r="A35" s="34"/>
      <c r="B35" s="21" t="s">
        <v>118</v>
      </c>
      <c r="C35" s="25"/>
      <c r="D35" s="20"/>
      <c r="E35" s="51">
        <v>29000000</v>
      </c>
      <c r="F35" s="22">
        <f>(E35*0.05)+E35</f>
        <v>30450000</v>
      </c>
      <c r="G35" s="22">
        <f>(F35*0.05)+F35</f>
        <v>31972500</v>
      </c>
      <c r="H35"/>
      <c r="I35"/>
      <c r="J35"/>
      <c r="K35"/>
      <c r="L35"/>
      <c r="M35"/>
      <c r="N35"/>
      <c r="O35"/>
      <c r="P35"/>
      <c r="Q35"/>
      <c r="R35"/>
    </row>
    <row r="36" spans="1:18" ht="15">
      <c r="A36" s="34"/>
      <c r="B36" s="21" t="s">
        <v>23</v>
      </c>
      <c r="C36" s="25"/>
      <c r="D36" s="20"/>
      <c r="E36" s="51">
        <v>31185000</v>
      </c>
      <c r="F36" s="22">
        <f>(E36*0.05)+E36</f>
        <v>32744250</v>
      </c>
      <c r="G36" s="22">
        <f>(F36*0.05)+F36</f>
        <v>34381462.5</v>
      </c>
      <c r="H36"/>
      <c r="I36"/>
      <c r="J36"/>
      <c r="K36"/>
      <c r="L36"/>
      <c r="M36"/>
      <c r="N36"/>
      <c r="O36"/>
      <c r="P36"/>
      <c r="Q36"/>
      <c r="R36"/>
    </row>
    <row r="37" spans="1:18" ht="15">
      <c r="A37" s="34"/>
      <c r="B37" s="21" t="s">
        <v>24</v>
      </c>
      <c r="C37" s="25"/>
      <c r="D37" s="20"/>
      <c r="E37" s="30">
        <v>16830000</v>
      </c>
      <c r="F37" s="22">
        <f>(E37*0.05)+E37</f>
        <v>17671500</v>
      </c>
      <c r="G37" s="22">
        <f>(F37*0.05)+F37</f>
        <v>18555075</v>
      </c>
      <c r="H37"/>
      <c r="I37"/>
      <c r="J37"/>
      <c r="K37"/>
      <c r="L37"/>
      <c r="M37"/>
      <c r="N37"/>
      <c r="O37"/>
      <c r="P37"/>
      <c r="Q37"/>
      <c r="R37"/>
    </row>
    <row r="38" spans="1:18" ht="15">
      <c r="A38" s="34"/>
      <c r="B38" s="21" t="s">
        <v>119</v>
      </c>
      <c r="C38" s="25"/>
      <c r="D38" s="20"/>
      <c r="E38" s="30">
        <v>30780000</v>
      </c>
      <c r="F38" s="22">
        <f>(E38*0.05)+E38</f>
        <v>32319000</v>
      </c>
      <c r="G38" s="22">
        <f>(F38*0.05)+F38</f>
        <v>33934950</v>
      </c>
      <c r="H38"/>
      <c r="I38"/>
      <c r="J38"/>
      <c r="K38"/>
      <c r="L38"/>
      <c r="M38"/>
      <c r="N38"/>
      <c r="O38"/>
      <c r="P38"/>
      <c r="Q38"/>
      <c r="R38"/>
    </row>
    <row r="39" spans="1:18" ht="15">
      <c r="A39" s="34"/>
      <c r="B39" s="21" t="s">
        <v>120</v>
      </c>
      <c r="C39" s="25"/>
      <c r="D39" s="20"/>
      <c r="E39" s="56">
        <f>49210000-(62*35000*13)+3000000</f>
        <v>24000000</v>
      </c>
      <c r="F39" s="22">
        <f>(E39*0.05)+E39</f>
        <v>25200000</v>
      </c>
      <c r="G39" s="22">
        <f>(F39*0.05)+F39</f>
        <v>26460000</v>
      </c>
      <c r="H39"/>
      <c r="I39"/>
      <c r="J39"/>
      <c r="K39"/>
      <c r="L39"/>
      <c r="M39"/>
      <c r="N39"/>
      <c r="O39"/>
      <c r="P39"/>
      <c r="Q39"/>
      <c r="R39"/>
    </row>
    <row r="40" spans="1:18" ht="15">
      <c r="A40" s="34"/>
      <c r="B40" s="21" t="s">
        <v>25</v>
      </c>
      <c r="C40" s="25"/>
      <c r="D40" s="20"/>
      <c r="E40" s="30">
        <v>45000000</v>
      </c>
      <c r="F40" s="22">
        <f>(E40*0.05)+E40</f>
        <v>47250000</v>
      </c>
      <c r="G40" s="22">
        <f>(F40*0.05)+F40</f>
        <v>49612500</v>
      </c>
      <c r="H40"/>
      <c r="I40"/>
      <c r="J40"/>
      <c r="K40"/>
      <c r="L40"/>
      <c r="M40"/>
      <c r="N40"/>
      <c r="O40"/>
      <c r="P40"/>
      <c r="Q40"/>
      <c r="R40"/>
    </row>
    <row r="41" spans="1:18" ht="15">
      <c r="A41" s="34"/>
      <c r="B41" s="21" t="s">
        <v>104</v>
      </c>
      <c r="C41" s="25"/>
      <c r="D41" s="20"/>
      <c r="E41" s="30">
        <v>83000000</v>
      </c>
      <c r="F41" s="22">
        <f>(E41*0.05)+E41</f>
        <v>87150000</v>
      </c>
      <c r="G41" s="22">
        <f>(F41*0.05)+F41</f>
        <v>91507500</v>
      </c>
      <c r="H41"/>
      <c r="I41"/>
      <c r="J41"/>
      <c r="K41"/>
      <c r="L41"/>
      <c r="M41"/>
      <c r="N41"/>
      <c r="O41"/>
      <c r="P41"/>
      <c r="Q41"/>
      <c r="R41"/>
    </row>
    <row r="42" spans="1:18" ht="15">
      <c r="A42" s="34"/>
      <c r="B42" s="21" t="s">
        <v>170</v>
      </c>
      <c r="C42" s="25"/>
      <c r="D42" s="20"/>
      <c r="E42" s="30">
        <v>38000000</v>
      </c>
      <c r="F42" s="22">
        <f>(E42*0.05)+E42</f>
        <v>39900000</v>
      </c>
      <c r="G42" s="22">
        <f>(F42*0.05)+F42</f>
        <v>41895000</v>
      </c>
      <c r="H42"/>
      <c r="I42"/>
      <c r="J42"/>
      <c r="K42"/>
      <c r="L42"/>
      <c r="M42"/>
      <c r="N42"/>
      <c r="O42"/>
      <c r="P42"/>
      <c r="Q42"/>
      <c r="R42"/>
    </row>
    <row r="43" spans="1:18" ht="15">
      <c r="A43" s="34"/>
      <c r="B43" s="21" t="s">
        <v>26</v>
      </c>
      <c r="C43" s="25"/>
      <c r="D43" s="20"/>
      <c r="E43" s="30">
        <v>38000000</v>
      </c>
      <c r="F43" s="22">
        <f>(E43*0.05)+E43</f>
        <v>39900000</v>
      </c>
      <c r="G43" s="22">
        <f>(F43*0.05)+F43</f>
        <v>41895000</v>
      </c>
      <c r="H43"/>
      <c r="I43"/>
      <c r="J43"/>
      <c r="K43"/>
      <c r="L43"/>
      <c r="M43"/>
      <c r="N43"/>
      <c r="O43"/>
      <c r="P43"/>
      <c r="Q43"/>
      <c r="R43"/>
    </row>
    <row r="44" spans="1:18" ht="15">
      <c r="A44" s="34"/>
      <c r="B44" s="21" t="s">
        <v>27</v>
      </c>
      <c r="C44" s="25"/>
      <c r="D44" s="20"/>
      <c r="E44" s="30">
        <v>153000000</v>
      </c>
      <c r="F44" s="22">
        <f>(E44*0.05)+E44</f>
        <v>160650000</v>
      </c>
      <c r="G44" s="22">
        <f>(F44*0.05)+F44</f>
        <v>168682500</v>
      </c>
      <c r="H44"/>
      <c r="I44"/>
      <c r="J44"/>
      <c r="K44"/>
      <c r="L44"/>
      <c r="M44"/>
      <c r="N44"/>
      <c r="O44"/>
      <c r="P44"/>
      <c r="Q44"/>
      <c r="R44"/>
    </row>
    <row r="45" spans="1:18" ht="15">
      <c r="A45" s="34"/>
      <c r="B45" s="21" t="s">
        <v>144</v>
      </c>
      <c r="C45" s="25"/>
      <c r="D45" s="20"/>
      <c r="E45" s="30">
        <v>149500000</v>
      </c>
      <c r="F45" s="22">
        <f>(E45*0.05)+E45</f>
        <v>156975000</v>
      </c>
      <c r="G45" s="22">
        <f>(F45*0.05)+F45</f>
        <v>164823750</v>
      </c>
      <c r="H45"/>
      <c r="I45"/>
      <c r="J45"/>
      <c r="K45"/>
      <c r="L45"/>
      <c r="M45"/>
      <c r="N45"/>
      <c r="O45"/>
      <c r="P45"/>
      <c r="Q45"/>
      <c r="R45"/>
    </row>
    <row r="46" spans="1:18" ht="15">
      <c r="A46" s="34"/>
      <c r="B46" s="21" t="s">
        <v>158</v>
      </c>
      <c r="C46" s="25"/>
      <c r="D46" s="20"/>
      <c r="E46" s="30">
        <v>30000000</v>
      </c>
      <c r="F46" s="22">
        <f>(E46*0.05)+E46</f>
        <v>31500000</v>
      </c>
      <c r="G46" s="22">
        <f>(F46*0.05)+F46</f>
        <v>33075000</v>
      </c>
      <c r="H46"/>
      <c r="I46"/>
      <c r="J46"/>
      <c r="K46"/>
      <c r="L46"/>
      <c r="M46"/>
      <c r="N46"/>
      <c r="O46"/>
      <c r="P46"/>
      <c r="Q46"/>
      <c r="R46"/>
    </row>
    <row r="47" spans="1:18" ht="15">
      <c r="A47" s="34"/>
      <c r="B47" s="21" t="s">
        <v>125</v>
      </c>
      <c r="C47" s="25"/>
      <c r="D47" s="20"/>
      <c r="E47" s="30">
        <v>3500000</v>
      </c>
      <c r="F47" s="22">
        <f>(E47*0.05)+E47</f>
        <v>3675000</v>
      </c>
      <c r="G47" s="22">
        <f>(F47*0.05)+F47</f>
        <v>3858750</v>
      </c>
      <c r="H47"/>
      <c r="I47"/>
      <c r="J47"/>
      <c r="K47"/>
      <c r="L47"/>
      <c r="M47"/>
      <c r="N47"/>
      <c r="O47"/>
      <c r="P47"/>
      <c r="Q47"/>
      <c r="R47"/>
    </row>
    <row r="48" spans="1:18" ht="15">
      <c r="A48" s="34"/>
      <c r="B48" s="21" t="s">
        <v>173</v>
      </c>
      <c r="C48" s="25"/>
      <c r="D48" s="20"/>
      <c r="E48" s="30">
        <v>300000000</v>
      </c>
      <c r="F48" s="22">
        <f>(E48*0.05)+E48</f>
        <v>315000000</v>
      </c>
      <c r="G48" s="22">
        <f>(F48*0.05)+F48</f>
        <v>330750000</v>
      </c>
      <c r="H48"/>
      <c r="I48"/>
      <c r="J48"/>
      <c r="K48"/>
      <c r="L48"/>
      <c r="M48"/>
      <c r="N48"/>
      <c r="O48"/>
      <c r="P48"/>
      <c r="Q48"/>
      <c r="R48"/>
    </row>
    <row r="49" spans="1:18" ht="15">
      <c r="A49" s="34"/>
      <c r="B49" s="21" t="s">
        <v>30</v>
      </c>
      <c r="C49" s="25"/>
      <c r="D49" s="20"/>
      <c r="E49" s="30">
        <v>2500000</v>
      </c>
      <c r="F49" s="22">
        <f>(E49*0.05)+E49</f>
        <v>2625000</v>
      </c>
      <c r="G49" s="22">
        <f>(F49*0.05)+F49</f>
        <v>2756250</v>
      </c>
      <c r="H49"/>
      <c r="I49"/>
      <c r="J49"/>
      <c r="K49"/>
      <c r="L49"/>
      <c r="M49"/>
      <c r="N49"/>
      <c r="O49"/>
      <c r="P49"/>
      <c r="Q49"/>
      <c r="R49"/>
    </row>
    <row r="50" spans="1:18" ht="15">
      <c r="A50" s="34"/>
      <c r="B50" s="21" t="s">
        <v>31</v>
      </c>
      <c r="C50" s="25"/>
      <c r="D50" s="20"/>
      <c r="E50" s="30">
        <v>1500000</v>
      </c>
      <c r="F50" s="22">
        <f>(E50*0.05)+E50</f>
        <v>1575000</v>
      </c>
      <c r="G50" s="22">
        <f>(F50*0.05)+F50</f>
        <v>1653750</v>
      </c>
      <c r="H50"/>
      <c r="I50"/>
      <c r="J50"/>
      <c r="K50"/>
      <c r="L50"/>
      <c r="M50"/>
      <c r="N50"/>
      <c r="O50"/>
      <c r="P50"/>
      <c r="Q50"/>
      <c r="R50"/>
    </row>
    <row r="51" spans="1:18" ht="15">
      <c r="A51" s="34"/>
      <c r="B51" s="21" t="s">
        <v>121</v>
      </c>
      <c r="C51" s="25"/>
      <c r="D51" s="20"/>
      <c r="E51" s="30">
        <v>1100000</v>
      </c>
      <c r="F51" s="22">
        <f>(E51*0.05)+E51</f>
        <v>1155000</v>
      </c>
      <c r="G51" s="22">
        <f>(F51*0.05)+F51</f>
        <v>1212750</v>
      </c>
      <c r="H51"/>
      <c r="I51"/>
      <c r="J51"/>
      <c r="K51"/>
      <c r="L51"/>
      <c r="M51"/>
      <c r="N51"/>
      <c r="O51"/>
      <c r="P51"/>
      <c r="Q51"/>
      <c r="R51"/>
    </row>
    <row r="52" spans="1:18" ht="15">
      <c r="A52" s="34"/>
      <c r="B52" s="21" t="s">
        <v>32</v>
      </c>
      <c r="C52" s="25"/>
      <c r="D52" s="20"/>
      <c r="E52" s="30">
        <v>31000000</v>
      </c>
      <c r="F52" s="22">
        <f>(E52*0.05)+E52</f>
        <v>32550000</v>
      </c>
      <c r="G52" s="22">
        <f>(F52*0.05)+F52</f>
        <v>34177500</v>
      </c>
      <c r="H52"/>
      <c r="I52"/>
      <c r="J52"/>
      <c r="K52"/>
      <c r="L52"/>
      <c r="M52"/>
      <c r="N52"/>
      <c r="O52"/>
      <c r="P52"/>
      <c r="Q52"/>
      <c r="R52"/>
    </row>
    <row r="53" spans="1:18" ht="15">
      <c r="A53" s="34"/>
      <c r="B53" s="21" t="s">
        <v>33</v>
      </c>
      <c r="C53" s="25"/>
      <c r="D53" s="20"/>
      <c r="E53" s="30">
        <v>4500000</v>
      </c>
      <c r="F53" s="22">
        <f>(E53*0.05)+E53</f>
        <v>4725000</v>
      </c>
      <c r="G53" s="22">
        <f>(F53*0.05)+F53</f>
        <v>4961250</v>
      </c>
      <c r="H53"/>
      <c r="I53"/>
      <c r="J53"/>
      <c r="K53"/>
      <c r="L53"/>
      <c r="M53"/>
      <c r="N53"/>
      <c r="O53"/>
      <c r="P53"/>
      <c r="Q53"/>
      <c r="R53"/>
    </row>
    <row r="54" spans="1:18" ht="15">
      <c r="A54" s="34"/>
      <c r="B54" s="21" t="s">
        <v>122</v>
      </c>
      <c r="C54" s="25"/>
      <c r="D54" s="20"/>
      <c r="E54" s="30">
        <v>6000000</v>
      </c>
      <c r="F54" s="22">
        <f>(E54*0.05)+E54</f>
        <v>6300000</v>
      </c>
      <c r="G54" s="22">
        <f>(F54*0.05)+F54</f>
        <v>6615000</v>
      </c>
      <c r="H54"/>
      <c r="I54"/>
      <c r="J54"/>
      <c r="K54"/>
      <c r="L54"/>
      <c r="M54"/>
      <c r="N54"/>
      <c r="O54"/>
      <c r="P54"/>
      <c r="Q54"/>
      <c r="R54"/>
    </row>
    <row r="55" spans="1:18" ht="15">
      <c r="A55" s="34"/>
      <c r="B55" s="53" t="s">
        <v>34</v>
      </c>
      <c r="C55" s="35"/>
      <c r="D55" s="36"/>
      <c r="E55" s="29">
        <v>500000</v>
      </c>
      <c r="F55" s="22">
        <f>(E55*0.05)+E55</f>
        <v>525000</v>
      </c>
      <c r="G55" s="22">
        <f>(F55*0.05)+F55</f>
        <v>551250</v>
      </c>
      <c r="H55"/>
      <c r="I55"/>
      <c r="J55"/>
      <c r="K55"/>
      <c r="L55"/>
      <c r="M55"/>
      <c r="N55"/>
      <c r="O55"/>
      <c r="P55"/>
      <c r="Q55"/>
      <c r="R55"/>
    </row>
    <row r="56" spans="1:18" ht="15">
      <c r="A56" s="34"/>
      <c r="B56" s="21" t="s">
        <v>35</v>
      </c>
      <c r="C56" s="25"/>
      <c r="D56" s="20"/>
      <c r="E56" s="30">
        <v>1000000</v>
      </c>
      <c r="F56" s="22">
        <f>(E56*0.05)+E56</f>
        <v>1050000</v>
      </c>
      <c r="G56" s="22">
        <f>(F56*0.05)+F56</f>
        <v>1102500</v>
      </c>
      <c r="H56"/>
      <c r="I56"/>
      <c r="J56"/>
      <c r="K56"/>
      <c r="L56"/>
      <c r="M56"/>
      <c r="N56"/>
      <c r="O56"/>
      <c r="P56"/>
      <c r="Q56"/>
      <c r="R56"/>
    </row>
    <row r="57" spans="1:18" ht="15">
      <c r="A57" s="34"/>
      <c r="B57" s="21" t="s">
        <v>108</v>
      </c>
      <c r="C57" s="25"/>
      <c r="D57" s="20"/>
      <c r="E57" s="30">
        <v>5000000</v>
      </c>
      <c r="F57" s="22">
        <f>(E57*0.05)+E57</f>
        <v>5250000</v>
      </c>
      <c r="G57" s="22">
        <f>(F57*0.05)+F57</f>
        <v>5512500</v>
      </c>
      <c r="H57"/>
      <c r="I57"/>
      <c r="J57"/>
      <c r="K57"/>
      <c r="L57"/>
      <c r="M57"/>
      <c r="N57"/>
      <c r="O57"/>
      <c r="P57"/>
      <c r="Q57"/>
      <c r="R57"/>
    </row>
    <row r="58" spans="1:18" ht="15">
      <c r="A58" s="59"/>
      <c r="B58" s="53" t="s">
        <v>36</v>
      </c>
      <c r="C58" s="35"/>
      <c r="D58" s="36"/>
      <c r="E58" s="29">
        <v>0</v>
      </c>
      <c r="F58" s="22">
        <f>(E58*0.05)+E58</f>
        <v>0</v>
      </c>
      <c r="G58" s="22">
        <f>(F58*0.05)+F58</f>
        <v>0</v>
      </c>
      <c r="H58"/>
      <c r="I58"/>
      <c r="J58"/>
      <c r="K58"/>
      <c r="L58"/>
      <c r="M58"/>
      <c r="N58"/>
      <c r="O58"/>
      <c r="P58"/>
      <c r="Q58"/>
      <c r="R58"/>
    </row>
    <row r="59" spans="1:18" ht="15">
      <c r="A59" s="60" t="s">
        <v>160</v>
      </c>
      <c r="B59" s="15"/>
      <c r="C59" s="16"/>
      <c r="D59" s="17"/>
      <c r="E59" s="22"/>
      <c r="F59" s="22"/>
      <c r="G59" s="22"/>
      <c r="H59"/>
      <c r="I59"/>
      <c r="J59"/>
      <c r="K59"/>
      <c r="L59"/>
      <c r="M59"/>
      <c r="N59"/>
      <c r="O59"/>
      <c r="P59"/>
      <c r="Q59"/>
      <c r="R59"/>
    </row>
    <row r="60" spans="1:18" ht="15">
      <c r="A60" s="34"/>
      <c r="B60" s="21" t="s">
        <v>37</v>
      </c>
      <c r="C60" s="25"/>
      <c r="D60" s="20"/>
      <c r="E60" s="29">
        <v>0</v>
      </c>
      <c r="F60" s="22">
        <f>(E60*0.05)+E60</f>
        <v>0</v>
      </c>
      <c r="G60" s="22">
        <f>(F60*0.5)+F60</f>
        <v>0</v>
      </c>
      <c r="H60"/>
      <c r="I60"/>
      <c r="J60"/>
      <c r="K60"/>
      <c r="L60"/>
      <c r="M60"/>
      <c r="N60"/>
      <c r="O60"/>
      <c r="P60"/>
      <c r="Q60"/>
      <c r="R60"/>
    </row>
    <row r="61" spans="1:18" ht="15">
      <c r="A61" s="34"/>
      <c r="B61" s="21" t="s">
        <v>38</v>
      </c>
      <c r="C61" s="25"/>
      <c r="D61" s="20"/>
      <c r="E61" s="30">
        <v>0</v>
      </c>
      <c r="F61" s="22">
        <f>(E61*0.05)+E61</f>
        <v>0</v>
      </c>
      <c r="G61" s="22">
        <f>(F61*0.5)+F61</f>
        <v>0</v>
      </c>
      <c r="H61"/>
      <c r="I61"/>
      <c r="J61"/>
      <c r="K61"/>
      <c r="L61"/>
      <c r="M61"/>
      <c r="N61"/>
      <c r="O61"/>
      <c r="P61"/>
      <c r="Q61"/>
      <c r="R61"/>
    </row>
    <row r="62" spans="1:18" ht="15">
      <c r="A62" s="34"/>
      <c r="B62" s="21" t="s">
        <v>123</v>
      </c>
      <c r="C62" s="25"/>
      <c r="D62" s="20"/>
      <c r="E62" s="30">
        <v>44000000</v>
      </c>
      <c r="F62" s="22">
        <f>(E62*0.05)+E62</f>
        <v>46200000</v>
      </c>
      <c r="G62" s="22">
        <f>(F62*0.05)+F62</f>
        <v>48510000</v>
      </c>
      <c r="H62"/>
      <c r="I62"/>
      <c r="J62"/>
      <c r="K62"/>
      <c r="L62"/>
      <c r="M62"/>
      <c r="N62"/>
      <c r="O62"/>
      <c r="P62"/>
      <c r="Q62"/>
      <c r="R62"/>
    </row>
    <row r="63" spans="1:18" ht="15">
      <c r="A63" s="34"/>
      <c r="B63" s="21" t="s">
        <v>10</v>
      </c>
      <c r="C63" s="25"/>
      <c r="D63" s="20"/>
      <c r="E63" s="30">
        <v>0</v>
      </c>
      <c r="F63" s="22">
        <f>(E63*0.05)+E63</f>
        <v>0</v>
      </c>
      <c r="G63" s="22">
        <f>(F63*0.5)+F63</f>
        <v>0</v>
      </c>
      <c r="H63"/>
      <c r="I63"/>
      <c r="J63"/>
      <c r="K63"/>
      <c r="L63"/>
      <c r="M63"/>
      <c r="N63"/>
      <c r="O63"/>
      <c r="P63"/>
      <c r="Q63"/>
      <c r="R63"/>
    </row>
    <row r="64" spans="1:18" ht="15">
      <c r="A64" s="27" t="s">
        <v>161</v>
      </c>
      <c r="B64" s="15"/>
      <c r="C64" s="16"/>
      <c r="D64" s="17"/>
      <c r="E64" s="11"/>
      <c r="F64" s="11"/>
      <c r="G64" s="11"/>
      <c r="H64"/>
      <c r="I64"/>
      <c r="J64"/>
      <c r="K64"/>
      <c r="L64"/>
      <c r="M64"/>
      <c r="N64"/>
      <c r="O64"/>
      <c r="P64"/>
      <c r="Q64"/>
      <c r="R64"/>
    </row>
    <row r="65" spans="1:18" ht="15">
      <c r="A65" s="34"/>
      <c r="B65" s="21" t="s">
        <v>39</v>
      </c>
      <c r="C65" s="25"/>
      <c r="D65" s="20"/>
      <c r="E65" s="29">
        <v>2236626486</v>
      </c>
      <c r="F65" s="22">
        <f>(E65*0.01)+E65</f>
        <v>2258992750.86</v>
      </c>
      <c r="G65" s="22">
        <f>(F65*0.01)+F65</f>
        <v>2281582678.3686004</v>
      </c>
      <c r="H65"/>
      <c r="I65"/>
      <c r="J65"/>
      <c r="K65"/>
      <c r="L65"/>
      <c r="M65"/>
      <c r="N65"/>
      <c r="O65"/>
      <c r="P65"/>
      <c r="Q65"/>
      <c r="R65"/>
    </row>
    <row r="66" spans="1:18" ht="15">
      <c r="A66" s="34"/>
      <c r="B66" s="21" t="s">
        <v>103</v>
      </c>
      <c r="C66" s="25"/>
      <c r="D66" s="20"/>
      <c r="E66" s="30">
        <f>534801428+74113430+17230558</f>
        <v>626145416</v>
      </c>
      <c r="F66" s="22">
        <f>(E66*0.01)+E66</f>
        <v>632406870.16</v>
      </c>
      <c r="G66" s="22">
        <f>(F66*0.01)+F66</f>
        <v>638730938.8615999</v>
      </c>
      <c r="H66"/>
      <c r="I66"/>
      <c r="J66"/>
      <c r="K66"/>
      <c r="L66"/>
      <c r="M66"/>
      <c r="N66"/>
      <c r="O66"/>
      <c r="P66"/>
      <c r="Q66"/>
      <c r="R66"/>
    </row>
    <row r="67" spans="1:18" ht="15">
      <c r="A67" s="34"/>
      <c r="B67" s="21" t="s">
        <v>40</v>
      </c>
      <c r="C67" s="25"/>
      <c r="D67" s="20"/>
      <c r="E67" s="30">
        <f>154548305+19946408+4643190</f>
        <v>179137903</v>
      </c>
      <c r="F67" s="22">
        <f>(E67*0.01)+E67</f>
        <v>180929282.03</v>
      </c>
      <c r="G67" s="22">
        <f>(F67*0.01)+F67</f>
        <v>182738574.8503</v>
      </c>
      <c r="H67"/>
      <c r="I67"/>
      <c r="J67"/>
      <c r="K67"/>
      <c r="L67"/>
      <c r="M67"/>
      <c r="N67"/>
      <c r="O67"/>
      <c r="P67"/>
      <c r="Q67"/>
      <c r="R67"/>
    </row>
    <row r="68" spans="1:18" ht="15">
      <c r="A68" s="34"/>
      <c r="B68" s="21" t="s">
        <v>41</v>
      </c>
      <c r="C68" s="25"/>
      <c r="D68" s="20"/>
      <c r="E68" s="30">
        <v>9750000</v>
      </c>
      <c r="F68" s="22">
        <f>(E68*0.01)+E68</f>
        <v>9847500</v>
      </c>
      <c r="G68" s="22">
        <f>(F68*0.01)+F68</f>
        <v>9945975</v>
      </c>
      <c r="H68"/>
      <c r="I68"/>
      <c r="J68"/>
      <c r="K68"/>
      <c r="L68"/>
      <c r="M68"/>
      <c r="N68"/>
      <c r="O68"/>
      <c r="P68"/>
      <c r="Q68"/>
      <c r="R68"/>
    </row>
    <row r="69" spans="1:18" ht="15">
      <c r="A69" s="34"/>
      <c r="B69" s="21" t="s">
        <v>42</v>
      </c>
      <c r="C69" s="25"/>
      <c r="D69" s="20"/>
      <c r="E69" s="30">
        <v>32571200</v>
      </c>
      <c r="F69" s="22">
        <f>(E69*0.01)+E69</f>
        <v>32896912</v>
      </c>
      <c r="G69" s="22">
        <f>(F69*0.01)+F69</f>
        <v>33225881.12</v>
      </c>
      <c r="H69"/>
      <c r="I69"/>
      <c r="J69"/>
      <c r="K69"/>
      <c r="L69"/>
      <c r="M69"/>
      <c r="N69"/>
      <c r="O69"/>
      <c r="P69"/>
      <c r="Q69"/>
      <c r="R69"/>
    </row>
    <row r="70" spans="1:18" ht="15">
      <c r="A70" s="34"/>
      <c r="B70" s="21" t="s">
        <v>43</v>
      </c>
      <c r="C70" s="25"/>
      <c r="D70" s="20"/>
      <c r="E70" s="30"/>
      <c r="F70" s="30"/>
      <c r="G70" s="30"/>
      <c r="H70"/>
      <c r="I70"/>
      <c r="J70"/>
      <c r="K70"/>
      <c r="L70"/>
      <c r="M70"/>
      <c r="N70"/>
      <c r="O70"/>
      <c r="P70"/>
      <c r="Q70"/>
      <c r="R70"/>
    </row>
    <row r="71" spans="1:18" ht="15">
      <c r="A71" s="27" t="s">
        <v>162</v>
      </c>
      <c r="B71" s="15"/>
      <c r="C71" s="16"/>
      <c r="D71" s="17"/>
      <c r="E71" s="11"/>
      <c r="F71" s="11"/>
      <c r="G71" s="11"/>
      <c r="H71"/>
      <c r="I71"/>
      <c r="J71"/>
      <c r="K71"/>
      <c r="L71"/>
      <c r="M71"/>
      <c r="N71"/>
      <c r="O71"/>
      <c r="P71"/>
      <c r="Q71"/>
      <c r="R71"/>
    </row>
    <row r="72" spans="1:18" ht="15">
      <c r="A72" s="61"/>
      <c r="B72" s="21" t="s">
        <v>45</v>
      </c>
      <c r="C72" s="25"/>
      <c r="D72" s="20"/>
      <c r="E72" s="30">
        <v>50000000</v>
      </c>
      <c r="F72" s="30">
        <v>63000000</v>
      </c>
      <c r="G72" s="30">
        <v>63000000</v>
      </c>
      <c r="H72"/>
      <c r="I72"/>
      <c r="J72"/>
      <c r="K72"/>
      <c r="L72"/>
      <c r="M72"/>
      <c r="N72"/>
      <c r="O72"/>
      <c r="P72"/>
      <c r="Q72"/>
      <c r="R72"/>
    </row>
    <row r="73" spans="1:18" ht="15">
      <c r="A73" s="27" t="s">
        <v>47</v>
      </c>
      <c r="B73" s="15" t="s">
        <v>48</v>
      </c>
      <c r="C73" s="16"/>
      <c r="D73" s="17"/>
      <c r="E73" s="11"/>
      <c r="F73" s="11"/>
      <c r="G73" s="11"/>
      <c r="H73"/>
      <c r="I73"/>
      <c r="J73"/>
      <c r="K73"/>
      <c r="L73"/>
      <c r="M73"/>
      <c r="N73"/>
      <c r="O73"/>
      <c r="P73"/>
      <c r="Q73"/>
      <c r="R73"/>
    </row>
    <row r="74" spans="1:18" ht="15">
      <c r="A74" s="61"/>
      <c r="B74" s="21" t="s">
        <v>49</v>
      </c>
      <c r="C74" s="25"/>
      <c r="D74" s="20"/>
      <c r="E74" s="29">
        <v>30000000</v>
      </c>
      <c r="F74" s="29">
        <v>30000000</v>
      </c>
      <c r="G74" s="29">
        <v>30000000</v>
      </c>
      <c r="H74"/>
      <c r="I74"/>
      <c r="J74"/>
      <c r="K74"/>
      <c r="L74"/>
      <c r="M74"/>
      <c r="N74"/>
      <c r="O74"/>
      <c r="P74"/>
      <c r="Q74"/>
      <c r="R74"/>
    </row>
    <row r="75" spans="1:18" ht="15">
      <c r="A75" s="61"/>
      <c r="B75" s="21" t="s">
        <v>50</v>
      </c>
      <c r="C75" s="25"/>
      <c r="D75" s="20"/>
      <c r="E75" s="30">
        <v>-45000000</v>
      </c>
      <c r="F75" s="30">
        <v>-45000000</v>
      </c>
      <c r="G75" s="30">
        <v>-45000000</v>
      </c>
      <c r="H75"/>
      <c r="I75"/>
      <c r="J75"/>
      <c r="K75"/>
      <c r="L75"/>
      <c r="M75"/>
      <c r="N75"/>
      <c r="O75"/>
      <c r="P75"/>
      <c r="Q75"/>
      <c r="R75"/>
    </row>
    <row r="76" spans="1:18" ht="15">
      <c r="A76" s="27" t="s">
        <v>51</v>
      </c>
      <c r="B76" s="15" t="s">
        <v>52</v>
      </c>
      <c r="C76" s="16"/>
      <c r="D76" s="17"/>
      <c r="E76" s="11"/>
      <c r="F76" s="11"/>
      <c r="G76" s="11"/>
      <c r="H76"/>
      <c r="I76"/>
      <c r="J76"/>
      <c r="K76"/>
      <c r="L76"/>
      <c r="M76"/>
      <c r="N76"/>
      <c r="O76"/>
      <c r="P76"/>
      <c r="Q76"/>
      <c r="R76"/>
    </row>
    <row r="77" spans="1:18" ht="15">
      <c r="A77" s="27" t="s">
        <v>54</v>
      </c>
      <c r="B77" s="15" t="s">
        <v>55</v>
      </c>
      <c r="C77" s="16"/>
      <c r="D77" s="17"/>
      <c r="E77" s="11"/>
      <c r="F77" s="11"/>
      <c r="G77" s="11"/>
      <c r="H77"/>
      <c r="I77"/>
      <c r="J77"/>
      <c r="K77"/>
      <c r="L77"/>
      <c r="M77"/>
      <c r="N77"/>
      <c r="O77"/>
      <c r="P77"/>
      <c r="Q77"/>
      <c r="R77"/>
    </row>
    <row r="78" spans="1:18" ht="15">
      <c r="A78" s="27" t="s">
        <v>57</v>
      </c>
      <c r="B78" s="15" t="s">
        <v>58</v>
      </c>
      <c r="C78" s="16"/>
      <c r="D78" s="17"/>
      <c r="E78" s="11"/>
      <c r="F78" s="11"/>
      <c r="G78" s="11"/>
      <c r="H78"/>
      <c r="I78"/>
      <c r="J78"/>
      <c r="K78"/>
      <c r="L78"/>
      <c r="M78"/>
      <c r="N78"/>
      <c r="O78"/>
      <c r="P78"/>
      <c r="Q78"/>
      <c r="R78"/>
    </row>
    <row r="79" spans="1:18" ht="15">
      <c r="A79" s="61"/>
      <c r="B79" s="21" t="s">
        <v>126</v>
      </c>
      <c r="C79" s="25"/>
      <c r="D79" s="20"/>
      <c r="E79" s="30">
        <v>30000000</v>
      </c>
      <c r="F79" s="22">
        <f>(E79*0.02)+E79</f>
        <v>30600000</v>
      </c>
      <c r="G79" s="22">
        <f>(F79*0.02)+F79</f>
        <v>31212000</v>
      </c>
      <c r="H79"/>
      <c r="I79"/>
      <c r="J79"/>
      <c r="K79"/>
      <c r="L79"/>
      <c r="M79"/>
      <c r="N79"/>
      <c r="O79"/>
      <c r="P79"/>
      <c r="Q79"/>
      <c r="R79"/>
    </row>
    <row r="80" spans="1:18" ht="15">
      <c r="A80" s="61"/>
      <c r="B80" s="21" t="s">
        <v>107</v>
      </c>
      <c r="C80" s="25"/>
      <c r="D80" s="20"/>
      <c r="E80" s="30">
        <v>5000000</v>
      </c>
      <c r="F80" s="22">
        <f>(E80*0.02)+E80</f>
        <v>5100000</v>
      </c>
      <c r="G80" s="22">
        <f>(F80*0.02)+F80</f>
        <v>5202000</v>
      </c>
      <c r="H80"/>
      <c r="I80"/>
      <c r="J80"/>
      <c r="K80"/>
      <c r="L80"/>
      <c r="M80"/>
      <c r="N80"/>
      <c r="O80"/>
      <c r="P80"/>
      <c r="Q80"/>
      <c r="R80"/>
    </row>
    <row r="81" spans="1:18" ht="15">
      <c r="A81" s="61"/>
      <c r="B81" s="21" t="s">
        <v>145</v>
      </c>
      <c r="C81" s="25"/>
      <c r="D81" s="20"/>
      <c r="E81" s="30">
        <v>0</v>
      </c>
      <c r="F81" s="22">
        <f>(E81*0.02)+E81</f>
        <v>0</v>
      </c>
      <c r="G81" s="22">
        <f>(F81*0.02)+F81</f>
        <v>0</v>
      </c>
      <c r="H81"/>
      <c r="I81"/>
      <c r="J81"/>
      <c r="K81"/>
      <c r="L81"/>
      <c r="M81"/>
      <c r="N81"/>
      <c r="O81"/>
      <c r="P81"/>
      <c r="Q81"/>
      <c r="R81"/>
    </row>
    <row r="82" spans="1:18" ht="15">
      <c r="A82" s="61"/>
      <c r="B82" s="21" t="s">
        <v>65</v>
      </c>
      <c r="C82" s="25"/>
      <c r="D82" s="20"/>
      <c r="E82" s="30">
        <v>1000000</v>
      </c>
      <c r="F82" s="22">
        <f>(E82*0.02)+E82</f>
        <v>1020000</v>
      </c>
      <c r="G82" s="22">
        <f>(F82*0.02)+F82</f>
        <v>1040400</v>
      </c>
      <c r="H82"/>
      <c r="I82"/>
      <c r="J82"/>
      <c r="K82"/>
      <c r="L82"/>
      <c r="M82"/>
      <c r="N82"/>
      <c r="O82"/>
      <c r="P82"/>
      <c r="Q82"/>
      <c r="R82"/>
    </row>
    <row r="83" spans="1:18" ht="15">
      <c r="A83" s="61"/>
      <c r="B83" s="16" t="s">
        <v>66</v>
      </c>
      <c r="C83" s="6"/>
      <c r="D83" s="17"/>
      <c r="E83" s="11">
        <v>1400000</v>
      </c>
      <c r="F83" s="22">
        <f>(E83*0.02)+E83</f>
        <v>1428000</v>
      </c>
      <c r="G83" s="22">
        <f>(F83*0.02)+F83</f>
        <v>1456560</v>
      </c>
      <c r="H83"/>
      <c r="I83"/>
      <c r="J83"/>
      <c r="K83"/>
      <c r="L83"/>
      <c r="M83"/>
      <c r="N83"/>
      <c r="O83"/>
      <c r="P83"/>
      <c r="Q83"/>
      <c r="R83"/>
    </row>
    <row r="84" spans="1:18" ht="15">
      <c r="A84" s="37"/>
      <c r="B84" s="38" t="s">
        <v>109</v>
      </c>
      <c r="C84" s="38"/>
      <c r="D84" s="36"/>
      <c r="E84" s="39">
        <f>SUM(E21:E83)</f>
        <v>5332368005</v>
      </c>
      <c r="F84" s="39">
        <f>SUM(F21:F83)</f>
        <v>5559745165.05</v>
      </c>
      <c r="G84" s="39">
        <f>SUM(G21:G83)</f>
        <v>5719085050.7005005</v>
      </c>
      <c r="H84"/>
      <c r="I84"/>
      <c r="J84"/>
      <c r="K84"/>
      <c r="L84"/>
      <c r="M84"/>
      <c r="N84"/>
      <c r="O84"/>
      <c r="P84"/>
      <c r="Q84"/>
      <c r="R84"/>
    </row>
    <row r="85" spans="1:18" ht="15">
      <c r="A85" s="7" t="s">
        <v>67</v>
      </c>
      <c r="B85" s="62" t="s">
        <v>68</v>
      </c>
      <c r="C85" s="45"/>
      <c r="D85" s="46"/>
      <c r="E85" s="40"/>
      <c r="F85" s="40"/>
      <c r="G85" s="40"/>
      <c r="H85"/>
      <c r="I85"/>
      <c r="J85"/>
      <c r="K85"/>
      <c r="L85"/>
      <c r="M85"/>
      <c r="N85"/>
      <c r="O85"/>
      <c r="P85"/>
      <c r="Q85"/>
      <c r="R85"/>
    </row>
    <row r="86" spans="1:18" ht="15">
      <c r="A86" s="27" t="s">
        <v>69</v>
      </c>
      <c r="B86" s="28" t="s">
        <v>70</v>
      </c>
      <c r="C86" s="21"/>
      <c r="D86" s="20"/>
      <c r="E86" s="22"/>
      <c r="F86" s="22"/>
      <c r="G86" s="22"/>
      <c r="H86"/>
      <c r="I86"/>
      <c r="J86"/>
      <c r="K86"/>
      <c r="L86"/>
      <c r="M86"/>
      <c r="N86"/>
      <c r="O86"/>
      <c r="P86"/>
      <c r="Q86"/>
      <c r="R86"/>
    </row>
    <row r="87" spans="1:18" ht="15">
      <c r="A87" s="27" t="s">
        <v>71</v>
      </c>
      <c r="B87" s="15" t="s">
        <v>72</v>
      </c>
      <c r="C87" s="16"/>
      <c r="D87" s="17"/>
      <c r="E87" s="63"/>
      <c r="F87" s="63"/>
      <c r="G87" s="63"/>
      <c r="H87"/>
      <c r="I87"/>
      <c r="J87"/>
      <c r="K87"/>
      <c r="L87"/>
      <c r="M87"/>
      <c r="N87"/>
      <c r="O87"/>
      <c r="P87"/>
      <c r="Q87"/>
      <c r="R87"/>
    </row>
    <row r="88" spans="1:18" ht="15">
      <c r="A88" s="61"/>
      <c r="B88" s="21" t="s">
        <v>73</v>
      </c>
      <c r="C88" s="25"/>
      <c r="D88" s="20"/>
      <c r="E88" s="90">
        <v>-2500000</v>
      </c>
      <c r="F88" s="90">
        <v>-2499999</v>
      </c>
      <c r="G88" s="90">
        <v>-2499998</v>
      </c>
      <c r="H88"/>
      <c r="I88"/>
      <c r="J88"/>
      <c r="K88"/>
      <c r="L88"/>
      <c r="M88"/>
      <c r="N88"/>
      <c r="O88"/>
      <c r="P88"/>
      <c r="Q88"/>
      <c r="R88"/>
    </row>
    <row r="89" spans="1:18" ht="15">
      <c r="A89" s="27" t="s">
        <v>76</v>
      </c>
      <c r="B89" s="15" t="s">
        <v>77</v>
      </c>
      <c r="C89" s="16"/>
      <c r="D89" s="17"/>
      <c r="E89" s="11"/>
      <c r="F89" s="11"/>
      <c r="G89" s="11"/>
      <c r="H89"/>
      <c r="I89"/>
      <c r="J89"/>
      <c r="K89"/>
      <c r="L89"/>
      <c r="M89"/>
      <c r="N89"/>
      <c r="O89"/>
      <c r="P89"/>
      <c r="Q89"/>
      <c r="R89"/>
    </row>
    <row r="90" spans="1:18" ht="15">
      <c r="A90" s="65"/>
      <c r="B90" s="21" t="s">
        <v>81</v>
      </c>
      <c r="C90" s="25"/>
      <c r="D90" s="20"/>
      <c r="E90" s="89">
        <f>2000000/12</f>
        <v>166666.66666666666</v>
      </c>
      <c r="F90" s="89">
        <f>2000000/12</f>
        <v>166666.66666666666</v>
      </c>
      <c r="G90" s="89">
        <f>2000000/12</f>
        <v>166666.66666666666</v>
      </c>
      <c r="H90"/>
      <c r="I90"/>
      <c r="J90"/>
      <c r="K90"/>
      <c r="L90"/>
      <c r="M90"/>
      <c r="N90"/>
      <c r="O90"/>
      <c r="P90"/>
      <c r="Q90"/>
      <c r="R90"/>
    </row>
    <row r="91" spans="1:18" ht="15">
      <c r="A91" s="37"/>
      <c r="B91" s="38" t="s">
        <v>109</v>
      </c>
      <c r="C91" s="38"/>
      <c r="D91" s="36"/>
      <c r="E91" s="88"/>
      <c r="F91" s="88"/>
      <c r="G91" s="88"/>
      <c r="H91"/>
      <c r="I91"/>
      <c r="J91"/>
      <c r="K91"/>
      <c r="L91"/>
      <c r="M91"/>
      <c r="N91"/>
      <c r="O91"/>
      <c r="P91"/>
      <c r="Q91"/>
      <c r="R91"/>
    </row>
    <row r="92" spans="1:18" ht="15">
      <c r="A92" s="44" t="s">
        <v>83</v>
      </c>
      <c r="B92" s="4" t="s">
        <v>84</v>
      </c>
      <c r="C92" s="45"/>
      <c r="D92" s="46"/>
      <c r="E92" s="66"/>
      <c r="F92" s="66"/>
      <c r="G92" s="66"/>
      <c r="H92"/>
      <c r="I92"/>
      <c r="J92"/>
      <c r="K92"/>
      <c r="L92"/>
      <c r="M92"/>
      <c r="N92"/>
      <c r="O92"/>
      <c r="P92"/>
      <c r="Q92"/>
      <c r="R92"/>
    </row>
    <row r="93" spans="1:18" ht="15">
      <c r="A93" s="68"/>
      <c r="B93" s="69"/>
      <c r="C93" s="70"/>
      <c r="D93" s="71"/>
      <c r="E93" s="72"/>
      <c r="F93" s="72"/>
      <c r="G93" s="72"/>
      <c r="H93"/>
      <c r="I93"/>
      <c r="J93"/>
      <c r="K93"/>
      <c r="L93"/>
      <c r="M93"/>
      <c r="N93"/>
      <c r="O93"/>
      <c r="P93"/>
      <c r="Q93"/>
      <c r="R93"/>
    </row>
    <row r="94" spans="1:18" ht="15">
      <c r="A94" s="37"/>
      <c r="B94" s="38" t="s">
        <v>109</v>
      </c>
      <c r="C94" s="38"/>
      <c r="D94" s="36"/>
      <c r="E94" s="39"/>
      <c r="F94" s="39"/>
      <c r="G94" s="39"/>
      <c r="H94"/>
      <c r="I94"/>
      <c r="J94"/>
      <c r="K94"/>
      <c r="L94"/>
      <c r="M94"/>
      <c r="N94"/>
      <c r="O94"/>
      <c r="P94"/>
      <c r="Q94"/>
      <c r="R94"/>
    </row>
    <row r="95" spans="1:18" ht="15">
      <c r="A95" s="7" t="s">
        <v>85</v>
      </c>
      <c r="B95" s="8" t="s">
        <v>86</v>
      </c>
      <c r="C95" s="9"/>
      <c r="D95" s="10"/>
      <c r="E95" s="67"/>
      <c r="F95" s="67"/>
      <c r="G95" s="67"/>
      <c r="H95"/>
      <c r="I95"/>
      <c r="J95"/>
      <c r="K95"/>
      <c r="L95"/>
      <c r="M95"/>
      <c r="N95"/>
      <c r="O95"/>
      <c r="P95"/>
      <c r="Q95"/>
      <c r="R95"/>
    </row>
    <row r="96" spans="1:18" ht="15">
      <c r="A96" s="27" t="s">
        <v>97</v>
      </c>
      <c r="B96" s="15" t="s">
        <v>98</v>
      </c>
      <c r="C96" s="16"/>
      <c r="D96" s="17"/>
      <c r="E96" s="32"/>
      <c r="F96" s="32"/>
      <c r="G96" s="32"/>
      <c r="H96"/>
      <c r="I96"/>
      <c r="J96"/>
      <c r="K96"/>
      <c r="L96"/>
      <c r="M96"/>
      <c r="N96"/>
      <c r="O96"/>
      <c r="P96"/>
      <c r="Q96"/>
      <c r="R96"/>
    </row>
    <row r="97" spans="1:18" ht="15">
      <c r="A97" s="34"/>
      <c r="B97" s="21" t="s">
        <v>99</v>
      </c>
      <c r="C97" s="25"/>
      <c r="D97" s="20"/>
      <c r="E97" s="29"/>
      <c r="F97" s="29"/>
      <c r="G97" s="29"/>
      <c r="H97"/>
      <c r="I97"/>
      <c r="J97"/>
      <c r="K97"/>
      <c r="L97"/>
      <c r="M97"/>
      <c r="N97"/>
      <c r="O97"/>
      <c r="P97"/>
      <c r="Q97"/>
      <c r="R97"/>
    </row>
    <row r="98" spans="1:18" ht="15">
      <c r="A98" s="59"/>
      <c r="B98" s="21" t="s">
        <v>100</v>
      </c>
      <c r="C98" s="25"/>
      <c r="D98" s="20"/>
      <c r="E98" s="30">
        <f>111550000+12370128+3506692</f>
        <v>127426820</v>
      </c>
      <c r="F98" s="22">
        <f>(E98*0.02)+E98</f>
        <v>129975356.4</v>
      </c>
      <c r="G98" s="22">
        <f>(F98*0.02)+F98</f>
        <v>132574863.52800001</v>
      </c>
      <c r="H98"/>
      <c r="I98"/>
      <c r="J98"/>
      <c r="K98"/>
      <c r="L98"/>
      <c r="M98"/>
      <c r="N98"/>
      <c r="O98"/>
      <c r="P98"/>
      <c r="Q98"/>
      <c r="R98"/>
    </row>
    <row r="99" spans="1:18" ht="15">
      <c r="A99" s="37"/>
      <c r="B99" s="38" t="s">
        <v>109</v>
      </c>
      <c r="C99" s="38"/>
      <c r="D99" s="36"/>
      <c r="E99" s="39">
        <f>SUM(E96:E98)</f>
        <v>127426820</v>
      </c>
      <c r="F99" s="39">
        <f>SUM(F96:F98)</f>
        <v>129975356.4</v>
      </c>
      <c r="G99" s="39">
        <f>SUM(G96:G98)</f>
        <v>132574863.52800001</v>
      </c>
      <c r="H99"/>
      <c r="I99"/>
      <c r="J99"/>
      <c r="K99"/>
      <c r="L99"/>
      <c r="M99"/>
      <c r="N99"/>
      <c r="O99"/>
      <c r="P99"/>
      <c r="Q99"/>
      <c r="R99"/>
    </row>
    <row r="100" spans="1:18" ht="15">
      <c r="A100" s="13"/>
      <c r="B100" s="75"/>
      <c r="C100" s="75"/>
      <c r="D100" s="75"/>
      <c r="E100" s="99"/>
      <c r="F100" s="100"/>
      <c r="G100" s="100"/>
      <c r="H100"/>
      <c r="I100"/>
      <c r="J100"/>
      <c r="K100"/>
      <c r="L100"/>
      <c r="M100"/>
      <c r="N100"/>
      <c r="O100"/>
      <c r="P100"/>
      <c r="Q100"/>
      <c r="R100"/>
    </row>
    <row r="101" spans="1:18" ht="15">
      <c r="A101" s="13"/>
      <c r="B101" s="76" t="s">
        <v>141</v>
      </c>
      <c r="C101" s="76"/>
      <c r="D101" s="75"/>
      <c r="E101" s="39">
        <f>E18</f>
        <v>5309929000</v>
      </c>
      <c r="F101" s="39">
        <f>F18</f>
        <v>5529612000</v>
      </c>
      <c r="G101" s="39">
        <f>G18</f>
        <v>5846558800</v>
      </c>
      <c r="H101"/>
      <c r="I101"/>
      <c r="J101"/>
      <c r="K101"/>
      <c r="L101"/>
      <c r="M101"/>
      <c r="N101"/>
      <c r="O101"/>
      <c r="P101"/>
      <c r="Q101"/>
      <c r="R101"/>
    </row>
    <row r="102" spans="1:18" ht="15">
      <c r="A102" s="49"/>
      <c r="B102" s="33"/>
      <c r="C102" s="78"/>
      <c r="D102" s="33"/>
      <c r="E102" s="33"/>
      <c r="F102" s="33"/>
      <c r="G102" s="33"/>
      <c r="H102"/>
      <c r="I102"/>
      <c r="J102"/>
      <c r="K102"/>
      <c r="L102"/>
      <c r="M102"/>
      <c r="N102"/>
      <c r="O102"/>
      <c r="P102"/>
      <c r="Q102"/>
      <c r="R102"/>
    </row>
    <row r="103" spans="1:18" ht="15">
      <c r="A103" s="49"/>
      <c r="B103" s="78" t="s">
        <v>180</v>
      </c>
      <c r="C103" s="78"/>
      <c r="D103" s="33"/>
      <c r="E103" s="77">
        <f>E84+E91+E94+E99</f>
        <v>5459794825</v>
      </c>
      <c r="F103" s="77">
        <f>F84+F91+F94+F99</f>
        <v>5689720521.45</v>
      </c>
      <c r="G103" s="77">
        <f>G84+G91+G94+G99</f>
        <v>5851659914.2285</v>
      </c>
      <c r="H103"/>
      <c r="I103"/>
      <c r="J103"/>
      <c r="K103"/>
      <c r="L103"/>
      <c r="M103"/>
      <c r="N103"/>
      <c r="O103"/>
      <c r="P103"/>
      <c r="Q103"/>
      <c r="R103"/>
    </row>
    <row r="104" spans="1:18" ht="15">
      <c r="A104" s="91"/>
      <c r="B104" s="42"/>
      <c r="C104" s="42"/>
      <c r="D104" s="41"/>
      <c r="E104" s="92"/>
      <c r="F104" s="92"/>
      <c r="G104" s="92"/>
      <c r="H104"/>
      <c r="I104"/>
      <c r="J104"/>
      <c r="K104"/>
      <c r="L104"/>
      <c r="M104"/>
      <c r="N104"/>
      <c r="O104"/>
      <c r="P104"/>
      <c r="Q104"/>
      <c r="R104"/>
    </row>
    <row r="105" spans="1:18" ht="15">
      <c r="A105" s="49"/>
      <c r="B105" s="76" t="s">
        <v>179</v>
      </c>
      <c r="C105" s="78"/>
      <c r="D105" s="33"/>
      <c r="E105" s="77"/>
      <c r="F105" s="77"/>
      <c r="G105" s="77"/>
      <c r="H105"/>
      <c r="I105"/>
      <c r="J105"/>
      <c r="K105"/>
      <c r="L105"/>
      <c r="M105"/>
      <c r="N105"/>
      <c r="O105"/>
      <c r="P105"/>
      <c r="Q105"/>
      <c r="R105"/>
    </row>
    <row r="106" spans="1:18" ht="15">
      <c r="A106" s="49"/>
      <c r="B106" s="33"/>
      <c r="C106" s="33"/>
      <c r="D106" s="33"/>
      <c r="E106" s="33"/>
      <c r="F106" s="33"/>
      <c r="G106" s="33"/>
      <c r="H106"/>
      <c r="I106"/>
      <c r="J106"/>
      <c r="K106"/>
      <c r="L106"/>
      <c r="M106"/>
      <c r="N106"/>
      <c r="O106"/>
      <c r="P106"/>
      <c r="Q106"/>
      <c r="R106"/>
    </row>
    <row r="107" spans="1:18" ht="15">
      <c r="A107" s="79" t="s">
        <v>142</v>
      </c>
      <c r="B107" s="25"/>
      <c r="C107" s="25"/>
      <c r="D107" s="25"/>
      <c r="E107" s="80">
        <f>E101-E103</f>
        <v>-149865825</v>
      </c>
      <c r="F107" s="80">
        <f>F101-F103</f>
        <v>-160108521.4499998</v>
      </c>
      <c r="G107" s="80">
        <f>G101-G103</f>
        <v>-5101114.228500366</v>
      </c>
      <c r="H107"/>
      <c r="I107"/>
      <c r="J107"/>
      <c r="K107"/>
      <c r="L107"/>
      <c r="M107"/>
      <c r="N107"/>
      <c r="O107"/>
      <c r="P107"/>
      <c r="Q107"/>
      <c r="R107"/>
    </row>
  </sheetData>
  <printOptions horizontalCentered="1" verticalCentered="1"/>
  <pageMargins left="0.78" right="0" top="0" bottom="0" header="0" footer="0"/>
  <pageSetup fitToHeight="2" fitToWidth="1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F10" sqref="F10"/>
    </sheetView>
  </sheetViews>
  <sheetFormatPr defaultColWidth="8.88671875" defaultRowHeight="15"/>
  <cols>
    <col min="1" max="1" width="5.21484375" style="1" customWidth="1"/>
    <col min="2" max="3" width="8.88671875" style="1" customWidth="1"/>
    <col min="4" max="4" width="11.99609375" style="1" customWidth="1"/>
    <col min="5" max="5" width="9.77734375" style="1" customWidth="1"/>
    <col min="6" max="6" width="11.10546875" style="1" customWidth="1"/>
    <col min="7" max="7" width="10.10546875" style="1" customWidth="1"/>
    <col min="8" max="8" width="8.88671875" style="1" customWidth="1"/>
    <col min="9" max="9" width="9.10546875" style="1" customWidth="1"/>
    <col min="10" max="10" width="10.21484375" style="1" customWidth="1"/>
    <col min="11" max="11" width="9.88671875" style="1" customWidth="1"/>
    <col min="12" max="12" width="10.10546875" style="1" customWidth="1"/>
    <col min="13" max="13" width="9.99609375" style="1" customWidth="1"/>
    <col min="14" max="14" width="9.4453125" style="1" customWidth="1"/>
    <col min="15" max="15" width="11.10546875" style="1" customWidth="1"/>
    <col min="16" max="16" width="9.99609375" style="1" customWidth="1"/>
    <col min="17" max="17" width="10.88671875" style="1" customWidth="1"/>
    <col min="18" max="18" width="12.77734375" style="1" customWidth="1"/>
  </cols>
  <sheetData>
    <row r="1" spans="1:17" ht="23.25">
      <c r="A1" s="93" t="s">
        <v>140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23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23.25">
      <c r="A3" s="5" t="s">
        <v>190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8.75">
      <c r="A4" s="6"/>
      <c r="B4" s="6"/>
      <c r="C4" s="6"/>
      <c r="D4" s="6"/>
      <c r="E4" s="96">
        <v>1999</v>
      </c>
      <c r="F4" s="96">
        <v>2000</v>
      </c>
      <c r="G4" s="96">
        <v>2001</v>
      </c>
      <c r="H4"/>
      <c r="I4"/>
      <c r="J4"/>
      <c r="K4"/>
      <c r="L4"/>
      <c r="M4"/>
      <c r="N4"/>
      <c r="O4"/>
      <c r="P4"/>
      <c r="Q4"/>
      <c r="R4"/>
    </row>
    <row r="5" spans="1:18" ht="15">
      <c r="A5" s="7" t="s">
        <v>1</v>
      </c>
      <c r="B5" s="84" t="s">
        <v>2</v>
      </c>
      <c r="C5" s="85"/>
      <c r="D5" s="86"/>
      <c r="E5" s="63"/>
      <c r="F5" s="63"/>
      <c r="G5" s="63"/>
      <c r="H5"/>
      <c r="I5"/>
      <c r="J5"/>
      <c r="K5"/>
      <c r="L5"/>
      <c r="M5"/>
      <c r="N5"/>
      <c r="O5"/>
      <c r="P5"/>
      <c r="Q5"/>
      <c r="R5"/>
    </row>
    <row r="6" spans="1:18" ht="15">
      <c r="A6" s="14" t="s">
        <v>150</v>
      </c>
      <c r="B6" s="83"/>
      <c r="C6" s="52"/>
      <c r="D6" s="32"/>
      <c r="E6" s="64"/>
      <c r="F6" s="64"/>
      <c r="G6" s="64"/>
      <c r="H6"/>
      <c r="I6"/>
      <c r="J6"/>
      <c r="K6"/>
      <c r="L6"/>
      <c r="M6"/>
      <c r="N6"/>
      <c r="O6"/>
      <c r="P6"/>
      <c r="Q6"/>
      <c r="R6"/>
    </row>
    <row r="7" spans="1:18" ht="15">
      <c r="A7" s="19" t="s">
        <v>128</v>
      </c>
      <c r="B7" s="21" t="s">
        <v>116</v>
      </c>
      <c r="C7" s="25"/>
      <c r="D7" s="81"/>
      <c r="E7" s="22">
        <v>20000000</v>
      </c>
      <c r="F7" s="22">
        <f>(E7*0.12)+E7</f>
        <v>22400000</v>
      </c>
      <c r="G7" s="22">
        <f>(F7*0.12)+F7</f>
        <v>25088000</v>
      </c>
      <c r="H7"/>
      <c r="I7"/>
      <c r="J7"/>
      <c r="K7"/>
      <c r="L7"/>
      <c r="M7"/>
      <c r="N7"/>
      <c r="O7"/>
      <c r="P7"/>
      <c r="Q7"/>
      <c r="R7"/>
    </row>
    <row r="8" spans="1:18" ht="15">
      <c r="A8" s="27" t="s">
        <v>154</v>
      </c>
      <c r="B8" s="28"/>
      <c r="C8" s="21"/>
      <c r="D8" s="20"/>
      <c r="E8" s="22"/>
      <c r="F8" s="22"/>
      <c r="G8" s="22"/>
      <c r="H8"/>
      <c r="I8"/>
      <c r="J8"/>
      <c r="K8"/>
      <c r="L8"/>
      <c r="M8"/>
      <c r="N8"/>
      <c r="O8"/>
      <c r="P8"/>
      <c r="Q8"/>
      <c r="R8"/>
    </row>
    <row r="9" spans="1:18" ht="15">
      <c r="A9" s="23" t="s">
        <v>3</v>
      </c>
      <c r="B9" s="31" t="s">
        <v>6</v>
      </c>
      <c r="C9" s="16"/>
      <c r="D9" s="17"/>
      <c r="E9" s="32"/>
      <c r="F9" s="32"/>
      <c r="G9" s="32"/>
      <c r="H9"/>
      <c r="I9"/>
      <c r="J9"/>
      <c r="K9"/>
      <c r="L9"/>
      <c r="M9"/>
      <c r="N9"/>
      <c r="O9"/>
      <c r="P9"/>
      <c r="Q9"/>
      <c r="R9"/>
    </row>
    <row r="10" spans="1:18" ht="15">
      <c r="A10" s="19"/>
      <c r="B10" s="21" t="s">
        <v>7</v>
      </c>
      <c r="C10" s="25"/>
      <c r="D10" s="20"/>
      <c r="E10" s="22">
        <v>83333333</v>
      </c>
      <c r="F10" s="22">
        <f>(E10*0.12)+E10</f>
        <v>93333332.96</v>
      </c>
      <c r="G10" s="22">
        <f>(F10*0.12)+F10</f>
        <v>104533332.9152</v>
      </c>
      <c r="H10"/>
      <c r="I10"/>
      <c r="J10"/>
      <c r="K10"/>
      <c r="L10"/>
      <c r="M10"/>
      <c r="N10"/>
      <c r="O10"/>
      <c r="P10"/>
      <c r="Q10"/>
      <c r="R10"/>
    </row>
    <row r="11" spans="1:18" ht="15">
      <c r="A11" s="37"/>
      <c r="B11" s="38" t="s">
        <v>109</v>
      </c>
      <c r="C11" s="38"/>
      <c r="D11" s="36"/>
      <c r="E11" s="39">
        <f>SUM(E7:E10)</f>
        <v>103333333</v>
      </c>
      <c r="F11" s="39">
        <f>SUM(F7:F10)</f>
        <v>115733332.96</v>
      </c>
      <c r="G11" s="39">
        <f>SUM(G7:G10)</f>
        <v>129621332.9152</v>
      </c>
      <c r="H11"/>
      <c r="I11"/>
      <c r="J11"/>
      <c r="K11"/>
      <c r="L11"/>
      <c r="M11"/>
      <c r="N11"/>
      <c r="O11"/>
      <c r="P11"/>
      <c r="Q11"/>
      <c r="R11"/>
    </row>
    <row r="12" spans="1:18" ht="15">
      <c r="A12" s="44" t="s">
        <v>11</v>
      </c>
      <c r="B12" s="4" t="s">
        <v>12</v>
      </c>
      <c r="C12" s="45"/>
      <c r="D12" s="46"/>
      <c r="E12" s="40"/>
      <c r="F12" s="40"/>
      <c r="G12" s="40"/>
      <c r="H12"/>
      <c r="I12"/>
      <c r="J12"/>
      <c r="K12"/>
      <c r="L12"/>
      <c r="M12"/>
      <c r="N12"/>
      <c r="O12"/>
      <c r="P12"/>
      <c r="Q12"/>
      <c r="R12"/>
    </row>
    <row r="13" spans="1:18" ht="15">
      <c r="A13" s="27" t="s">
        <v>155</v>
      </c>
      <c r="B13" s="15"/>
      <c r="C13" s="16"/>
      <c r="D13" s="17"/>
      <c r="E13" s="12"/>
      <c r="F13" s="12"/>
      <c r="G13" s="12"/>
      <c r="H13"/>
      <c r="I13"/>
      <c r="J13"/>
      <c r="K13"/>
      <c r="L13"/>
      <c r="M13"/>
      <c r="N13"/>
      <c r="O13"/>
      <c r="P13"/>
      <c r="Q13"/>
      <c r="R13"/>
    </row>
    <row r="14" spans="1:18" ht="15">
      <c r="A14" s="34"/>
      <c r="B14" s="21" t="s">
        <v>167</v>
      </c>
      <c r="C14" s="25"/>
      <c r="D14" s="20"/>
      <c r="E14" s="37">
        <v>3000000</v>
      </c>
      <c r="F14" s="22">
        <f>(E14*0.05)+E14</f>
        <v>3150000</v>
      </c>
      <c r="G14" s="22">
        <f>(F14*0.05)+F14</f>
        <v>3307500</v>
      </c>
      <c r="H14"/>
      <c r="I14"/>
      <c r="J14"/>
      <c r="K14"/>
      <c r="L14"/>
      <c r="M14"/>
      <c r="N14"/>
      <c r="O14"/>
      <c r="P14"/>
      <c r="Q14"/>
      <c r="R14"/>
    </row>
    <row r="15" spans="1:18" ht="15">
      <c r="A15" s="34"/>
      <c r="B15" s="21" t="s">
        <v>174</v>
      </c>
      <c r="C15" s="25"/>
      <c r="D15" s="20"/>
      <c r="E15" s="50">
        <v>2300000</v>
      </c>
      <c r="F15" s="22">
        <f>(E15*0.05)+E15</f>
        <v>2415000</v>
      </c>
      <c r="G15" s="22">
        <f>(F15*0.05)+F15</f>
        <v>2535750</v>
      </c>
      <c r="H15"/>
      <c r="I15"/>
      <c r="J15"/>
      <c r="K15"/>
      <c r="L15"/>
      <c r="M15"/>
      <c r="N15"/>
      <c r="O15"/>
      <c r="P15"/>
      <c r="Q15"/>
      <c r="R15"/>
    </row>
    <row r="16" spans="1:18" ht="15">
      <c r="A16" s="34"/>
      <c r="B16" s="21" t="s">
        <v>117</v>
      </c>
      <c r="C16" s="25"/>
      <c r="D16" s="20"/>
      <c r="E16" s="50">
        <v>1000000</v>
      </c>
      <c r="F16" s="22">
        <f>(E16*0.05)+E16</f>
        <v>1050000</v>
      </c>
      <c r="G16" s="22">
        <f>(F16*0.05)+F16</f>
        <v>1102500</v>
      </c>
      <c r="H16"/>
      <c r="I16"/>
      <c r="J16"/>
      <c r="K16"/>
      <c r="L16"/>
      <c r="M16"/>
      <c r="N16"/>
      <c r="O16"/>
      <c r="P16"/>
      <c r="Q16"/>
      <c r="R16"/>
    </row>
    <row r="17" spans="1:18" ht="15">
      <c r="A17" s="27" t="s">
        <v>159</v>
      </c>
      <c r="B17" s="15"/>
      <c r="C17" s="16"/>
      <c r="D17" s="17"/>
      <c r="E17" s="12"/>
      <c r="F17" s="12"/>
      <c r="G17" s="12"/>
      <c r="H17"/>
      <c r="I17"/>
      <c r="J17"/>
      <c r="K17"/>
      <c r="L17"/>
      <c r="M17"/>
      <c r="N17"/>
      <c r="O17"/>
      <c r="P17"/>
      <c r="Q17"/>
      <c r="R17"/>
    </row>
    <row r="18" spans="1:18" ht="15">
      <c r="A18" s="34"/>
      <c r="B18" s="21" t="s">
        <v>20</v>
      </c>
      <c r="C18" s="25"/>
      <c r="D18" s="20"/>
      <c r="E18" s="50">
        <v>8000000</v>
      </c>
      <c r="F18" s="22">
        <f>(E18*0.05)+E18</f>
        <v>8400000</v>
      </c>
      <c r="G18" s="22">
        <f>(F18*0.05)+F18</f>
        <v>8820000</v>
      </c>
      <c r="H18"/>
      <c r="I18"/>
      <c r="J18"/>
      <c r="K18"/>
      <c r="L18"/>
      <c r="M18"/>
      <c r="N18"/>
      <c r="O18"/>
      <c r="P18"/>
      <c r="Q18"/>
      <c r="R18"/>
    </row>
    <row r="19" spans="1:18" ht="15">
      <c r="A19" s="34"/>
      <c r="B19" s="21" t="s">
        <v>23</v>
      </c>
      <c r="C19" s="25"/>
      <c r="D19" s="20"/>
      <c r="E19" s="50">
        <v>693000</v>
      </c>
      <c r="F19" s="22">
        <f>(E19*0.05)+E19</f>
        <v>727650</v>
      </c>
      <c r="G19" s="22">
        <f>(F19*0.05)+F19</f>
        <v>764032.5</v>
      </c>
      <c r="H19"/>
      <c r="I19"/>
      <c r="J19"/>
      <c r="K19"/>
      <c r="L19"/>
      <c r="M19"/>
      <c r="N19"/>
      <c r="O19"/>
      <c r="P19"/>
      <c r="Q19"/>
      <c r="R19"/>
    </row>
    <row r="20" spans="1:18" ht="15">
      <c r="A20" s="34"/>
      <c r="B20" s="21" t="s">
        <v>24</v>
      </c>
      <c r="C20" s="25"/>
      <c r="D20" s="20"/>
      <c r="E20" s="50">
        <v>374000</v>
      </c>
      <c r="F20" s="22">
        <f>(E20*0.05)+E20</f>
        <v>392700</v>
      </c>
      <c r="G20" s="22">
        <f>(F20*0.05)+F20</f>
        <v>412335</v>
      </c>
      <c r="H20"/>
      <c r="I20"/>
      <c r="J20"/>
      <c r="K20"/>
      <c r="L20"/>
      <c r="M20"/>
      <c r="N20"/>
      <c r="O20"/>
      <c r="P20"/>
      <c r="Q20"/>
      <c r="R20"/>
    </row>
    <row r="21" spans="1:18" ht="15">
      <c r="A21" s="34"/>
      <c r="B21" s="21" t="s">
        <v>119</v>
      </c>
      <c r="C21" s="25"/>
      <c r="D21" s="20"/>
      <c r="E21" s="50">
        <v>2000000</v>
      </c>
      <c r="F21" s="22">
        <f>(E21*0.05)+E21</f>
        <v>2100000</v>
      </c>
      <c r="G21" s="22">
        <f>(F21*0.05)+F21</f>
        <v>2205000</v>
      </c>
      <c r="H21"/>
      <c r="I21"/>
      <c r="J21"/>
      <c r="K21"/>
      <c r="L21"/>
      <c r="M21"/>
      <c r="N21"/>
      <c r="O21"/>
      <c r="P21"/>
      <c r="Q21"/>
      <c r="R21"/>
    </row>
    <row r="22" spans="1:18" ht="15">
      <c r="A22" s="34"/>
      <c r="B22" s="21" t="s">
        <v>120</v>
      </c>
      <c r="C22" s="25"/>
      <c r="D22" s="20"/>
      <c r="E22" s="50">
        <v>2000000</v>
      </c>
      <c r="F22" s="22">
        <f>(E22*0.05)+E22</f>
        <v>2100000</v>
      </c>
      <c r="G22" s="22">
        <f>(F22*0.05)+F22</f>
        <v>2205000</v>
      </c>
      <c r="H22"/>
      <c r="I22"/>
      <c r="J22"/>
      <c r="K22"/>
      <c r="L22"/>
      <c r="M22"/>
      <c r="N22"/>
      <c r="O22"/>
      <c r="P22"/>
      <c r="Q22"/>
      <c r="R22"/>
    </row>
    <row r="23" spans="1:18" ht="15">
      <c r="A23" s="34"/>
      <c r="B23" s="21" t="s">
        <v>27</v>
      </c>
      <c r="C23" s="25"/>
      <c r="D23" s="20"/>
      <c r="E23" s="50">
        <v>5000000</v>
      </c>
      <c r="F23" s="22">
        <f>(E23*0.05)+E23</f>
        <v>5250000</v>
      </c>
      <c r="G23" s="22">
        <f>(F23*0.05)+F23</f>
        <v>5512500</v>
      </c>
      <c r="H23"/>
      <c r="I23"/>
      <c r="J23"/>
      <c r="K23"/>
      <c r="L23"/>
      <c r="M23"/>
      <c r="N23"/>
      <c r="O23"/>
      <c r="P23"/>
      <c r="Q23"/>
      <c r="R23"/>
    </row>
    <row r="24" spans="1:18" ht="15">
      <c r="A24" s="34"/>
      <c r="B24" s="21" t="s">
        <v>144</v>
      </c>
      <c r="C24" s="25"/>
      <c r="D24" s="20"/>
      <c r="E24" s="50">
        <v>30000000</v>
      </c>
      <c r="F24" s="22">
        <f>(E24*0.05)+E24</f>
        <v>31500000</v>
      </c>
      <c r="G24" s="22">
        <f>(F24*0.05)+F24</f>
        <v>33075000</v>
      </c>
      <c r="H24"/>
      <c r="I24"/>
      <c r="J24"/>
      <c r="K24"/>
      <c r="L24"/>
      <c r="M24"/>
      <c r="N24"/>
      <c r="O24"/>
      <c r="P24"/>
      <c r="Q24"/>
      <c r="R24"/>
    </row>
    <row r="25" spans="1:18" ht="15">
      <c r="A25" s="34"/>
      <c r="B25" s="21" t="s">
        <v>32</v>
      </c>
      <c r="C25" s="25"/>
      <c r="D25" s="20"/>
      <c r="E25" s="50">
        <v>5000000</v>
      </c>
      <c r="F25" s="22">
        <f>(E25*0.05)+E25</f>
        <v>5250000</v>
      </c>
      <c r="G25" s="22">
        <f>(F25*0.05)+F25</f>
        <v>5512500</v>
      </c>
      <c r="H25"/>
      <c r="I25"/>
      <c r="J25"/>
      <c r="K25"/>
      <c r="L25"/>
      <c r="M25"/>
      <c r="N25"/>
      <c r="O25"/>
      <c r="P25"/>
      <c r="Q25"/>
      <c r="R25"/>
    </row>
    <row r="26" spans="1:18" ht="15">
      <c r="A26" s="34"/>
      <c r="B26" s="21" t="s">
        <v>122</v>
      </c>
      <c r="C26" s="25"/>
      <c r="D26" s="20"/>
      <c r="E26" s="50">
        <v>1000000</v>
      </c>
      <c r="F26" s="22">
        <f>(E26*0.05)+E26</f>
        <v>1050000</v>
      </c>
      <c r="G26" s="22">
        <f>(F26*0.05)+F26</f>
        <v>1102500</v>
      </c>
      <c r="H26"/>
      <c r="I26"/>
      <c r="J26"/>
      <c r="K26"/>
      <c r="L26"/>
      <c r="M26"/>
      <c r="N26"/>
      <c r="O26"/>
      <c r="P26"/>
      <c r="Q26"/>
      <c r="R26"/>
    </row>
    <row r="27" spans="1:18" ht="15">
      <c r="A27" s="60" t="s">
        <v>160</v>
      </c>
      <c r="B27" s="15"/>
      <c r="C27" s="16"/>
      <c r="D27" s="17"/>
      <c r="E27" s="22"/>
      <c r="F27" s="22"/>
      <c r="G27" s="22"/>
      <c r="H27"/>
      <c r="I27"/>
      <c r="J27"/>
      <c r="K27"/>
      <c r="L27"/>
      <c r="M27"/>
      <c r="N27"/>
      <c r="O27"/>
      <c r="P27"/>
      <c r="Q27"/>
      <c r="R27"/>
    </row>
    <row r="28" spans="1:18" ht="15">
      <c r="A28" s="34"/>
      <c r="B28" s="21" t="s">
        <v>123</v>
      </c>
      <c r="C28" s="25"/>
      <c r="D28" s="20"/>
      <c r="E28" s="50">
        <v>20000000</v>
      </c>
      <c r="F28" s="22">
        <f>(E28*0.05)+E28</f>
        <v>21000000</v>
      </c>
      <c r="G28" s="22">
        <f>(F28*0.05)+F28</f>
        <v>22050000</v>
      </c>
      <c r="H28"/>
      <c r="I28"/>
      <c r="J28"/>
      <c r="K28"/>
      <c r="L28"/>
      <c r="M28"/>
      <c r="N28"/>
      <c r="O28"/>
      <c r="P28"/>
      <c r="Q28"/>
      <c r="R28"/>
    </row>
    <row r="29" spans="1:18" ht="15">
      <c r="A29" s="27" t="s">
        <v>161</v>
      </c>
      <c r="B29" s="15"/>
      <c r="C29" s="16"/>
      <c r="D29" s="17"/>
      <c r="E29" s="12"/>
      <c r="F29" s="12"/>
      <c r="G29" s="12"/>
      <c r="H29"/>
      <c r="I29"/>
      <c r="J29"/>
      <c r="K29"/>
      <c r="L29"/>
      <c r="M29"/>
      <c r="N29"/>
      <c r="O29"/>
      <c r="P29"/>
      <c r="Q29"/>
      <c r="R29"/>
    </row>
    <row r="30" spans="1:18" ht="15">
      <c r="A30" s="34"/>
      <c r="B30" s="21" t="s">
        <v>39</v>
      </c>
      <c r="C30" s="25"/>
      <c r="D30" s="20"/>
      <c r="E30" s="54">
        <v>15995510</v>
      </c>
      <c r="F30" s="22">
        <f>(E30*0.01)+E30</f>
        <v>16155465.1</v>
      </c>
      <c r="G30" s="22">
        <f>(F30*0.01)+F30</f>
        <v>16317019.751</v>
      </c>
      <c r="H30"/>
      <c r="I30"/>
      <c r="J30"/>
      <c r="K30"/>
      <c r="L30"/>
      <c r="M30"/>
      <c r="N30"/>
      <c r="O30"/>
      <c r="P30"/>
      <c r="Q30"/>
      <c r="R30"/>
    </row>
    <row r="31" spans="1:18" ht="15">
      <c r="A31" s="34"/>
      <c r="B31" s="21" t="s">
        <v>103</v>
      </c>
      <c r="C31" s="25"/>
      <c r="D31" s="20"/>
      <c r="E31" s="50">
        <v>4361016</v>
      </c>
      <c r="F31" s="22">
        <f>(E31*0.01)+E31</f>
        <v>4404626.16</v>
      </c>
      <c r="G31" s="22">
        <f>(F31*0.01)+F31</f>
        <v>4448672.4216</v>
      </c>
      <c r="H31"/>
      <c r="I31"/>
      <c r="J31"/>
      <c r="K31"/>
      <c r="L31"/>
      <c r="M31"/>
      <c r="N31"/>
      <c r="O31"/>
      <c r="P31"/>
      <c r="Q31"/>
      <c r="R31"/>
    </row>
    <row r="32" spans="1:18" ht="15">
      <c r="A32" s="34"/>
      <c r="B32" s="21" t="s">
        <v>40</v>
      </c>
      <c r="C32" s="25"/>
      <c r="D32" s="20"/>
      <c r="E32" s="50">
        <v>1298693</v>
      </c>
      <c r="F32" s="22">
        <f>(E32*0.01)+E32</f>
        <v>1311679.93</v>
      </c>
      <c r="G32" s="22">
        <f>(F32*0.01)+F32</f>
        <v>1324796.7293</v>
      </c>
      <c r="H32"/>
      <c r="I32"/>
      <c r="J32"/>
      <c r="K32"/>
      <c r="L32"/>
      <c r="M32"/>
      <c r="N32"/>
      <c r="O32"/>
      <c r="P32"/>
      <c r="Q32"/>
      <c r="R32"/>
    </row>
    <row r="33" spans="1:18" ht="15">
      <c r="A33" s="34"/>
      <c r="B33" s="21" t="s">
        <v>41</v>
      </c>
      <c r="C33" s="25"/>
      <c r="D33" s="20"/>
      <c r="E33" s="50">
        <v>375000</v>
      </c>
      <c r="F33" s="22">
        <f>(E33*0.01)+E33</f>
        <v>378750</v>
      </c>
      <c r="G33" s="22">
        <f>(F33*0.01)+F33</f>
        <v>382537.5</v>
      </c>
      <c r="H33"/>
      <c r="I33"/>
      <c r="J33"/>
      <c r="K33"/>
      <c r="L33"/>
      <c r="M33"/>
      <c r="N33"/>
      <c r="O33"/>
      <c r="P33"/>
      <c r="Q33"/>
      <c r="R33"/>
    </row>
    <row r="34" spans="1:18" ht="15">
      <c r="A34" s="34"/>
      <c r="B34" s="21" t="s">
        <v>42</v>
      </c>
      <c r="C34" s="25"/>
      <c r="D34" s="20"/>
      <c r="E34" s="50"/>
      <c r="F34" s="50"/>
      <c r="G34" s="50"/>
      <c r="H34"/>
      <c r="I34"/>
      <c r="J34"/>
      <c r="K34"/>
      <c r="L34"/>
      <c r="M34"/>
      <c r="N34"/>
      <c r="O34"/>
      <c r="P34"/>
      <c r="Q34"/>
      <c r="R34"/>
    </row>
    <row r="35" spans="1:18" ht="15">
      <c r="A35" s="34"/>
      <c r="B35" s="21" t="s">
        <v>43</v>
      </c>
      <c r="C35" s="25"/>
      <c r="D35" s="20"/>
      <c r="E35" s="50">
        <v>0</v>
      </c>
      <c r="F35" s="50"/>
      <c r="G35" s="50"/>
      <c r="H35"/>
      <c r="I35"/>
      <c r="J35"/>
      <c r="K35"/>
      <c r="L35"/>
      <c r="M35"/>
      <c r="N35"/>
      <c r="O35"/>
      <c r="P35"/>
      <c r="Q35"/>
      <c r="R35"/>
    </row>
    <row r="36" spans="1:18" ht="15">
      <c r="A36" s="27" t="s">
        <v>57</v>
      </c>
      <c r="B36" s="15" t="s">
        <v>58</v>
      </c>
      <c r="C36" s="16"/>
      <c r="D36" s="17"/>
      <c r="E36" s="12"/>
      <c r="F36" s="12"/>
      <c r="G36" s="12"/>
      <c r="H36"/>
      <c r="I36"/>
      <c r="J36"/>
      <c r="K36"/>
      <c r="L36"/>
      <c r="M36"/>
      <c r="N36"/>
      <c r="O36"/>
      <c r="P36"/>
      <c r="Q36"/>
      <c r="R36"/>
    </row>
    <row r="37" spans="1:18" ht="15">
      <c r="A37" s="61"/>
      <c r="B37" s="21" t="s">
        <v>145</v>
      </c>
      <c r="C37" s="25"/>
      <c r="D37" s="20"/>
      <c r="E37" s="50">
        <v>10000000</v>
      </c>
      <c r="F37" s="22">
        <f>(E37*0.02)+E37</f>
        <v>10200000</v>
      </c>
      <c r="G37" s="22">
        <f>(F37*0.02)+F37</f>
        <v>10404000</v>
      </c>
      <c r="H37"/>
      <c r="I37"/>
      <c r="J37"/>
      <c r="K37"/>
      <c r="L37"/>
      <c r="M37"/>
      <c r="N37"/>
      <c r="O37"/>
      <c r="P37"/>
      <c r="Q37"/>
      <c r="R37"/>
    </row>
    <row r="38" spans="1:18" ht="15">
      <c r="A38" s="37"/>
      <c r="B38" s="38" t="s">
        <v>109</v>
      </c>
      <c r="C38" s="38"/>
      <c r="D38" s="36"/>
      <c r="E38" s="39">
        <f>SUM(E14:E37)</f>
        <v>112397219</v>
      </c>
      <c r="F38" s="39">
        <f>SUM(F14:F37)</f>
        <v>116835871.19</v>
      </c>
      <c r="G38" s="39">
        <f>SUM(G14:G37)</f>
        <v>121481643.90190001</v>
      </c>
      <c r="H38"/>
      <c r="I38"/>
      <c r="J38"/>
      <c r="K38"/>
      <c r="L38"/>
      <c r="M38"/>
      <c r="N38"/>
      <c r="O38"/>
      <c r="P38"/>
      <c r="Q38"/>
      <c r="R38"/>
    </row>
    <row r="39" spans="1:18" ht="15">
      <c r="A39" s="7" t="s">
        <v>67</v>
      </c>
      <c r="B39" s="62" t="s">
        <v>68</v>
      </c>
      <c r="C39" s="45"/>
      <c r="D39" s="46"/>
      <c r="E39" s="40"/>
      <c r="F39" s="40"/>
      <c r="G39" s="40"/>
      <c r="H39"/>
      <c r="I39"/>
      <c r="J39"/>
      <c r="K39"/>
      <c r="L39"/>
      <c r="M39"/>
      <c r="N39"/>
      <c r="O39"/>
      <c r="P39"/>
      <c r="Q39"/>
      <c r="R39"/>
    </row>
    <row r="40" spans="1:18" ht="15">
      <c r="A40" s="27" t="s">
        <v>71</v>
      </c>
      <c r="B40" s="15" t="s">
        <v>72</v>
      </c>
      <c r="C40" s="16"/>
      <c r="D40" s="17"/>
      <c r="E40" s="63"/>
      <c r="F40" s="63"/>
      <c r="G40" s="63"/>
      <c r="H40"/>
      <c r="I40"/>
      <c r="J40"/>
      <c r="K40"/>
      <c r="L40"/>
      <c r="M40"/>
      <c r="N40"/>
      <c r="O40"/>
      <c r="P40"/>
      <c r="Q40"/>
      <c r="R40"/>
    </row>
    <row r="41" spans="1:18" ht="15">
      <c r="A41" s="61"/>
      <c r="B41" s="21" t="s">
        <v>73</v>
      </c>
      <c r="C41" s="25"/>
      <c r="D41" s="20"/>
      <c r="E41" s="90">
        <v>-2500000</v>
      </c>
      <c r="F41" s="90"/>
      <c r="G41" s="90"/>
      <c r="H41"/>
      <c r="I41"/>
      <c r="J41"/>
      <c r="K41"/>
      <c r="L41"/>
      <c r="M41"/>
      <c r="N41"/>
      <c r="O41"/>
      <c r="P41"/>
      <c r="Q41"/>
      <c r="R41"/>
    </row>
    <row r="42" spans="1:18" ht="15">
      <c r="A42" s="27" t="s">
        <v>76</v>
      </c>
      <c r="B42" s="15" t="s">
        <v>77</v>
      </c>
      <c r="C42" s="16"/>
      <c r="D42" s="17"/>
      <c r="E42" s="11"/>
      <c r="F42" s="11"/>
      <c r="G42" s="11"/>
      <c r="H42"/>
      <c r="I42"/>
      <c r="J42"/>
      <c r="K42"/>
      <c r="L42"/>
      <c r="M42"/>
      <c r="N42"/>
      <c r="O42"/>
      <c r="P42"/>
      <c r="Q42"/>
      <c r="R42"/>
    </row>
    <row r="43" spans="1:18" ht="15">
      <c r="A43" s="65"/>
      <c r="B43" s="21" t="s">
        <v>81</v>
      </c>
      <c r="C43" s="25"/>
      <c r="D43" s="20"/>
      <c r="E43" s="89">
        <f>2000000/12</f>
        <v>166666.66666666666</v>
      </c>
      <c r="F43" s="89"/>
      <c r="G43" s="89"/>
      <c r="H43"/>
      <c r="I43"/>
      <c r="J43"/>
      <c r="K43"/>
      <c r="L43"/>
      <c r="M43"/>
      <c r="N43"/>
      <c r="O43"/>
      <c r="P43"/>
      <c r="Q43"/>
      <c r="R43"/>
    </row>
    <row r="44" spans="1:18" ht="15">
      <c r="A44" s="37"/>
      <c r="B44" s="38" t="s">
        <v>109</v>
      </c>
      <c r="C44" s="38"/>
      <c r="D44" s="36"/>
      <c r="E44" s="88"/>
      <c r="F44" s="88"/>
      <c r="G44" s="88"/>
      <c r="H44"/>
      <c r="I44"/>
      <c r="J44"/>
      <c r="K44"/>
      <c r="L44"/>
      <c r="M44"/>
      <c r="N44"/>
      <c r="O44"/>
      <c r="P44"/>
      <c r="Q44"/>
      <c r="R44"/>
    </row>
    <row r="45" spans="1:18" ht="15">
      <c r="A45" s="44" t="s">
        <v>83</v>
      </c>
      <c r="B45" s="4" t="s">
        <v>84</v>
      </c>
      <c r="C45" s="45"/>
      <c r="D45" s="46"/>
      <c r="E45" s="67"/>
      <c r="F45" s="67"/>
      <c r="G45" s="67"/>
      <c r="H45"/>
      <c r="I45"/>
      <c r="J45"/>
      <c r="K45"/>
      <c r="L45"/>
      <c r="M45"/>
      <c r="N45"/>
      <c r="O45"/>
      <c r="P45"/>
      <c r="Q45"/>
      <c r="R45"/>
    </row>
    <row r="46" spans="1:18" ht="15">
      <c r="A46" s="68"/>
      <c r="B46" s="69"/>
      <c r="C46" s="70"/>
      <c r="D46" s="71"/>
      <c r="E46" s="73"/>
      <c r="F46" s="73"/>
      <c r="G46" s="73"/>
      <c r="H46"/>
      <c r="I46"/>
      <c r="J46"/>
      <c r="K46"/>
      <c r="L46"/>
      <c r="M46"/>
      <c r="N46"/>
      <c r="O46"/>
      <c r="P46"/>
      <c r="Q46"/>
      <c r="R46"/>
    </row>
    <row r="47" spans="1:18" ht="15">
      <c r="A47" s="37"/>
      <c r="B47" s="38" t="s">
        <v>109</v>
      </c>
      <c r="C47" s="38"/>
      <c r="D47" s="36"/>
      <c r="E47" s="39"/>
      <c r="F47" s="39"/>
      <c r="G47" s="39"/>
      <c r="H47"/>
      <c r="I47"/>
      <c r="J47"/>
      <c r="K47"/>
      <c r="L47"/>
      <c r="M47"/>
      <c r="N47"/>
      <c r="O47"/>
      <c r="P47"/>
      <c r="Q47"/>
      <c r="R47"/>
    </row>
    <row r="48" spans="1:18" ht="15">
      <c r="A48" s="7" t="s">
        <v>85</v>
      </c>
      <c r="B48" s="8" t="s">
        <v>86</v>
      </c>
      <c r="C48" s="9"/>
      <c r="D48" s="10"/>
      <c r="E48" s="67"/>
      <c r="F48" s="67"/>
      <c r="G48" s="67"/>
      <c r="H48"/>
      <c r="I48"/>
      <c r="J48"/>
      <c r="K48"/>
      <c r="L48"/>
      <c r="M48"/>
      <c r="N48"/>
      <c r="O48"/>
      <c r="P48"/>
      <c r="Q48"/>
      <c r="R48"/>
    </row>
    <row r="49" spans="1:18" ht="15">
      <c r="A49" s="27" t="s">
        <v>97</v>
      </c>
      <c r="B49" s="15" t="s">
        <v>98</v>
      </c>
      <c r="C49" s="16"/>
      <c r="D49" s="17"/>
      <c r="E49" s="32"/>
      <c r="F49" s="32"/>
      <c r="G49" s="32"/>
      <c r="H49"/>
      <c r="I49"/>
      <c r="J49"/>
      <c r="K49"/>
      <c r="L49"/>
      <c r="M49"/>
      <c r="N49"/>
      <c r="O49"/>
      <c r="P49"/>
      <c r="Q49"/>
      <c r="R49"/>
    </row>
    <row r="50" spans="1:18" ht="15">
      <c r="A50" s="59"/>
      <c r="B50" s="21" t="s">
        <v>100</v>
      </c>
      <c r="C50" s="25"/>
      <c r="D50" s="20"/>
      <c r="E50" s="30">
        <v>922678</v>
      </c>
      <c r="F50" s="22">
        <f>(E50*0.01)+E50</f>
        <v>931904.78</v>
      </c>
      <c r="G50" s="22">
        <f>(F50*0.01)+F50</f>
        <v>941223.8278000001</v>
      </c>
      <c r="H50"/>
      <c r="I50"/>
      <c r="J50"/>
      <c r="K50"/>
      <c r="L50"/>
      <c r="M50"/>
      <c r="N50"/>
      <c r="O50"/>
      <c r="P50"/>
      <c r="Q50"/>
      <c r="R50"/>
    </row>
    <row r="51" spans="1:18" ht="15">
      <c r="A51" s="37"/>
      <c r="B51" s="38" t="s">
        <v>109</v>
      </c>
      <c r="C51" s="38"/>
      <c r="D51" s="36"/>
      <c r="E51" s="39">
        <f>SUM(E49:E50)</f>
        <v>922678</v>
      </c>
      <c r="F51" s="39">
        <f>SUM(F49:F50)</f>
        <v>931904.78</v>
      </c>
      <c r="G51" s="39">
        <f>SUM(G49:G50)</f>
        <v>941223.8278000001</v>
      </c>
      <c r="H51"/>
      <c r="I51"/>
      <c r="J51"/>
      <c r="K51"/>
      <c r="L51"/>
      <c r="M51"/>
      <c r="N51"/>
      <c r="O51"/>
      <c r="P51"/>
      <c r="Q51"/>
      <c r="R51"/>
    </row>
    <row r="52" spans="1:18" ht="15">
      <c r="A52" s="13"/>
      <c r="B52" s="75"/>
      <c r="C52" s="75"/>
      <c r="D52" s="75"/>
      <c r="E52" s="75"/>
      <c r="F52" s="75"/>
      <c r="G52" s="75"/>
      <c r="H52"/>
      <c r="I52"/>
      <c r="J52"/>
      <c r="K52"/>
      <c r="L52"/>
      <c r="M52"/>
      <c r="N52"/>
      <c r="O52"/>
      <c r="P52"/>
      <c r="Q52"/>
      <c r="R52"/>
    </row>
    <row r="53" spans="1:18" ht="15">
      <c r="A53" s="13"/>
      <c r="B53" s="76" t="s">
        <v>141</v>
      </c>
      <c r="C53" s="76"/>
      <c r="D53" s="75"/>
      <c r="E53" s="39">
        <f>E11</f>
        <v>103333333</v>
      </c>
      <c r="F53" s="39">
        <f>F11</f>
        <v>115733332.96</v>
      </c>
      <c r="G53" s="39">
        <f>G11</f>
        <v>129621332.9152</v>
      </c>
      <c r="H53"/>
      <c r="I53"/>
      <c r="J53"/>
      <c r="K53"/>
      <c r="L53"/>
      <c r="M53"/>
      <c r="N53"/>
      <c r="O53"/>
      <c r="P53"/>
      <c r="Q53"/>
      <c r="R53"/>
    </row>
    <row r="54" spans="1:18" ht="15">
      <c r="A54" s="49"/>
      <c r="B54" s="33"/>
      <c r="C54" s="78"/>
      <c r="D54" s="33"/>
      <c r="E54" s="33"/>
      <c r="F54" s="33"/>
      <c r="G54" s="33"/>
      <c r="H54"/>
      <c r="I54"/>
      <c r="J54"/>
      <c r="K54"/>
      <c r="L54"/>
      <c r="M54"/>
      <c r="N54"/>
      <c r="O54"/>
      <c r="P54"/>
      <c r="Q54"/>
      <c r="R54"/>
    </row>
    <row r="55" spans="1:18" ht="15">
      <c r="A55" s="49"/>
      <c r="B55" s="78" t="s">
        <v>180</v>
      </c>
      <c r="C55" s="78"/>
      <c r="D55" s="33"/>
      <c r="E55" s="77">
        <f>E38+E44+E47+E51</f>
        <v>113319897</v>
      </c>
      <c r="F55" s="77">
        <f>F38+F44+F47+F51</f>
        <v>117767775.97</v>
      </c>
      <c r="G55" s="77">
        <f>G38+G44+G47+G51</f>
        <v>122422867.72970001</v>
      </c>
      <c r="H55"/>
      <c r="I55"/>
      <c r="J55"/>
      <c r="K55"/>
      <c r="L55"/>
      <c r="M55"/>
      <c r="N55"/>
      <c r="O55"/>
      <c r="P55"/>
      <c r="Q55"/>
      <c r="R55"/>
    </row>
    <row r="56" spans="1:18" ht="15">
      <c r="A56" s="91"/>
      <c r="B56" s="42"/>
      <c r="C56" s="42"/>
      <c r="D56" s="41"/>
      <c r="E56" s="92"/>
      <c r="F56" s="92"/>
      <c r="G56" s="92"/>
      <c r="H56"/>
      <c r="I56"/>
      <c r="J56"/>
      <c r="K56"/>
      <c r="L56"/>
      <c r="M56"/>
      <c r="N56"/>
      <c r="O56"/>
      <c r="P56"/>
      <c r="Q56"/>
      <c r="R56"/>
    </row>
    <row r="57" spans="1:18" ht="15">
      <c r="A57" s="49"/>
      <c r="B57" s="76" t="s">
        <v>179</v>
      </c>
      <c r="C57" s="78"/>
      <c r="D57" s="33"/>
      <c r="E57" s="77"/>
      <c r="F57" s="77"/>
      <c r="G57" s="77"/>
      <c r="H57"/>
      <c r="I57"/>
      <c r="J57"/>
      <c r="K57"/>
      <c r="L57"/>
      <c r="M57"/>
      <c r="N57"/>
      <c r="O57"/>
      <c r="P57"/>
      <c r="Q57"/>
      <c r="R57"/>
    </row>
    <row r="58" spans="1:18" ht="15">
      <c r="A58" s="49"/>
      <c r="B58" s="33"/>
      <c r="C58" s="33"/>
      <c r="D58" s="33"/>
      <c r="E58" s="33"/>
      <c r="F58" s="33"/>
      <c r="G58" s="33"/>
      <c r="H58"/>
      <c r="I58"/>
      <c r="J58"/>
      <c r="K58"/>
      <c r="L58"/>
      <c r="M58"/>
      <c r="N58"/>
      <c r="O58"/>
      <c r="P58"/>
      <c r="Q58"/>
      <c r="R58"/>
    </row>
    <row r="59" spans="1:18" ht="15">
      <c r="A59" s="79" t="s">
        <v>142</v>
      </c>
      <c r="B59" s="25"/>
      <c r="C59" s="25"/>
      <c r="D59" s="25"/>
      <c r="E59" s="80">
        <f>E53-E55</f>
        <v>-9986564</v>
      </c>
      <c r="F59" s="80">
        <f>F53-F55</f>
        <v>-2034443.0100000054</v>
      </c>
      <c r="G59" s="80">
        <f>G53-G55</f>
        <v>7198465.185499981</v>
      </c>
      <c r="H59"/>
      <c r="I59"/>
      <c r="J59"/>
      <c r="K59"/>
      <c r="L59"/>
      <c r="M59"/>
      <c r="N59"/>
      <c r="O59"/>
      <c r="P59"/>
      <c r="Q59"/>
      <c r="R59"/>
    </row>
  </sheetData>
  <printOptions horizontalCentered="1" verticalCentered="1"/>
  <pageMargins left="0" right="0" top="0" bottom="0" header="0" footer="0"/>
  <pageSetup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26">
      <selection activeCell="G44" sqref="G44"/>
    </sheetView>
  </sheetViews>
  <sheetFormatPr defaultColWidth="8.88671875" defaultRowHeight="15"/>
  <cols>
    <col min="1" max="1" width="5.21484375" style="1" customWidth="1"/>
    <col min="2" max="3" width="8.88671875" style="1" customWidth="1"/>
    <col min="4" max="4" width="11.99609375" style="1" customWidth="1"/>
    <col min="5" max="5" width="9.77734375" style="1" customWidth="1"/>
    <col min="6" max="6" width="11.10546875" style="1" customWidth="1"/>
    <col min="7" max="7" width="10.10546875" style="1" customWidth="1"/>
    <col min="8" max="8" width="8.88671875" style="1" customWidth="1"/>
    <col min="9" max="9" width="9.10546875" style="1" customWidth="1"/>
    <col min="10" max="10" width="10.21484375" style="1" customWidth="1"/>
    <col min="11" max="11" width="9.88671875" style="1" customWidth="1"/>
    <col min="12" max="12" width="10.10546875" style="1" customWidth="1"/>
    <col min="13" max="13" width="9.99609375" style="1" customWidth="1"/>
    <col min="14" max="14" width="9.4453125" style="1" customWidth="1"/>
    <col min="15" max="15" width="11.10546875" style="1" customWidth="1"/>
    <col min="16" max="16" width="9.99609375" style="1" customWidth="1"/>
    <col min="17" max="17" width="10.88671875" style="1" customWidth="1"/>
    <col min="18" max="18" width="12.77734375" style="1" customWidth="1"/>
  </cols>
  <sheetData>
    <row r="1" spans="1:18" s="6" customFormat="1" ht="23.25">
      <c r="A1" s="93" t="s">
        <v>140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1"/>
    </row>
    <row r="2" spans="1:18" s="6" customFormat="1" ht="23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1"/>
    </row>
    <row r="3" spans="1:17" ht="23.25">
      <c r="A3" s="5" t="s">
        <v>191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8.75">
      <c r="A4" s="6"/>
      <c r="B4" s="6"/>
      <c r="C4" s="6"/>
      <c r="D4" s="6"/>
      <c r="E4" s="96">
        <v>1999</v>
      </c>
      <c r="F4" s="96">
        <v>2000</v>
      </c>
      <c r="G4" s="96">
        <v>2001</v>
      </c>
      <c r="H4"/>
      <c r="I4"/>
      <c r="J4"/>
      <c r="K4"/>
      <c r="L4"/>
      <c r="M4"/>
      <c r="N4"/>
      <c r="O4"/>
      <c r="P4"/>
      <c r="Q4"/>
      <c r="R4"/>
    </row>
    <row r="5" spans="1:7" s="6" customFormat="1" ht="13.5" customHeight="1">
      <c r="A5" s="7" t="s">
        <v>1</v>
      </c>
      <c r="B5" s="84" t="s">
        <v>2</v>
      </c>
      <c r="C5" s="85"/>
      <c r="D5" s="86"/>
      <c r="E5" s="63"/>
      <c r="F5" s="63"/>
      <c r="G5" s="63"/>
    </row>
    <row r="6" spans="1:7" s="6" customFormat="1" ht="13.5" customHeight="1">
      <c r="A6" s="14" t="s">
        <v>150</v>
      </c>
      <c r="B6" s="83"/>
      <c r="C6" s="52"/>
      <c r="D6" s="32"/>
      <c r="E6" s="64"/>
      <c r="F6" s="64"/>
      <c r="G6" s="64"/>
    </row>
    <row r="7" spans="1:7" s="6" customFormat="1" ht="13.5" customHeight="1">
      <c r="A7" s="19" t="s">
        <v>129</v>
      </c>
      <c r="B7" s="21" t="s">
        <v>166</v>
      </c>
      <c r="C7" s="25"/>
      <c r="D7" s="81"/>
      <c r="E7" s="37">
        <v>249996000</v>
      </c>
      <c r="F7" s="22">
        <f>(E7*0.12)+E7</f>
        <v>279995520</v>
      </c>
      <c r="G7" s="22">
        <f>(F7*0.12)+F7</f>
        <v>313594982.4</v>
      </c>
    </row>
    <row r="8" spans="1:7" s="6" customFormat="1" ht="13.5" customHeight="1">
      <c r="A8" s="37"/>
      <c r="B8" s="38" t="s">
        <v>109</v>
      </c>
      <c r="C8" s="38"/>
      <c r="D8" s="36"/>
      <c r="E8" s="39">
        <f>SUM(E7:E7)</f>
        <v>249996000</v>
      </c>
      <c r="F8" s="39">
        <f>SUM(F7:F7)</f>
        <v>279995520</v>
      </c>
      <c r="G8" s="39">
        <f>SUM(G7:G7)</f>
        <v>313594982.4</v>
      </c>
    </row>
    <row r="9" spans="1:7" s="6" customFormat="1" ht="13.5" customHeight="1">
      <c r="A9" s="44" t="s">
        <v>11</v>
      </c>
      <c r="B9" s="4" t="s">
        <v>12</v>
      </c>
      <c r="C9" s="45"/>
      <c r="D9" s="46"/>
      <c r="E9" s="73"/>
      <c r="F9" s="73"/>
      <c r="G9" s="73"/>
    </row>
    <row r="10" spans="1:7" s="6" customFormat="1" ht="13.5" customHeight="1">
      <c r="A10" s="27" t="s">
        <v>155</v>
      </c>
      <c r="B10" s="15"/>
      <c r="C10" s="16"/>
      <c r="D10" s="17"/>
      <c r="E10" s="64"/>
      <c r="F10" s="64"/>
      <c r="G10" s="64"/>
    </row>
    <row r="11" spans="1:7" s="6" customFormat="1" ht="13.5" customHeight="1">
      <c r="A11" s="34"/>
      <c r="B11" s="21" t="s">
        <v>117</v>
      </c>
      <c r="C11" s="25"/>
      <c r="D11" s="20"/>
      <c r="E11" s="37">
        <v>2000000</v>
      </c>
      <c r="F11" s="22">
        <f>(E11*0.05)+E11</f>
        <v>2100000</v>
      </c>
      <c r="G11" s="22">
        <f>(F11*0.05)+F11</f>
        <v>2205000</v>
      </c>
    </row>
    <row r="12" spans="1:7" s="6" customFormat="1" ht="13.5" customHeight="1">
      <c r="A12" s="27" t="s">
        <v>159</v>
      </c>
      <c r="B12" s="15"/>
      <c r="C12" s="16"/>
      <c r="D12" s="17"/>
      <c r="E12" s="59"/>
      <c r="F12" s="59"/>
      <c r="G12" s="59"/>
    </row>
    <row r="13" spans="1:7" s="6" customFormat="1" ht="13.5" customHeight="1">
      <c r="A13" s="34"/>
      <c r="B13" s="21" t="s">
        <v>144</v>
      </c>
      <c r="C13" s="25"/>
      <c r="D13" s="20"/>
      <c r="E13" s="64">
        <v>85000000</v>
      </c>
      <c r="F13" s="22">
        <f>(E13*0.05)+E13</f>
        <v>89250000</v>
      </c>
      <c r="G13" s="22">
        <f>(F13*0.05)+F13</f>
        <v>93712500</v>
      </c>
    </row>
    <row r="14" spans="1:18" ht="15">
      <c r="A14" s="34"/>
      <c r="B14" s="21" t="s">
        <v>33</v>
      </c>
      <c r="C14" s="25"/>
      <c r="D14" s="20"/>
      <c r="E14" s="64">
        <v>3000000</v>
      </c>
      <c r="F14" s="22">
        <f>(E14*0.05)+E14</f>
        <v>3150000</v>
      </c>
      <c r="G14" s="22">
        <f>(F14*0.05)+F14</f>
        <v>3307500</v>
      </c>
      <c r="H14"/>
      <c r="I14"/>
      <c r="J14"/>
      <c r="K14"/>
      <c r="L14"/>
      <c r="M14"/>
      <c r="N14"/>
      <c r="O14"/>
      <c r="P14"/>
      <c r="Q14"/>
      <c r="R14"/>
    </row>
    <row r="15" spans="1:18" ht="15">
      <c r="A15" s="34"/>
      <c r="B15" s="21" t="s">
        <v>122</v>
      </c>
      <c r="C15" s="25"/>
      <c r="D15" s="20"/>
      <c r="E15" s="64">
        <v>2000000</v>
      </c>
      <c r="F15" s="22">
        <f>(E15*0.05)+E15</f>
        <v>2100000</v>
      </c>
      <c r="G15" s="22">
        <f>(F15*0.05)+F15</f>
        <v>2205000</v>
      </c>
      <c r="H15"/>
      <c r="I15"/>
      <c r="J15"/>
      <c r="K15"/>
      <c r="L15"/>
      <c r="M15"/>
      <c r="N15"/>
      <c r="O15"/>
      <c r="P15"/>
      <c r="Q15"/>
      <c r="R15"/>
    </row>
    <row r="16" spans="1:18" ht="15">
      <c r="A16" s="27" t="s">
        <v>161</v>
      </c>
      <c r="B16" s="15"/>
      <c r="C16" s="16"/>
      <c r="D16" s="17"/>
      <c r="E16" s="64"/>
      <c r="F16" s="64"/>
      <c r="G16" s="64"/>
      <c r="H16"/>
      <c r="I16"/>
      <c r="J16"/>
      <c r="K16"/>
      <c r="L16"/>
      <c r="M16"/>
      <c r="N16"/>
      <c r="O16"/>
      <c r="P16"/>
      <c r="Q16"/>
      <c r="R16"/>
    </row>
    <row r="17" spans="1:18" ht="15">
      <c r="A17" s="34"/>
      <c r="B17" s="21" t="s">
        <v>39</v>
      </c>
      <c r="C17" s="25"/>
      <c r="D17" s="20"/>
      <c r="E17" s="22">
        <v>107419789</v>
      </c>
      <c r="F17" s="22">
        <f>(E17*0.01)+E17</f>
        <v>108493986.89</v>
      </c>
      <c r="G17" s="22">
        <f>(F17*0.01)+F17</f>
        <v>109578926.7589</v>
      </c>
      <c r="H17"/>
      <c r="I17"/>
      <c r="J17"/>
      <c r="K17"/>
      <c r="L17"/>
      <c r="M17"/>
      <c r="N17"/>
      <c r="O17"/>
      <c r="P17"/>
      <c r="Q17"/>
      <c r="R17"/>
    </row>
    <row r="18" spans="1:18" ht="15">
      <c r="A18" s="34"/>
      <c r="B18" s="21" t="s">
        <v>103</v>
      </c>
      <c r="C18" s="25"/>
      <c r="D18" s="20"/>
      <c r="E18" s="64">
        <v>28523820</v>
      </c>
      <c r="F18" s="22">
        <f>(E18*0.01)+E18</f>
        <v>28809058.2</v>
      </c>
      <c r="G18" s="22">
        <f>(F18*0.01)+F18</f>
        <v>29097148.781999998</v>
      </c>
      <c r="H18"/>
      <c r="I18"/>
      <c r="J18"/>
      <c r="K18"/>
      <c r="L18"/>
      <c r="M18"/>
      <c r="N18"/>
      <c r="O18"/>
      <c r="P18"/>
      <c r="Q18"/>
      <c r="R18"/>
    </row>
    <row r="19" spans="1:18" ht="15">
      <c r="A19" s="34"/>
      <c r="B19" s="21" t="s">
        <v>40</v>
      </c>
      <c r="C19" s="25"/>
      <c r="D19" s="20"/>
      <c r="E19" s="64">
        <v>8036297</v>
      </c>
      <c r="F19" s="22">
        <f>(E19*0.01)+E19</f>
        <v>8116659.97</v>
      </c>
      <c r="G19" s="22">
        <f>(F19*0.01)+F19</f>
        <v>8197826.5697</v>
      </c>
      <c r="H19"/>
      <c r="I19"/>
      <c r="J19"/>
      <c r="K19"/>
      <c r="L19"/>
      <c r="M19"/>
      <c r="N19"/>
      <c r="O19"/>
      <c r="P19"/>
      <c r="Q19"/>
      <c r="R19"/>
    </row>
    <row r="20" spans="1:18" ht="15">
      <c r="A20" s="34"/>
      <c r="B20" s="21" t="s">
        <v>41</v>
      </c>
      <c r="C20" s="25"/>
      <c r="D20" s="20"/>
      <c r="E20" s="64">
        <v>1000000</v>
      </c>
      <c r="F20" s="22">
        <f>(E20*0.01)+E20</f>
        <v>1010000</v>
      </c>
      <c r="G20" s="22">
        <f>(F20*0.01)+F20</f>
        <v>1020100</v>
      </c>
      <c r="H20"/>
      <c r="I20"/>
      <c r="J20"/>
      <c r="K20"/>
      <c r="L20"/>
      <c r="M20"/>
      <c r="N20"/>
      <c r="O20"/>
      <c r="P20"/>
      <c r="Q20"/>
      <c r="R20"/>
    </row>
    <row r="21" spans="1:18" ht="15">
      <c r="A21" s="34"/>
      <c r="B21" s="21" t="s">
        <v>42</v>
      </c>
      <c r="C21" s="25"/>
      <c r="D21" s="20"/>
      <c r="E21" s="64">
        <v>7143000</v>
      </c>
      <c r="F21" s="22">
        <f>(E21*0.01)+E21</f>
        <v>7214430</v>
      </c>
      <c r="G21" s="22">
        <f>(F21*0.01)+F21</f>
        <v>7286574.3</v>
      </c>
      <c r="H21"/>
      <c r="I21"/>
      <c r="J21"/>
      <c r="K21"/>
      <c r="L21"/>
      <c r="M21"/>
      <c r="N21"/>
      <c r="O21"/>
      <c r="P21"/>
      <c r="Q21"/>
      <c r="R21"/>
    </row>
    <row r="22" spans="1:18" ht="15">
      <c r="A22" s="34"/>
      <c r="B22" s="21" t="s">
        <v>43</v>
      </c>
      <c r="C22" s="25"/>
      <c r="D22" s="20"/>
      <c r="E22" s="22"/>
      <c r="F22" s="22"/>
      <c r="G22" s="22"/>
      <c r="H22"/>
      <c r="I22"/>
      <c r="J22"/>
      <c r="K22"/>
      <c r="L22"/>
      <c r="M22"/>
      <c r="N22"/>
      <c r="O22"/>
      <c r="P22"/>
      <c r="Q22"/>
      <c r="R22"/>
    </row>
    <row r="23" spans="1:18" ht="15">
      <c r="A23" s="37"/>
      <c r="B23" s="38" t="s">
        <v>109</v>
      </c>
      <c r="C23" s="38"/>
      <c r="D23" s="36"/>
      <c r="E23" s="39">
        <f>SUM(E11:E22)</f>
        <v>244122906</v>
      </c>
      <c r="F23" s="39">
        <f>SUM(F11:F22)</f>
        <v>250244135.05999997</v>
      </c>
      <c r="G23" s="39">
        <f>SUM(G11:G22)</f>
        <v>256610576.4106</v>
      </c>
      <c r="H23"/>
      <c r="I23"/>
      <c r="J23"/>
      <c r="K23"/>
      <c r="L23"/>
      <c r="M23"/>
      <c r="N23"/>
      <c r="O23"/>
      <c r="P23"/>
      <c r="Q23"/>
      <c r="R23"/>
    </row>
    <row r="24" spans="1:18" ht="15">
      <c r="A24" s="7" t="s">
        <v>67</v>
      </c>
      <c r="B24" s="62" t="s">
        <v>68</v>
      </c>
      <c r="C24" s="45"/>
      <c r="D24" s="46"/>
      <c r="E24" s="40"/>
      <c r="F24" s="40"/>
      <c r="G24" s="40"/>
      <c r="H24"/>
      <c r="I24"/>
      <c r="J24"/>
      <c r="K24"/>
      <c r="L24"/>
      <c r="M24"/>
      <c r="N24"/>
      <c r="O24"/>
      <c r="P24"/>
      <c r="Q24"/>
      <c r="R24"/>
    </row>
    <row r="25" spans="1:18" ht="15">
      <c r="A25" s="27" t="s">
        <v>71</v>
      </c>
      <c r="B25" s="15" t="s">
        <v>72</v>
      </c>
      <c r="C25" s="16"/>
      <c r="D25" s="17"/>
      <c r="E25" s="82"/>
      <c r="F25" s="82"/>
      <c r="G25" s="82"/>
      <c r="H25"/>
      <c r="I25"/>
      <c r="J25"/>
      <c r="K25"/>
      <c r="L25"/>
      <c r="M25"/>
      <c r="N25"/>
      <c r="O25"/>
      <c r="P25"/>
      <c r="Q25"/>
      <c r="R25"/>
    </row>
    <row r="26" spans="1:18" ht="15">
      <c r="A26" s="61"/>
      <c r="B26" s="21" t="s">
        <v>73</v>
      </c>
      <c r="C26" s="25"/>
      <c r="D26" s="20"/>
      <c r="E26" s="90">
        <v>-2500000</v>
      </c>
      <c r="F26" s="90"/>
      <c r="G26" s="90"/>
      <c r="H26"/>
      <c r="I26"/>
      <c r="J26"/>
      <c r="K26"/>
      <c r="L26"/>
      <c r="M26"/>
      <c r="N26"/>
      <c r="O26"/>
      <c r="P26"/>
      <c r="Q26"/>
      <c r="R26"/>
    </row>
    <row r="27" spans="1:18" ht="15">
      <c r="A27" s="27" t="s">
        <v>76</v>
      </c>
      <c r="B27" s="15" t="s">
        <v>77</v>
      </c>
      <c r="C27" s="16"/>
      <c r="D27" s="17"/>
      <c r="E27" s="32"/>
      <c r="F27" s="32"/>
      <c r="G27" s="32"/>
      <c r="H27"/>
      <c r="I27"/>
      <c r="J27"/>
      <c r="K27"/>
      <c r="L27"/>
      <c r="M27"/>
      <c r="N27"/>
      <c r="O27"/>
      <c r="P27"/>
      <c r="Q27"/>
      <c r="R27"/>
    </row>
    <row r="28" spans="1:18" ht="15">
      <c r="A28" s="65"/>
      <c r="B28" s="21" t="s">
        <v>81</v>
      </c>
      <c r="C28" s="25"/>
      <c r="D28" s="20"/>
      <c r="E28" s="89">
        <f>2000000/12</f>
        <v>166666.66666666666</v>
      </c>
      <c r="F28" s="89"/>
      <c r="G28" s="89"/>
      <c r="H28"/>
      <c r="I28"/>
      <c r="J28"/>
      <c r="K28"/>
      <c r="L28"/>
      <c r="M28"/>
      <c r="N28"/>
      <c r="O28"/>
      <c r="P28"/>
      <c r="Q28"/>
      <c r="R28"/>
    </row>
    <row r="29" spans="1:18" ht="15">
      <c r="A29" s="37"/>
      <c r="B29" s="38" t="s">
        <v>109</v>
      </c>
      <c r="C29" s="38"/>
      <c r="D29" s="36"/>
      <c r="E29" s="88"/>
      <c r="F29" s="88"/>
      <c r="G29" s="88"/>
      <c r="H29"/>
      <c r="I29"/>
      <c r="J29"/>
      <c r="K29"/>
      <c r="L29"/>
      <c r="M29"/>
      <c r="N29"/>
      <c r="O29"/>
      <c r="P29"/>
      <c r="Q29"/>
      <c r="R29"/>
    </row>
    <row r="30" spans="1:18" ht="15">
      <c r="A30" s="44" t="s">
        <v>83</v>
      </c>
      <c r="B30" s="4" t="s">
        <v>84</v>
      </c>
      <c r="C30" s="45"/>
      <c r="D30" s="46"/>
      <c r="E30" s="67"/>
      <c r="F30" s="67"/>
      <c r="G30" s="67"/>
      <c r="H30"/>
      <c r="I30"/>
      <c r="J30"/>
      <c r="K30"/>
      <c r="L30"/>
      <c r="M30"/>
      <c r="N30"/>
      <c r="O30"/>
      <c r="P30"/>
      <c r="Q30"/>
      <c r="R30"/>
    </row>
    <row r="31" spans="1:18" ht="15">
      <c r="A31" s="68"/>
      <c r="B31" s="69"/>
      <c r="C31" s="70"/>
      <c r="D31" s="71"/>
      <c r="E31" s="40"/>
      <c r="F31" s="40"/>
      <c r="G31" s="40"/>
      <c r="H31"/>
      <c r="I31"/>
      <c r="J31"/>
      <c r="K31"/>
      <c r="L31"/>
      <c r="M31"/>
      <c r="N31"/>
      <c r="O31"/>
      <c r="P31"/>
      <c r="Q31"/>
      <c r="R31"/>
    </row>
    <row r="32" spans="1:18" ht="15">
      <c r="A32" s="37"/>
      <c r="B32" s="38" t="s">
        <v>109</v>
      </c>
      <c r="C32" s="38"/>
      <c r="D32" s="36"/>
      <c r="E32" s="39"/>
      <c r="F32" s="39"/>
      <c r="G32" s="39"/>
      <c r="H32"/>
      <c r="I32"/>
      <c r="J32"/>
      <c r="K32"/>
      <c r="L32"/>
      <c r="M32"/>
      <c r="N32"/>
      <c r="O32"/>
      <c r="P32"/>
      <c r="Q32"/>
      <c r="R32"/>
    </row>
    <row r="33" spans="1:18" ht="15">
      <c r="A33" s="7" t="s">
        <v>85</v>
      </c>
      <c r="B33" s="8" t="s">
        <v>86</v>
      </c>
      <c r="C33" s="9"/>
      <c r="D33" s="10"/>
      <c r="E33" s="67"/>
      <c r="F33" s="67"/>
      <c r="G33" s="67"/>
      <c r="H33"/>
      <c r="I33"/>
      <c r="J33"/>
      <c r="K33"/>
      <c r="L33"/>
      <c r="M33"/>
      <c r="N33"/>
      <c r="O33"/>
      <c r="P33"/>
      <c r="Q33"/>
      <c r="R33"/>
    </row>
    <row r="34" spans="1:18" ht="15">
      <c r="A34" s="27" t="s">
        <v>97</v>
      </c>
      <c r="B34" s="15" t="s">
        <v>98</v>
      </c>
      <c r="C34" s="16"/>
      <c r="D34" s="17"/>
      <c r="E34" s="32"/>
      <c r="F34" s="32"/>
      <c r="G34" s="32"/>
      <c r="H34"/>
      <c r="I34"/>
      <c r="J34"/>
      <c r="K34"/>
      <c r="L34"/>
      <c r="M34"/>
      <c r="N34"/>
      <c r="O34"/>
      <c r="P34"/>
      <c r="Q34"/>
      <c r="R34"/>
    </row>
    <row r="35" spans="1:18" ht="15">
      <c r="A35" s="59"/>
      <c r="B35" s="21" t="s">
        <v>100</v>
      </c>
      <c r="C35" s="25"/>
      <c r="D35" s="20"/>
      <c r="E35" s="50">
        <v>6369717</v>
      </c>
      <c r="F35" s="22">
        <f>(E35*0.01)+E35</f>
        <v>6433414.17</v>
      </c>
      <c r="G35" s="22">
        <f>(F35*0.01)+F35</f>
        <v>6497748.3116999995</v>
      </c>
      <c r="H35"/>
      <c r="I35"/>
      <c r="J35"/>
      <c r="K35"/>
      <c r="L35"/>
      <c r="M35"/>
      <c r="N35"/>
      <c r="O35"/>
      <c r="P35"/>
      <c r="Q35"/>
      <c r="R35"/>
    </row>
    <row r="36" spans="1:18" ht="15">
      <c r="A36" s="37"/>
      <c r="B36" s="38" t="s">
        <v>109</v>
      </c>
      <c r="C36" s="38"/>
      <c r="D36" s="36"/>
      <c r="E36" s="39">
        <f>SUM(E34:E35)</f>
        <v>6369717</v>
      </c>
      <c r="F36" s="39">
        <f>SUM(F34:F35)</f>
        <v>6433414.17</v>
      </c>
      <c r="G36" s="39">
        <f>SUM(G34:G35)</f>
        <v>6497748.3116999995</v>
      </c>
      <c r="H36"/>
      <c r="I36"/>
      <c r="J36"/>
      <c r="K36"/>
      <c r="L36"/>
      <c r="M36"/>
      <c r="N36"/>
      <c r="O36"/>
      <c r="P36"/>
      <c r="Q36"/>
      <c r="R36"/>
    </row>
    <row r="37" spans="1:18" ht="15">
      <c r="A37" s="13"/>
      <c r="B37" s="75"/>
      <c r="C37" s="75"/>
      <c r="D37" s="75"/>
      <c r="E37" s="75"/>
      <c r="F37" s="75"/>
      <c r="G37" s="75"/>
      <c r="H37"/>
      <c r="I37"/>
      <c r="J37"/>
      <c r="K37"/>
      <c r="L37"/>
      <c r="M37"/>
      <c r="N37"/>
      <c r="O37"/>
      <c r="P37"/>
      <c r="Q37"/>
      <c r="R37"/>
    </row>
    <row r="38" spans="1:18" ht="15">
      <c r="A38" s="13"/>
      <c r="B38" s="76" t="s">
        <v>141</v>
      </c>
      <c r="C38" s="76"/>
      <c r="D38" s="75"/>
      <c r="E38" s="39">
        <f>E8</f>
        <v>249996000</v>
      </c>
      <c r="F38" s="39">
        <f>F8</f>
        <v>279995520</v>
      </c>
      <c r="G38" s="39">
        <f>G8</f>
        <v>313594982.4</v>
      </c>
      <c r="H38"/>
      <c r="I38"/>
      <c r="J38"/>
      <c r="K38"/>
      <c r="L38"/>
      <c r="M38"/>
      <c r="N38"/>
      <c r="O38"/>
      <c r="P38"/>
      <c r="Q38"/>
      <c r="R38"/>
    </row>
    <row r="39" spans="1:18" ht="15">
      <c r="A39" s="49"/>
      <c r="B39" s="33"/>
      <c r="C39" s="78"/>
      <c r="D39" s="33"/>
      <c r="E39" s="33"/>
      <c r="F39" s="33"/>
      <c r="G39" s="33"/>
      <c r="H39"/>
      <c r="I39"/>
      <c r="J39"/>
      <c r="K39"/>
      <c r="L39"/>
      <c r="M39"/>
      <c r="N39"/>
      <c r="O39"/>
      <c r="P39"/>
      <c r="Q39"/>
      <c r="R39"/>
    </row>
    <row r="40" spans="1:18" ht="15">
      <c r="A40" s="49"/>
      <c r="B40" s="78" t="s">
        <v>180</v>
      </c>
      <c r="C40" s="78"/>
      <c r="D40" s="33"/>
      <c r="E40" s="77">
        <f>E23+E29+E32+E36</f>
        <v>250492623</v>
      </c>
      <c r="F40" s="77">
        <f>F23+F29+F32+F36</f>
        <v>256677549.22999996</v>
      </c>
      <c r="G40" s="77">
        <f>G23+G29+G32+G36</f>
        <v>263108324.7223</v>
      </c>
      <c r="H40"/>
      <c r="I40"/>
      <c r="J40"/>
      <c r="K40"/>
      <c r="L40"/>
      <c r="M40"/>
      <c r="N40"/>
      <c r="O40"/>
      <c r="P40"/>
      <c r="Q40"/>
      <c r="R40"/>
    </row>
    <row r="41" spans="1:18" ht="15">
      <c r="A41" s="91"/>
      <c r="B41" s="42"/>
      <c r="C41" s="42"/>
      <c r="D41" s="41"/>
      <c r="E41" s="92"/>
      <c r="F41" s="92"/>
      <c r="G41" s="92"/>
      <c r="H41"/>
      <c r="I41"/>
      <c r="J41"/>
      <c r="K41"/>
      <c r="L41"/>
      <c r="M41"/>
      <c r="N41"/>
      <c r="O41"/>
      <c r="P41"/>
      <c r="Q41"/>
      <c r="R41"/>
    </row>
    <row r="42" spans="1:18" ht="15">
      <c r="A42" s="49"/>
      <c r="B42" s="76" t="s">
        <v>179</v>
      </c>
      <c r="C42" s="78"/>
      <c r="D42" s="33"/>
      <c r="E42" s="77"/>
      <c r="F42" s="77"/>
      <c r="G42" s="77"/>
      <c r="H42"/>
      <c r="I42"/>
      <c r="J42"/>
      <c r="K42"/>
      <c r="L42"/>
      <c r="M42"/>
      <c r="N42"/>
      <c r="O42"/>
      <c r="P42"/>
      <c r="Q42"/>
      <c r="R42"/>
    </row>
    <row r="43" spans="1:18" ht="15">
      <c r="A43" s="49"/>
      <c r="B43" s="33"/>
      <c r="C43" s="33"/>
      <c r="D43" s="33"/>
      <c r="E43" s="33"/>
      <c r="F43" s="33"/>
      <c r="G43" s="33"/>
      <c r="H43"/>
      <c r="I43"/>
      <c r="J43"/>
      <c r="K43"/>
      <c r="L43"/>
      <c r="M43"/>
      <c r="N43"/>
      <c r="O43"/>
      <c r="P43"/>
      <c r="Q43"/>
      <c r="R43"/>
    </row>
    <row r="44" spans="1:18" ht="15">
      <c r="A44" s="79" t="s">
        <v>142</v>
      </c>
      <c r="B44" s="25"/>
      <c r="C44" s="25"/>
      <c r="D44" s="25"/>
      <c r="E44" s="80">
        <f>E38-E40</f>
        <v>-496623</v>
      </c>
      <c r="F44" s="80">
        <f>F38-F40</f>
        <v>23317970.77000004</v>
      </c>
      <c r="G44" s="80">
        <f>G38-G40</f>
        <v>50486657.67769998</v>
      </c>
      <c r="H44"/>
      <c r="I44"/>
      <c r="J44"/>
      <c r="K44"/>
      <c r="L44"/>
      <c r="M44"/>
      <c r="N44"/>
      <c r="O44"/>
      <c r="P44"/>
      <c r="Q44"/>
      <c r="R44"/>
    </row>
  </sheetData>
  <printOptions horizontalCentered="1" verticalCentered="1"/>
  <pageMargins left="0.78" right="0" top="0" bottom="0" header="0" footer="0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F49" sqref="F49"/>
    </sheetView>
  </sheetViews>
  <sheetFormatPr defaultColWidth="8.88671875" defaultRowHeight="15"/>
  <cols>
    <col min="1" max="1" width="5.21484375" style="1" customWidth="1"/>
    <col min="2" max="3" width="8.88671875" style="1" customWidth="1"/>
    <col min="4" max="4" width="11.99609375" style="1" customWidth="1"/>
    <col min="5" max="5" width="9.77734375" style="1" customWidth="1"/>
    <col min="6" max="6" width="11.10546875" style="1" customWidth="1"/>
    <col min="7" max="7" width="10.10546875" style="1" customWidth="1"/>
    <col min="8" max="8" width="8.88671875" style="1" customWidth="1"/>
    <col min="9" max="9" width="9.10546875" style="1" customWidth="1"/>
    <col min="10" max="10" width="10.21484375" style="1" customWidth="1"/>
    <col min="11" max="11" width="9.88671875" style="1" customWidth="1"/>
    <col min="12" max="12" width="10.10546875" style="1" customWidth="1"/>
    <col min="13" max="13" width="9.99609375" style="1" customWidth="1"/>
    <col min="14" max="14" width="9.4453125" style="1" customWidth="1"/>
    <col min="15" max="15" width="11.10546875" style="1" customWidth="1"/>
    <col min="16" max="16" width="9.99609375" style="1" customWidth="1"/>
    <col min="17" max="17" width="10.88671875" style="1" customWidth="1"/>
    <col min="18" max="18" width="12.77734375" style="1" customWidth="1"/>
  </cols>
  <sheetData>
    <row r="1" spans="1:18" s="6" customFormat="1" ht="23.25">
      <c r="A1" s="93" t="s">
        <v>140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1"/>
    </row>
    <row r="2" spans="1:18" s="6" customFormat="1" ht="23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1"/>
    </row>
    <row r="3" spans="1:17" ht="23.25">
      <c r="A3" s="5" t="s">
        <v>192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8.75">
      <c r="A4" s="6"/>
      <c r="B4" s="6"/>
      <c r="C4" s="6"/>
      <c r="D4" s="6"/>
      <c r="E4" s="96">
        <v>1999</v>
      </c>
      <c r="F4" s="96">
        <v>2000</v>
      </c>
      <c r="G4" s="96">
        <v>2001</v>
      </c>
      <c r="H4"/>
      <c r="I4"/>
      <c r="J4"/>
      <c r="K4"/>
      <c r="L4"/>
      <c r="M4"/>
      <c r="N4"/>
      <c r="O4"/>
      <c r="P4"/>
      <c r="Q4"/>
      <c r="R4"/>
    </row>
    <row r="5" spans="1:7" s="6" customFormat="1" ht="13.5" customHeight="1">
      <c r="A5" s="7" t="s">
        <v>1</v>
      </c>
      <c r="B5" s="84" t="s">
        <v>2</v>
      </c>
      <c r="C5" s="85"/>
      <c r="D5" s="101"/>
      <c r="E5" s="22"/>
      <c r="F5" s="102"/>
      <c r="G5" s="102"/>
    </row>
    <row r="6" spans="1:7" s="6" customFormat="1" ht="13.5" customHeight="1">
      <c r="A6" s="14" t="s">
        <v>150</v>
      </c>
      <c r="B6" s="83"/>
      <c r="C6" s="52"/>
      <c r="D6" s="32"/>
      <c r="E6" s="22"/>
      <c r="F6" s="102"/>
      <c r="G6" s="102"/>
    </row>
    <row r="7" spans="1:7" s="6" customFormat="1" ht="13.5" customHeight="1">
      <c r="A7" s="27" t="s">
        <v>154</v>
      </c>
      <c r="B7" s="28"/>
      <c r="C7" s="21"/>
      <c r="D7" s="20"/>
      <c r="E7" s="22"/>
      <c r="F7" s="102"/>
      <c r="G7" s="102"/>
    </row>
    <row r="8" spans="1:7" s="6" customFormat="1" ht="13.5" customHeight="1">
      <c r="A8" s="23" t="s">
        <v>3</v>
      </c>
      <c r="B8" s="31" t="s">
        <v>6</v>
      </c>
      <c r="C8" s="16"/>
      <c r="D8" s="17"/>
      <c r="E8" s="22"/>
      <c r="F8" s="102"/>
      <c r="G8" s="102"/>
    </row>
    <row r="9" spans="1:7" s="6" customFormat="1" ht="13.5" customHeight="1">
      <c r="A9" s="19"/>
      <c r="B9" s="21" t="s">
        <v>7</v>
      </c>
      <c r="C9" s="25"/>
      <c r="D9" s="20"/>
      <c r="E9" s="22"/>
      <c r="F9" s="22">
        <f>(E9*0.12)+E9</f>
        <v>0</v>
      </c>
      <c r="G9" s="22">
        <f>(F9*0.12)+F9</f>
        <v>0</v>
      </c>
    </row>
    <row r="10" spans="1:7" s="43" customFormat="1" ht="13.5" customHeight="1">
      <c r="A10" s="23" t="s">
        <v>4</v>
      </c>
      <c r="B10" s="31" t="s">
        <v>9</v>
      </c>
      <c r="C10" s="16"/>
      <c r="D10" s="17"/>
      <c r="E10" s="22"/>
      <c r="F10" s="22"/>
      <c r="G10" s="103"/>
    </row>
    <row r="11" spans="1:7" s="6" customFormat="1" ht="13.5" customHeight="1">
      <c r="A11" s="34"/>
      <c r="B11" s="21" t="s">
        <v>175</v>
      </c>
      <c r="C11" s="25"/>
      <c r="D11" s="20"/>
      <c r="E11" s="22">
        <v>100375000</v>
      </c>
      <c r="F11" s="22">
        <f>(E11*0.12)+E11</f>
        <v>112420000</v>
      </c>
      <c r="G11" s="22">
        <f>(F11*0.12)+F11</f>
        <v>125910400</v>
      </c>
    </row>
    <row r="12" spans="1:7" s="6" customFormat="1" ht="13.5" customHeight="1">
      <c r="A12" s="37"/>
      <c r="B12" s="38" t="s">
        <v>109</v>
      </c>
      <c r="C12" s="38"/>
      <c r="D12" s="36"/>
      <c r="E12" s="39">
        <f>SUM(E7:E11)</f>
        <v>100375000</v>
      </c>
      <c r="F12" s="39">
        <f>SUM(F7:F11)</f>
        <v>112420000</v>
      </c>
      <c r="G12" s="39">
        <f>SUM(G7:G11)</f>
        <v>125910400</v>
      </c>
    </row>
    <row r="13" spans="1:7" s="6" customFormat="1" ht="13.5" customHeight="1">
      <c r="A13" s="44" t="s">
        <v>11</v>
      </c>
      <c r="B13" s="4" t="s">
        <v>12</v>
      </c>
      <c r="C13" s="45"/>
      <c r="D13" s="46"/>
      <c r="E13" s="26"/>
      <c r="F13" s="102"/>
      <c r="G13" s="102"/>
    </row>
    <row r="14" spans="1:7" s="6" customFormat="1" ht="13.5" customHeight="1">
      <c r="A14" s="27" t="s">
        <v>155</v>
      </c>
      <c r="B14" s="15"/>
      <c r="C14" s="16"/>
      <c r="D14" s="17"/>
      <c r="E14" s="22"/>
      <c r="F14" s="102"/>
      <c r="G14" s="102"/>
    </row>
    <row r="15" spans="1:7" s="6" customFormat="1" ht="13.5" customHeight="1">
      <c r="A15" s="27" t="s">
        <v>159</v>
      </c>
      <c r="B15" s="15"/>
      <c r="C15" s="16"/>
      <c r="D15" s="17"/>
      <c r="E15" s="22"/>
      <c r="F15" s="102"/>
      <c r="G15" s="102"/>
    </row>
    <row r="16" spans="1:7" s="6" customFormat="1" ht="13.5" customHeight="1">
      <c r="A16" s="60" t="s">
        <v>160</v>
      </c>
      <c r="B16" s="15"/>
      <c r="C16" s="16"/>
      <c r="D16" s="17"/>
      <c r="E16" s="22"/>
      <c r="F16" s="102"/>
      <c r="G16" s="102"/>
    </row>
    <row r="17" spans="1:7" s="6" customFormat="1" ht="13.5" customHeight="1">
      <c r="A17" s="27" t="s">
        <v>161</v>
      </c>
      <c r="B17" s="15"/>
      <c r="C17" s="16"/>
      <c r="D17" s="17"/>
      <c r="E17" s="22"/>
      <c r="F17" s="102"/>
      <c r="G17" s="102"/>
    </row>
    <row r="18" spans="1:7" s="6" customFormat="1" ht="13.5" customHeight="1">
      <c r="A18" s="34"/>
      <c r="B18" s="21" t="s">
        <v>39</v>
      </c>
      <c r="C18" s="25"/>
      <c r="D18" s="20"/>
      <c r="E18" s="22">
        <v>31991020</v>
      </c>
      <c r="F18" s="105">
        <f>E18+(E18*0.01)</f>
        <v>32310930.2</v>
      </c>
      <c r="G18" s="106">
        <f>F18+(F18*0.01)</f>
        <v>32634039.502</v>
      </c>
    </row>
    <row r="19" spans="1:7" s="6" customFormat="1" ht="13.5" customHeight="1">
      <c r="A19" s="34"/>
      <c r="B19" s="21" t="s">
        <v>103</v>
      </c>
      <c r="C19" s="25"/>
      <c r="D19" s="20"/>
      <c r="E19" s="22">
        <v>8722032</v>
      </c>
      <c r="F19" s="105">
        <f>E19+(E19*0.01)</f>
        <v>8809252.32</v>
      </c>
      <c r="G19" s="106">
        <f>F19+(F19*0.01)</f>
        <v>8897344.8432</v>
      </c>
    </row>
    <row r="20" spans="1:7" s="6" customFormat="1" ht="13.5" customHeight="1">
      <c r="A20" s="34"/>
      <c r="B20" s="21" t="s">
        <v>40</v>
      </c>
      <c r="C20" s="25"/>
      <c r="D20" s="20"/>
      <c r="E20" s="22">
        <v>2597387</v>
      </c>
      <c r="F20" s="105">
        <f>E20+(E20*0.01)</f>
        <v>2623360.87</v>
      </c>
      <c r="G20" s="106">
        <f>F20+(F20*0.01)</f>
        <v>2649594.4787000003</v>
      </c>
    </row>
    <row r="21" spans="1:7" s="6" customFormat="1" ht="13.5" customHeight="1">
      <c r="A21" s="34"/>
      <c r="B21" s="21" t="s">
        <v>41</v>
      </c>
      <c r="C21" s="25"/>
      <c r="D21" s="20"/>
      <c r="E21" s="22">
        <v>750000</v>
      </c>
      <c r="F21" s="105">
        <f>E21+(E21*0.01)</f>
        <v>757500</v>
      </c>
      <c r="G21" s="106">
        <f>F21+(F21*0.01)</f>
        <v>765075</v>
      </c>
    </row>
    <row r="22" spans="1:7" s="6" customFormat="1" ht="13.5" customHeight="1">
      <c r="A22" s="34"/>
      <c r="B22" s="21" t="s">
        <v>42</v>
      </c>
      <c r="C22" s="25"/>
      <c r="D22" s="20"/>
      <c r="E22" s="22">
        <v>2714400</v>
      </c>
      <c r="F22" s="105">
        <f>E22+(E22*0.01)</f>
        <v>2741544</v>
      </c>
      <c r="G22" s="106">
        <f>F22+(F22*0.01)</f>
        <v>2768959.44</v>
      </c>
    </row>
    <row r="23" spans="1:7" s="6" customFormat="1" ht="13.5" customHeight="1">
      <c r="A23" s="34"/>
      <c r="B23" s="21" t="s">
        <v>43</v>
      </c>
      <c r="C23" s="25"/>
      <c r="D23" s="20"/>
      <c r="E23" s="22"/>
      <c r="F23" s="105"/>
      <c r="G23" s="102"/>
    </row>
    <row r="24" spans="1:7" s="6" customFormat="1" ht="13.5" customHeight="1">
      <c r="A24" s="37"/>
      <c r="B24" s="38" t="s">
        <v>109</v>
      </c>
      <c r="C24" s="38"/>
      <c r="D24" s="36"/>
      <c r="E24" s="39">
        <f>SUM(E15:E23)</f>
        <v>46774839</v>
      </c>
      <c r="F24" s="39">
        <f>SUM(F15:F23)</f>
        <v>47242587.38999999</v>
      </c>
      <c r="G24" s="39">
        <f>SUM(G15:G23)</f>
        <v>47715013.2639</v>
      </c>
    </row>
    <row r="25" spans="1:7" s="6" customFormat="1" ht="13.5" customHeight="1">
      <c r="A25" s="7" t="s">
        <v>67</v>
      </c>
      <c r="B25" s="62" t="s">
        <v>68</v>
      </c>
      <c r="C25" s="45"/>
      <c r="D25" s="46"/>
      <c r="E25" s="26"/>
      <c r="F25" s="102"/>
      <c r="G25" s="102"/>
    </row>
    <row r="26" spans="1:7" s="6" customFormat="1" ht="13.5" customHeight="1">
      <c r="A26" s="27" t="s">
        <v>69</v>
      </c>
      <c r="B26" s="28" t="s">
        <v>70</v>
      </c>
      <c r="C26" s="21"/>
      <c r="D26" s="20"/>
      <c r="E26" s="22"/>
      <c r="F26" s="102"/>
      <c r="G26" s="102"/>
    </row>
    <row r="27" spans="1:7" s="6" customFormat="1" ht="13.5" customHeight="1">
      <c r="A27" s="27" t="s">
        <v>71</v>
      </c>
      <c r="B27" s="15" t="s">
        <v>72</v>
      </c>
      <c r="C27" s="16"/>
      <c r="D27" s="17"/>
      <c r="E27" s="22"/>
      <c r="F27" s="102"/>
      <c r="G27" s="102"/>
    </row>
    <row r="28" spans="1:7" s="6" customFormat="1" ht="13.5" customHeight="1">
      <c r="A28" s="61"/>
      <c r="B28" s="21" t="s">
        <v>73</v>
      </c>
      <c r="C28" s="25"/>
      <c r="D28" s="20"/>
      <c r="E28" s="90">
        <v>-2500000</v>
      </c>
      <c r="F28" s="102"/>
      <c r="G28" s="102"/>
    </row>
    <row r="29" spans="1:7" s="6" customFormat="1" ht="13.5" customHeight="1">
      <c r="A29" s="27" t="s">
        <v>76</v>
      </c>
      <c r="B29" s="15" t="s">
        <v>77</v>
      </c>
      <c r="C29" s="16"/>
      <c r="D29" s="17"/>
      <c r="E29" s="22"/>
      <c r="F29" s="102"/>
      <c r="G29" s="102"/>
    </row>
    <row r="30" spans="1:7" s="6" customFormat="1" ht="13.5" customHeight="1">
      <c r="A30" s="65"/>
      <c r="B30" s="21" t="s">
        <v>81</v>
      </c>
      <c r="C30" s="25"/>
      <c r="D30" s="20"/>
      <c r="E30" s="90">
        <f>2000000/12</f>
        <v>166666.66666666666</v>
      </c>
      <c r="F30" s="102"/>
      <c r="G30" s="102"/>
    </row>
    <row r="31" spans="1:7" s="6" customFormat="1" ht="13.5" customHeight="1">
      <c r="A31" s="37"/>
      <c r="B31" s="38" t="s">
        <v>109</v>
      </c>
      <c r="C31" s="38"/>
      <c r="D31" s="36"/>
      <c r="E31" s="88"/>
      <c r="F31" s="88"/>
      <c r="G31" s="88"/>
    </row>
    <row r="32" spans="1:7" s="6" customFormat="1" ht="13.5" customHeight="1">
      <c r="A32" s="44" t="s">
        <v>83</v>
      </c>
      <c r="B32" s="4" t="s">
        <v>84</v>
      </c>
      <c r="C32" s="45"/>
      <c r="D32" s="46"/>
      <c r="E32" s="67"/>
      <c r="F32" s="67"/>
      <c r="G32" s="67"/>
    </row>
    <row r="33" spans="1:8" s="6" customFormat="1" ht="13.5" customHeight="1">
      <c r="A33" s="68"/>
      <c r="B33" s="69"/>
      <c r="C33" s="70"/>
      <c r="D33" s="71"/>
      <c r="E33" s="26"/>
      <c r="F33" s="102"/>
      <c r="G33" s="102"/>
      <c r="H33"/>
    </row>
    <row r="34" spans="1:7" s="6" customFormat="1" ht="13.5" customHeight="1">
      <c r="A34" s="37"/>
      <c r="B34" s="38" t="s">
        <v>109</v>
      </c>
      <c r="C34" s="38"/>
      <c r="D34" s="36"/>
      <c r="E34" s="39"/>
      <c r="F34" s="39"/>
      <c r="G34" s="39"/>
    </row>
    <row r="35" spans="1:7" s="6" customFormat="1" ht="12">
      <c r="A35" s="7" t="s">
        <v>85</v>
      </c>
      <c r="B35" s="8" t="s">
        <v>86</v>
      </c>
      <c r="C35" s="9"/>
      <c r="D35" s="10"/>
      <c r="E35" s="67"/>
      <c r="F35" s="67"/>
      <c r="G35" s="67"/>
    </row>
    <row r="36" spans="1:7" s="6" customFormat="1" ht="13.5" customHeight="1">
      <c r="A36" s="27" t="s">
        <v>87</v>
      </c>
      <c r="B36" s="15" t="s">
        <v>88</v>
      </c>
      <c r="C36" s="16"/>
      <c r="D36" s="17"/>
      <c r="E36" s="22"/>
      <c r="F36" s="102"/>
      <c r="G36" s="102"/>
    </row>
    <row r="37" spans="1:7" s="6" customFormat="1" ht="12">
      <c r="A37" s="27" t="s">
        <v>92</v>
      </c>
      <c r="B37" s="15" t="s">
        <v>93</v>
      </c>
      <c r="C37" s="16"/>
      <c r="D37" s="17"/>
      <c r="E37" s="22"/>
      <c r="F37" s="102"/>
      <c r="G37" s="102"/>
    </row>
    <row r="38" spans="1:18" ht="15">
      <c r="A38" s="27" t="s">
        <v>97</v>
      </c>
      <c r="B38" s="15" t="s">
        <v>98</v>
      </c>
      <c r="C38" s="16"/>
      <c r="D38" s="17"/>
      <c r="E38" s="22"/>
      <c r="F38" s="104"/>
      <c r="G38" s="104"/>
      <c r="I38"/>
      <c r="J38"/>
      <c r="K38"/>
      <c r="L38"/>
      <c r="M38"/>
      <c r="N38"/>
      <c r="O38"/>
      <c r="P38"/>
      <c r="Q38"/>
      <c r="R38"/>
    </row>
    <row r="39" spans="1:18" ht="15">
      <c r="A39" s="37"/>
      <c r="B39" s="38" t="s">
        <v>109</v>
      </c>
      <c r="C39" s="38"/>
      <c r="D39" s="36"/>
      <c r="E39" s="39">
        <f>SUM(E37:E38)</f>
        <v>0</v>
      </c>
      <c r="F39" s="39">
        <f>SUM(F37:F38)</f>
        <v>0</v>
      </c>
      <c r="G39" s="39">
        <f>SUM(G37:G38)</f>
        <v>0</v>
      </c>
      <c r="H39"/>
      <c r="I39"/>
      <c r="J39"/>
      <c r="K39"/>
      <c r="L39"/>
      <c r="M39"/>
      <c r="N39"/>
      <c r="O39"/>
      <c r="P39"/>
      <c r="Q39"/>
      <c r="R39"/>
    </row>
    <row r="40" spans="1:18" ht="15">
      <c r="A40" s="13"/>
      <c r="B40" s="75"/>
      <c r="C40" s="75"/>
      <c r="D40" s="75"/>
      <c r="E40" s="75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5">
      <c r="A41" s="13"/>
      <c r="B41" s="76" t="s">
        <v>141</v>
      </c>
      <c r="C41" s="76"/>
      <c r="D41" s="75"/>
      <c r="E41" s="39">
        <f>E12</f>
        <v>100375000</v>
      </c>
      <c r="F41" s="39">
        <f>F12</f>
        <v>112420000</v>
      </c>
      <c r="G41" s="39">
        <f>G12</f>
        <v>125910400</v>
      </c>
      <c r="H41"/>
      <c r="I41"/>
      <c r="J41"/>
      <c r="K41"/>
      <c r="L41"/>
      <c r="M41"/>
      <c r="N41"/>
      <c r="O41"/>
      <c r="P41"/>
      <c r="Q41"/>
      <c r="R41"/>
    </row>
    <row r="42" spans="1:18" ht="15">
      <c r="A42" s="49"/>
      <c r="B42" s="33"/>
      <c r="C42" s="78"/>
      <c r="D42" s="33"/>
      <c r="E42" s="33"/>
      <c r="F42" s="33"/>
      <c r="G42" s="33"/>
      <c r="H42"/>
      <c r="I42"/>
      <c r="J42"/>
      <c r="K42"/>
      <c r="L42"/>
      <c r="M42"/>
      <c r="N42"/>
      <c r="O42"/>
      <c r="P42"/>
      <c r="Q42"/>
      <c r="R42"/>
    </row>
    <row r="43" spans="1:18" ht="15">
      <c r="A43" s="49"/>
      <c r="B43" s="78" t="s">
        <v>180</v>
      </c>
      <c r="C43" s="78"/>
      <c r="D43" s="33"/>
      <c r="E43" s="77">
        <f>E24+E31+E34+E39</f>
        <v>46774839</v>
      </c>
      <c r="F43" s="77">
        <f>F24+F31+F34+F39</f>
        <v>47242587.38999999</v>
      </c>
      <c r="G43" s="77">
        <f>G24+G31+G34+G39</f>
        <v>47715013.2639</v>
      </c>
      <c r="H43"/>
      <c r="I43"/>
      <c r="J43"/>
      <c r="K43"/>
      <c r="L43"/>
      <c r="M43"/>
      <c r="N43"/>
      <c r="O43"/>
      <c r="P43"/>
      <c r="Q43"/>
      <c r="R43"/>
    </row>
    <row r="44" spans="1:18" ht="15">
      <c r="A44" s="91"/>
      <c r="B44" s="42"/>
      <c r="C44" s="42"/>
      <c r="D44" s="41"/>
      <c r="E44" s="92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5">
      <c r="A45" s="49"/>
      <c r="B45" s="76" t="s">
        <v>179</v>
      </c>
      <c r="C45" s="78"/>
      <c r="D45" s="33"/>
      <c r="E45" s="77"/>
      <c r="F45" s="77"/>
      <c r="G45" s="77"/>
      <c r="H45"/>
      <c r="I45"/>
      <c r="J45"/>
      <c r="K45"/>
      <c r="L45"/>
      <c r="M45"/>
      <c r="N45"/>
      <c r="O45"/>
      <c r="P45"/>
      <c r="Q45"/>
      <c r="R45"/>
    </row>
    <row r="46" spans="1:18" ht="15">
      <c r="A46" s="49"/>
      <c r="B46" s="33"/>
      <c r="C46" s="33"/>
      <c r="D46" s="33"/>
      <c r="E46" s="33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5">
      <c r="A47" s="79" t="s">
        <v>142</v>
      </c>
      <c r="B47" s="25"/>
      <c r="C47" s="25"/>
      <c r="D47" s="25"/>
      <c r="E47" s="80">
        <f>E41-E43</f>
        <v>53600161</v>
      </c>
      <c r="F47" s="80">
        <f>F41-F43</f>
        <v>65177412.61000001</v>
      </c>
      <c r="G47" s="80">
        <f>G41-G43</f>
        <v>78195386.7361</v>
      </c>
      <c r="H47"/>
      <c r="I47"/>
      <c r="J47"/>
      <c r="K47"/>
      <c r="L47"/>
      <c r="M47"/>
      <c r="N47"/>
      <c r="O47"/>
      <c r="P47"/>
      <c r="Q47"/>
      <c r="R47"/>
    </row>
  </sheetData>
  <printOptions/>
  <pageMargins left="0.75" right="0.29" top="1" bottom="1" header="0.5" footer="0.5"/>
  <pageSetup fitToHeight="2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5"/>
  <sheetViews>
    <sheetView zoomScale="75" zoomScaleNormal="75" workbookViewId="0" topLeftCell="A1">
      <selection activeCell="D10" sqref="D10"/>
    </sheetView>
  </sheetViews>
  <sheetFormatPr defaultColWidth="8.88671875" defaultRowHeight="15"/>
  <cols>
    <col min="5" max="7" width="12.21484375" style="0" bestFit="1" customWidth="1"/>
  </cols>
  <sheetData>
    <row r="1" ht="15">
      <c r="E1" t="s">
        <v>194</v>
      </c>
    </row>
    <row r="2" spans="1:14" ht="18.75">
      <c r="A2" s="6"/>
      <c r="B2" s="6"/>
      <c r="C2" s="6"/>
      <c r="D2" s="6"/>
      <c r="E2" s="96">
        <v>1999</v>
      </c>
      <c r="F2" s="96">
        <v>2000</v>
      </c>
      <c r="G2" s="96">
        <v>2001</v>
      </c>
      <c r="H2" s="6"/>
      <c r="I2" s="6"/>
      <c r="J2" s="6"/>
      <c r="K2" s="6"/>
      <c r="L2" s="96">
        <v>1999</v>
      </c>
      <c r="M2" s="96">
        <v>2000</v>
      </c>
      <c r="N2" s="96">
        <v>2001</v>
      </c>
    </row>
    <row r="3" spans="1:14" ht="15">
      <c r="A3" s="7" t="s">
        <v>1</v>
      </c>
      <c r="B3" s="84" t="s">
        <v>2</v>
      </c>
      <c r="C3" s="85"/>
      <c r="D3" s="86"/>
      <c r="E3" s="11"/>
      <c r="F3" s="11"/>
      <c r="G3" s="11"/>
      <c r="H3" s="7" t="s">
        <v>1</v>
      </c>
      <c r="I3" s="84" t="s">
        <v>2</v>
      </c>
      <c r="J3" s="85"/>
      <c r="K3" s="86"/>
      <c r="L3" s="11"/>
      <c r="M3" s="11"/>
      <c r="N3" s="11"/>
    </row>
    <row r="4" spans="1:14" ht="15">
      <c r="A4" s="14" t="s">
        <v>150</v>
      </c>
      <c r="B4" s="83"/>
      <c r="C4" s="52"/>
      <c r="D4" s="32"/>
      <c r="E4" s="87"/>
      <c r="F4" s="87"/>
      <c r="G4" s="87"/>
      <c r="H4" s="14" t="s">
        <v>150</v>
      </c>
      <c r="I4" s="83"/>
      <c r="J4" s="52"/>
      <c r="K4" s="32"/>
      <c r="L4" s="11"/>
      <c r="M4" s="11"/>
      <c r="N4" s="11"/>
    </row>
    <row r="5" spans="1:14" ht="15">
      <c r="A5" s="19" t="s">
        <v>3</v>
      </c>
      <c r="B5" s="24" t="s">
        <v>148</v>
      </c>
      <c r="C5" s="21"/>
      <c r="D5" s="82"/>
      <c r="E5" s="22">
        <f>1800000000</f>
        <v>1800000000</v>
      </c>
      <c r="F5" s="22">
        <f>(E5*0.12)+E5</f>
        <v>2016000000</v>
      </c>
      <c r="G5" s="22">
        <f>(F5*0.12)+F5</f>
        <v>2257920000</v>
      </c>
      <c r="H5" s="23" t="s">
        <v>3</v>
      </c>
      <c r="I5" s="24" t="s">
        <v>147</v>
      </c>
      <c r="J5" s="21"/>
      <c r="K5" s="18"/>
      <c r="L5" s="22"/>
      <c r="M5" s="22"/>
      <c r="N5" s="22"/>
    </row>
    <row r="6" spans="1:14" ht="15">
      <c r="A6" s="19" t="s">
        <v>4</v>
      </c>
      <c r="B6" s="21" t="s">
        <v>178</v>
      </c>
      <c r="C6" s="25"/>
      <c r="D6" s="20"/>
      <c r="E6" s="22">
        <v>60000000</v>
      </c>
      <c r="F6" s="22">
        <f>(E6*0.12)+E6</f>
        <v>67200000</v>
      </c>
      <c r="G6" s="22">
        <f>(F6*0.12)+F6</f>
        <v>75264000</v>
      </c>
      <c r="H6" s="19"/>
      <c r="I6" s="20" t="s">
        <v>134</v>
      </c>
      <c r="J6" s="21"/>
      <c r="K6" s="18"/>
      <c r="L6" s="22">
        <v>115500000</v>
      </c>
      <c r="M6" s="22">
        <f>(L6*0.12)+L6</f>
        <v>129360000</v>
      </c>
      <c r="N6" s="22">
        <f>(M6*0.12)+M6</f>
        <v>144883200</v>
      </c>
    </row>
    <row r="7" spans="1:14" ht="15">
      <c r="A7" s="27" t="s">
        <v>181</v>
      </c>
      <c r="B7" s="28"/>
      <c r="C7" s="21"/>
      <c r="D7" s="20"/>
      <c r="E7" s="22"/>
      <c r="F7" s="22"/>
      <c r="G7" s="22"/>
      <c r="H7" s="19"/>
      <c r="I7" s="20" t="s">
        <v>135</v>
      </c>
      <c r="J7" s="21"/>
      <c r="K7" s="81"/>
      <c r="L7" s="22">
        <v>43875000</v>
      </c>
      <c r="M7" s="22">
        <f>(L7*0.12)+L7</f>
        <v>49140000</v>
      </c>
      <c r="N7" s="22">
        <f>(M7*0.12)+M7</f>
        <v>55036800</v>
      </c>
    </row>
    <row r="8" spans="1:14" ht="15">
      <c r="A8" s="23" t="s">
        <v>3</v>
      </c>
      <c r="B8" s="31" t="s">
        <v>6</v>
      </c>
      <c r="C8" s="16"/>
      <c r="D8" s="17"/>
      <c r="E8" s="32"/>
      <c r="F8" s="32"/>
      <c r="G8" s="32"/>
      <c r="H8" s="19"/>
      <c r="I8" s="20" t="s">
        <v>136</v>
      </c>
      <c r="J8" s="21"/>
      <c r="K8" s="81"/>
      <c r="L8" s="22">
        <v>15000000</v>
      </c>
      <c r="M8" s="22">
        <f>(L8*0.12)+L8</f>
        <v>16800000</v>
      </c>
      <c r="N8" s="22">
        <f>(M8*0.12)+M8</f>
        <v>18816000</v>
      </c>
    </row>
    <row r="9" spans="1:14" ht="15">
      <c r="A9" s="19"/>
      <c r="B9" s="21" t="s">
        <v>7</v>
      </c>
      <c r="C9" s="25"/>
      <c r="D9" s="20"/>
      <c r="E9" s="22">
        <f>(61246054+17230558+4643190+3506692)+(33500000)+(346218573)</f>
        <v>466345067</v>
      </c>
      <c r="F9" s="22">
        <f>(E9*0.12)+E9</f>
        <v>522306475.04</v>
      </c>
      <c r="G9" s="22">
        <f>(F9*0.12)+F9</f>
        <v>584983252.0448</v>
      </c>
      <c r="H9" s="19"/>
      <c r="I9" s="20" t="s">
        <v>137</v>
      </c>
      <c r="J9" s="21"/>
      <c r="K9" s="81"/>
      <c r="L9" s="22">
        <v>8000000</v>
      </c>
      <c r="M9" s="22">
        <f>(L9*0.12)+L9</f>
        <v>8960000</v>
      </c>
      <c r="N9" s="22">
        <f>(M9*0.12)+M9</f>
        <v>10035200</v>
      </c>
    </row>
    <row r="10" spans="1:14" ht="15">
      <c r="A10" s="19"/>
      <c r="B10" s="21" t="s">
        <v>8</v>
      </c>
      <c r="C10" s="25"/>
      <c r="D10" s="20"/>
      <c r="E10" s="30">
        <v>1019429000</v>
      </c>
      <c r="F10" s="22">
        <v>764572000</v>
      </c>
      <c r="G10" s="22">
        <v>509714000</v>
      </c>
      <c r="H10" s="19"/>
      <c r="I10" s="20" t="s">
        <v>139</v>
      </c>
      <c r="J10" s="21"/>
      <c r="K10" s="81"/>
      <c r="L10" s="22">
        <v>227000000</v>
      </c>
      <c r="M10" s="22">
        <f>(L10*0.12)+L10</f>
        <v>254240000</v>
      </c>
      <c r="N10" s="22">
        <f>(M10*0.12)+M10</f>
        <v>284748800</v>
      </c>
    </row>
    <row r="11" spans="1:14" ht="15">
      <c r="A11" s="19"/>
      <c r="B11" s="21" t="s">
        <v>176</v>
      </c>
      <c r="C11" s="25"/>
      <c r="D11" s="20"/>
      <c r="E11" s="29">
        <v>2000000000</v>
      </c>
      <c r="F11" s="22">
        <f>(E11*0.12)+E11</f>
        <v>2240000000</v>
      </c>
      <c r="G11" s="22">
        <f>(F11*0.12)+F11</f>
        <v>2508800000</v>
      </c>
      <c r="H11" s="19" t="s">
        <v>4</v>
      </c>
      <c r="I11" s="21" t="s">
        <v>178</v>
      </c>
      <c r="J11" s="25"/>
      <c r="K11" s="20"/>
      <c r="L11" s="22">
        <v>40000000</v>
      </c>
      <c r="M11" s="22">
        <f>(L11*0.12)+L11</f>
        <v>44800000</v>
      </c>
      <c r="N11" s="22">
        <f>(M11*0.12)+M11</f>
        <v>50176000</v>
      </c>
    </row>
    <row r="12" spans="1:14" ht="15">
      <c r="A12" s="23" t="s">
        <v>4</v>
      </c>
      <c r="B12" s="31" t="s">
        <v>9</v>
      </c>
      <c r="C12" s="16"/>
      <c r="D12" s="17"/>
      <c r="E12" s="6"/>
      <c r="F12" s="6"/>
      <c r="G12" s="6"/>
      <c r="H12" s="27" t="s">
        <v>181</v>
      </c>
      <c r="I12" s="28"/>
      <c r="J12" s="21"/>
      <c r="K12" s="20"/>
      <c r="L12" s="22"/>
      <c r="M12" s="22"/>
      <c r="N12" s="22"/>
    </row>
    <row r="13" spans="1:14" ht="15">
      <c r="A13" s="34"/>
      <c r="B13" s="21" t="s">
        <v>132</v>
      </c>
      <c r="C13" s="25"/>
      <c r="D13" s="20"/>
      <c r="E13" s="22">
        <v>10500000</v>
      </c>
      <c r="F13" s="22">
        <f>(E13*0.12)+E13</f>
        <v>11760000</v>
      </c>
      <c r="G13" s="22">
        <f>(F13*0.12)+F13</f>
        <v>13171200</v>
      </c>
      <c r="H13" s="23" t="s">
        <v>3</v>
      </c>
      <c r="I13" s="31" t="s">
        <v>6</v>
      </c>
      <c r="J13" s="16"/>
      <c r="K13" s="17"/>
      <c r="L13" s="32"/>
      <c r="M13" s="32"/>
      <c r="N13" s="32"/>
    </row>
    <row r="14" spans="1:14" ht="15">
      <c r="A14" s="34"/>
      <c r="B14" s="21" t="s">
        <v>175</v>
      </c>
      <c r="C14" s="25"/>
      <c r="D14" s="20"/>
      <c r="E14" s="30">
        <v>36000000</v>
      </c>
      <c r="F14" s="22"/>
      <c r="G14" s="22">
        <f>(F14*0.12)+F14</f>
        <v>0</v>
      </c>
      <c r="H14" s="19"/>
      <c r="I14" s="21" t="s">
        <v>7</v>
      </c>
      <c r="J14" s="25"/>
      <c r="K14" s="20"/>
      <c r="L14" s="22">
        <v>177000000</v>
      </c>
      <c r="M14" s="22">
        <f>(L14*0.12)+L14</f>
        <v>198240000</v>
      </c>
      <c r="N14" s="22">
        <f>(M14*0.12)+M14</f>
        <v>222028800</v>
      </c>
    </row>
    <row r="15" spans="1:14" ht="15">
      <c r="A15" s="34"/>
      <c r="B15" s="6" t="s">
        <v>124</v>
      </c>
      <c r="C15" s="6"/>
      <c r="D15" s="17"/>
      <c r="E15" s="11">
        <v>1000000</v>
      </c>
      <c r="F15" s="22">
        <f>(E15*0.12)+E15</f>
        <v>1120000</v>
      </c>
      <c r="G15" s="22">
        <f>(F15*0.12)+F15</f>
        <v>1254400</v>
      </c>
      <c r="H15" s="19"/>
      <c r="I15" s="21" t="s">
        <v>176</v>
      </c>
      <c r="J15" s="25"/>
      <c r="K15" s="20"/>
      <c r="L15" s="29">
        <v>400000000</v>
      </c>
      <c r="M15" s="22">
        <f>(L15*0.12)+L15</f>
        <v>448000000</v>
      </c>
      <c r="N15" s="22">
        <f>(M15*0.12)+M15</f>
        <v>501760000</v>
      </c>
    </row>
    <row r="16" spans="1:14" ht="15">
      <c r="A16" s="37"/>
      <c r="B16" s="38" t="s">
        <v>109</v>
      </c>
      <c r="C16" s="38"/>
      <c r="D16" s="36"/>
      <c r="E16" s="39">
        <f>SUM(E5:E15)</f>
        <v>5393274067</v>
      </c>
      <c r="F16" s="39">
        <f>SUM(F5:F15)</f>
        <v>5622958475.04</v>
      </c>
      <c r="G16" s="39">
        <f>SUM(G5:G15)</f>
        <v>5951106852.0448</v>
      </c>
      <c r="H16" s="37"/>
      <c r="I16" s="38" t="s">
        <v>109</v>
      </c>
      <c r="J16" s="38"/>
      <c r="K16" s="36"/>
      <c r="L16" s="39">
        <f>SUM(L5:L15)</f>
        <v>1026375000</v>
      </c>
      <c r="M16" s="39">
        <f>SUM(M5:M15)</f>
        <v>1149540000</v>
      </c>
      <c r="N16" s="39">
        <f>SUM(N5:N15)</f>
        <v>1287484800</v>
      </c>
    </row>
    <row r="17" spans="1:14" ht="15">
      <c r="A17" s="44" t="s">
        <v>11</v>
      </c>
      <c r="B17" s="4" t="s">
        <v>12</v>
      </c>
      <c r="C17" s="45"/>
      <c r="D17" s="46"/>
      <c r="E17" s="97"/>
      <c r="F17" s="47"/>
      <c r="G17" s="47"/>
      <c r="H17" s="44" t="s">
        <v>11</v>
      </c>
      <c r="I17" s="4" t="s">
        <v>12</v>
      </c>
      <c r="J17" s="45"/>
      <c r="K17" s="46"/>
      <c r="L17" s="47"/>
      <c r="M17" s="47"/>
      <c r="N17" s="47"/>
    </row>
    <row r="18" spans="1:14" ht="15">
      <c r="A18" s="27" t="s">
        <v>155</v>
      </c>
      <c r="B18" s="15"/>
      <c r="C18" s="16"/>
      <c r="D18" s="17"/>
      <c r="E18" s="87"/>
      <c r="F18" s="87"/>
      <c r="G18" s="87"/>
      <c r="H18" s="27" t="s">
        <v>155</v>
      </c>
      <c r="I18" s="15"/>
      <c r="J18" s="16"/>
      <c r="K18" s="17"/>
      <c r="L18" s="11"/>
      <c r="M18" s="11"/>
      <c r="N18" s="11"/>
    </row>
    <row r="19" spans="1:14" ht="15">
      <c r="A19" s="34"/>
      <c r="B19" s="21" t="s">
        <v>167</v>
      </c>
      <c r="C19" s="25"/>
      <c r="D19" s="20"/>
      <c r="E19" s="26">
        <v>300000000</v>
      </c>
      <c r="F19" s="22">
        <f>(E19*0.05)+E19</f>
        <v>315000000</v>
      </c>
      <c r="G19" s="22">
        <f>(F19*0.05)+F19</f>
        <v>330750000</v>
      </c>
      <c r="H19" s="34"/>
      <c r="I19" s="21" t="s">
        <v>168</v>
      </c>
      <c r="J19" s="25"/>
      <c r="K19" s="20"/>
      <c r="L19" s="30">
        <v>24000000</v>
      </c>
      <c r="M19" s="22">
        <f>(L19*0.05)+L19</f>
        <v>25200000</v>
      </c>
      <c r="N19" s="22">
        <f>(M19*0.05)+M19</f>
        <v>26460000</v>
      </c>
    </row>
    <row r="20" spans="1:14" ht="15">
      <c r="A20" s="34"/>
      <c r="B20" s="21" t="s">
        <v>156</v>
      </c>
      <c r="C20" s="25"/>
      <c r="D20" s="20"/>
      <c r="E20" s="30">
        <v>300000000</v>
      </c>
      <c r="F20" s="22">
        <v>410000000</v>
      </c>
      <c r="G20" s="22">
        <v>440000000</v>
      </c>
      <c r="H20" s="34"/>
      <c r="I20" s="21" t="s">
        <v>117</v>
      </c>
      <c r="J20" s="25"/>
      <c r="K20" s="20"/>
      <c r="L20" s="30">
        <v>2000000</v>
      </c>
      <c r="M20" s="22">
        <f>(L20*0.05)+L20</f>
        <v>2100000</v>
      </c>
      <c r="N20" s="22">
        <f>(M20*0.05)+M20</f>
        <v>2205000</v>
      </c>
    </row>
    <row r="21" spans="1:14" ht="15">
      <c r="A21" s="34"/>
      <c r="B21" s="21" t="s">
        <v>193</v>
      </c>
      <c r="C21" s="25"/>
      <c r="D21" s="20"/>
      <c r="E21" s="30">
        <v>10000000</v>
      </c>
      <c r="F21" s="22">
        <f>(E21*0.05)+E21</f>
        <v>10500000</v>
      </c>
      <c r="G21" s="22">
        <f>(F21*0.05)+F21</f>
        <v>11025000</v>
      </c>
      <c r="H21" s="34"/>
      <c r="I21" s="21" t="s">
        <v>15</v>
      </c>
      <c r="J21" s="25"/>
      <c r="K21" s="20"/>
      <c r="L21" s="30">
        <v>3000000</v>
      </c>
      <c r="M21" s="22">
        <f>(L21*0.05)+L21</f>
        <v>3150000</v>
      </c>
      <c r="N21" s="22">
        <f>(M21*0.05)+M21</f>
        <v>3307500</v>
      </c>
    </row>
    <row r="22" spans="1:14" ht="15">
      <c r="A22" s="34"/>
      <c r="B22" s="21" t="s">
        <v>117</v>
      </c>
      <c r="C22" s="25"/>
      <c r="D22" s="20"/>
      <c r="E22" s="30">
        <v>17200000</v>
      </c>
      <c r="F22" s="22">
        <f>(E22*0.05)+E22</f>
        <v>18060000</v>
      </c>
      <c r="G22" s="22">
        <f>(F22*0.05)+F22</f>
        <v>18963000</v>
      </c>
      <c r="H22" s="34"/>
      <c r="I22" s="21" t="s">
        <v>16</v>
      </c>
      <c r="J22" s="25"/>
      <c r="K22" s="20"/>
      <c r="L22" s="30">
        <v>2000000</v>
      </c>
      <c r="M22" s="22">
        <f>(L22*0.05)+L22</f>
        <v>2100000</v>
      </c>
      <c r="N22" s="22">
        <f>(M22*0.05)+M22</f>
        <v>2205000</v>
      </c>
    </row>
    <row r="23" spans="1:14" ht="15">
      <c r="A23" s="34"/>
      <c r="B23" s="21" t="s">
        <v>14</v>
      </c>
      <c r="C23" s="25"/>
      <c r="D23" s="20"/>
      <c r="E23" s="30">
        <v>75000000</v>
      </c>
      <c r="F23" s="22">
        <f>(E23*0.05)+E23</f>
        <v>78750000</v>
      </c>
      <c r="G23" s="22">
        <f>(F23*0.05)+F23</f>
        <v>82687500</v>
      </c>
      <c r="H23" s="34"/>
      <c r="I23" s="21" t="s">
        <v>17</v>
      </c>
      <c r="J23" s="25"/>
      <c r="K23" s="20"/>
      <c r="L23" s="51">
        <v>13000000</v>
      </c>
      <c r="M23" s="22">
        <f>(L23*0.05)+L23</f>
        <v>13650000</v>
      </c>
      <c r="N23" s="22">
        <f>(M23*0.05)+M23</f>
        <v>14332500</v>
      </c>
    </row>
    <row r="24" spans="1:14" ht="15">
      <c r="A24" s="34"/>
      <c r="B24" s="21" t="s">
        <v>15</v>
      </c>
      <c r="C24" s="25"/>
      <c r="D24" s="20"/>
      <c r="E24" s="30">
        <v>10000000</v>
      </c>
      <c r="F24" s="22">
        <f>(E24*0.05)+E24</f>
        <v>10500000</v>
      </c>
      <c r="G24" s="22">
        <f>(F24*0.05)+F24</f>
        <v>11025000</v>
      </c>
      <c r="H24" s="34"/>
      <c r="I24" s="21" t="s">
        <v>10</v>
      </c>
      <c r="J24" s="25"/>
      <c r="K24" s="20"/>
      <c r="L24" s="30"/>
      <c r="M24" s="30"/>
      <c r="N24" s="30"/>
    </row>
    <row r="25" spans="1:14" ht="15">
      <c r="A25" s="34"/>
      <c r="B25" s="21" t="s">
        <v>16</v>
      </c>
      <c r="C25" s="25"/>
      <c r="D25" s="20"/>
      <c r="E25" s="30">
        <v>9000000</v>
      </c>
      <c r="F25" s="22">
        <f>(E25*0.05)+E25</f>
        <v>9450000</v>
      </c>
      <c r="G25" s="22">
        <f>(F25*0.05)+F25</f>
        <v>9922500</v>
      </c>
      <c r="H25" s="27" t="s">
        <v>159</v>
      </c>
      <c r="I25" s="15"/>
      <c r="J25" s="16"/>
      <c r="K25" s="17"/>
      <c r="L25" s="11"/>
      <c r="M25" s="11"/>
      <c r="N25" s="11"/>
    </row>
    <row r="26" spans="1:14" ht="15">
      <c r="A26" s="34"/>
      <c r="B26" s="21" t="s">
        <v>17</v>
      </c>
      <c r="C26" s="25"/>
      <c r="D26" s="20"/>
      <c r="E26" s="30">
        <v>2000000</v>
      </c>
      <c r="F26" s="22">
        <f>(E26*0.05)+E26</f>
        <v>2100000</v>
      </c>
      <c r="G26" s="22">
        <f>(F26*0.05)+F26</f>
        <v>2205000</v>
      </c>
      <c r="H26" s="34"/>
      <c r="I26" s="21" t="s">
        <v>20</v>
      </c>
      <c r="J26" s="25"/>
      <c r="K26" s="20"/>
      <c r="L26" s="30">
        <v>100000</v>
      </c>
      <c r="M26" s="22">
        <f>(L26*0.05)+L26</f>
        <v>105000</v>
      </c>
      <c r="N26" s="22">
        <f>(M26*0.05)+M26</f>
        <v>110250</v>
      </c>
    </row>
    <row r="27" spans="1:14" ht="15">
      <c r="A27" s="34"/>
      <c r="B27" s="21" t="s">
        <v>18</v>
      </c>
      <c r="C27" s="25"/>
      <c r="D27" s="20"/>
      <c r="E27" s="30">
        <v>200000000</v>
      </c>
      <c r="F27" s="22">
        <f>(E27*0.05)+E27</f>
        <v>210000000</v>
      </c>
      <c r="G27" s="22">
        <f>(F27*0.05)+F27</f>
        <v>220500000</v>
      </c>
      <c r="H27" s="34"/>
      <c r="I27" s="21" t="s">
        <v>23</v>
      </c>
      <c r="J27" s="25"/>
      <c r="K27" s="20"/>
      <c r="L27" s="30">
        <v>4851000</v>
      </c>
      <c r="M27" s="22">
        <f>(L27*0.05)+L27</f>
        <v>5093550</v>
      </c>
      <c r="N27" s="22">
        <f>(M27*0.05)+M27</f>
        <v>5348227.5</v>
      </c>
    </row>
    <row r="28" spans="1:14" ht="15">
      <c r="A28" s="34"/>
      <c r="B28" s="21" t="s">
        <v>10</v>
      </c>
      <c r="C28" s="25"/>
      <c r="D28" s="20"/>
      <c r="E28" s="30">
        <v>0</v>
      </c>
      <c r="F28" s="22">
        <f>(E28*0.05)+E28</f>
        <v>0</v>
      </c>
      <c r="G28" s="22">
        <f>(F28*0.05)+F28</f>
        <v>0</v>
      </c>
      <c r="H28" s="34"/>
      <c r="I28" s="21" t="s">
        <v>24</v>
      </c>
      <c r="J28" s="25"/>
      <c r="K28" s="20"/>
      <c r="L28" s="30">
        <v>2618000</v>
      </c>
      <c r="M28" s="22">
        <f>(L28*0.05)+L28</f>
        <v>2748900</v>
      </c>
      <c r="N28" s="22">
        <f>(M28*0.05)+M28</f>
        <v>2886345</v>
      </c>
    </row>
    <row r="29" spans="1:14" ht="15">
      <c r="A29" s="27" t="s">
        <v>159</v>
      </c>
      <c r="B29" s="15"/>
      <c r="C29" s="16"/>
      <c r="D29" s="17"/>
      <c r="E29" s="11"/>
      <c r="F29" s="11"/>
      <c r="G29" s="11"/>
      <c r="H29" s="34"/>
      <c r="I29" s="21" t="s">
        <v>119</v>
      </c>
      <c r="J29" s="25"/>
      <c r="K29" s="20"/>
      <c r="L29" s="30">
        <v>3550000</v>
      </c>
      <c r="M29" s="22">
        <f>(L29*0.05)+L29</f>
        <v>3727500</v>
      </c>
      <c r="N29" s="22">
        <f>(M29*0.05)+M29</f>
        <v>3913875</v>
      </c>
    </row>
    <row r="30" spans="1:14" ht="15">
      <c r="A30" s="34"/>
      <c r="B30" s="21" t="s">
        <v>20</v>
      </c>
      <c r="C30" s="25"/>
      <c r="D30" s="20"/>
      <c r="E30" s="30">
        <v>63000000</v>
      </c>
      <c r="F30" s="22">
        <f>(E30*0.05)+E30</f>
        <v>66150000</v>
      </c>
      <c r="G30" s="22">
        <f>(F30*0.05)+F30</f>
        <v>69457500</v>
      </c>
      <c r="H30" s="34"/>
      <c r="I30" s="21" t="s">
        <v>120</v>
      </c>
      <c r="J30" s="25"/>
      <c r="K30" s="20"/>
      <c r="L30" s="56">
        <v>3000000</v>
      </c>
      <c r="M30" s="22">
        <f>(L30*0.05)+L30</f>
        <v>3150000</v>
      </c>
      <c r="N30" s="22">
        <f>(M30*0.05)+M30</f>
        <v>3307500</v>
      </c>
    </row>
    <row r="31" spans="1:14" ht="15">
      <c r="A31" s="34"/>
      <c r="B31" s="21" t="s">
        <v>102</v>
      </c>
      <c r="C31" s="25"/>
      <c r="D31" s="20"/>
      <c r="E31" s="51">
        <v>35000000</v>
      </c>
      <c r="F31" s="22">
        <f>(E31*0.05)+E31</f>
        <v>36750000</v>
      </c>
      <c r="G31" s="22">
        <f>(F31*0.05)+F31</f>
        <v>38587500</v>
      </c>
      <c r="H31" s="34"/>
      <c r="I31" s="21" t="s">
        <v>171</v>
      </c>
      <c r="J31" s="25"/>
      <c r="K31" s="20"/>
      <c r="L31" s="30">
        <v>154212500</v>
      </c>
      <c r="M31" s="22">
        <f>(L31*0.05)+L31</f>
        <v>161923125</v>
      </c>
      <c r="N31" s="22">
        <f>(M31*0.05)+M31</f>
        <v>170019281.25</v>
      </c>
    </row>
    <row r="32" spans="1:14" ht="15">
      <c r="A32" s="34"/>
      <c r="B32" s="53" t="s">
        <v>22</v>
      </c>
      <c r="C32" s="35"/>
      <c r="D32" s="36"/>
      <c r="E32" s="29">
        <v>71900000</v>
      </c>
      <c r="F32" s="22">
        <f>(E32*0.05)+E32</f>
        <v>75495000</v>
      </c>
      <c r="G32" s="22">
        <f>(F32*0.05)+F32</f>
        <v>79269750</v>
      </c>
      <c r="H32" s="34"/>
      <c r="I32" s="21" t="s">
        <v>172</v>
      </c>
      <c r="J32" s="25"/>
      <c r="K32" s="20"/>
      <c r="L32" s="30">
        <v>70000000</v>
      </c>
      <c r="M32" s="22">
        <f>(L32*0.05)+L32</f>
        <v>73500000</v>
      </c>
      <c r="N32" s="22">
        <f>(M32*0.05)+M32</f>
        <v>77175000</v>
      </c>
    </row>
    <row r="33" spans="1:14" ht="15">
      <c r="A33" s="34"/>
      <c r="B33" s="21" t="s">
        <v>118</v>
      </c>
      <c r="C33" s="25"/>
      <c r="D33" s="20"/>
      <c r="E33" s="51">
        <v>29000000</v>
      </c>
      <c r="F33" s="22">
        <f>(E33*0.05)+E33</f>
        <v>30450000</v>
      </c>
      <c r="G33" s="22">
        <f>(F33*0.05)+F33</f>
        <v>31972500</v>
      </c>
      <c r="H33" s="34"/>
      <c r="I33" s="21" t="s">
        <v>105</v>
      </c>
      <c r="J33" s="25"/>
      <c r="K33" s="20"/>
      <c r="L33" s="30">
        <v>350000000</v>
      </c>
      <c r="M33" s="22">
        <f>(L33*0.05)+L33</f>
        <v>367500000</v>
      </c>
      <c r="N33" s="22">
        <f>(M33*0.05)+M33</f>
        <v>385875000</v>
      </c>
    </row>
    <row r="34" spans="1:14" ht="15">
      <c r="A34" s="34"/>
      <c r="B34" s="21" t="s">
        <v>23</v>
      </c>
      <c r="C34" s="25"/>
      <c r="D34" s="20"/>
      <c r="E34" s="51">
        <v>31185000</v>
      </c>
      <c r="F34" s="22">
        <f>(E34*0.05)+E34</f>
        <v>32744250</v>
      </c>
      <c r="G34" s="22">
        <f>(F34*0.05)+F34</f>
        <v>34381462.5</v>
      </c>
      <c r="H34" s="34"/>
      <c r="I34" s="21" t="s">
        <v>30</v>
      </c>
      <c r="J34" s="25"/>
      <c r="K34" s="20"/>
      <c r="L34" s="30">
        <v>13000000</v>
      </c>
      <c r="M34" s="22">
        <f>(L34*0.05)+L34</f>
        <v>13650000</v>
      </c>
      <c r="N34" s="22">
        <f>(M34*0.05)+M34</f>
        <v>14332500</v>
      </c>
    </row>
    <row r="35" spans="1:14" ht="15">
      <c r="A35" s="34"/>
      <c r="B35" s="21" t="s">
        <v>24</v>
      </c>
      <c r="C35" s="25"/>
      <c r="D35" s="20"/>
      <c r="E35" s="30">
        <v>16830000</v>
      </c>
      <c r="F35" s="22">
        <f>(E35*0.05)+E35</f>
        <v>17671500</v>
      </c>
      <c r="G35" s="22">
        <f>(F35*0.05)+F35</f>
        <v>18555075</v>
      </c>
      <c r="H35" s="34"/>
      <c r="I35" s="21" t="s">
        <v>31</v>
      </c>
      <c r="J35" s="25"/>
      <c r="K35" s="20"/>
      <c r="L35" s="30">
        <f>600000*15</f>
        <v>9000000</v>
      </c>
      <c r="M35" s="22">
        <f>(L35*0.05)+L35</f>
        <v>9450000</v>
      </c>
      <c r="N35" s="22">
        <f>(M35*0.05)+M35</f>
        <v>9922500</v>
      </c>
    </row>
    <row r="36" spans="1:14" ht="15">
      <c r="A36" s="34"/>
      <c r="B36" s="21" t="s">
        <v>119</v>
      </c>
      <c r="C36" s="25"/>
      <c r="D36" s="20"/>
      <c r="E36" s="30">
        <v>30780000</v>
      </c>
      <c r="F36" s="22">
        <f>(E36*0.05)+E36</f>
        <v>32319000</v>
      </c>
      <c r="G36" s="22">
        <f>(F36*0.05)+F36</f>
        <v>33934950</v>
      </c>
      <c r="H36" s="34"/>
      <c r="I36" s="21" t="s">
        <v>121</v>
      </c>
      <c r="J36" s="25"/>
      <c r="K36" s="20"/>
      <c r="L36" s="30">
        <v>3800000</v>
      </c>
      <c r="M36" s="22">
        <f>(L36*0.05)+L36</f>
        <v>3990000</v>
      </c>
      <c r="N36" s="22">
        <f>(M36*0.05)+M36</f>
        <v>4189500</v>
      </c>
    </row>
    <row r="37" spans="1:14" ht="15">
      <c r="A37" s="34"/>
      <c r="B37" s="21" t="s">
        <v>120</v>
      </c>
      <c r="C37" s="25"/>
      <c r="D37" s="20"/>
      <c r="E37" s="56">
        <f>49210000-(62*35000*13)+3000000</f>
        <v>24000000</v>
      </c>
      <c r="F37" s="22">
        <f>(E37*0.05)+E37</f>
        <v>25200000</v>
      </c>
      <c r="G37" s="22">
        <f>(F37*0.05)+F37</f>
        <v>26460000</v>
      </c>
      <c r="H37" s="34"/>
      <c r="I37" s="21" t="s">
        <v>32</v>
      </c>
      <c r="J37" s="25"/>
      <c r="K37" s="20"/>
      <c r="L37" s="30">
        <v>6500000</v>
      </c>
      <c r="M37" s="22">
        <f>(L37*0.05)+L37</f>
        <v>6825000</v>
      </c>
      <c r="N37" s="22">
        <f>(M37*0.05)+M37</f>
        <v>7166250</v>
      </c>
    </row>
    <row r="38" spans="1:14" ht="15">
      <c r="A38" s="34"/>
      <c r="B38" s="21" t="s">
        <v>25</v>
      </c>
      <c r="C38" s="25"/>
      <c r="D38" s="20"/>
      <c r="E38" s="30">
        <v>45000000</v>
      </c>
      <c r="F38" s="22">
        <f>(E38*0.05)+E38</f>
        <v>47250000</v>
      </c>
      <c r="G38" s="22">
        <f>(F38*0.05)+F38</f>
        <v>49612500</v>
      </c>
      <c r="H38" s="34"/>
      <c r="I38" s="21" t="s">
        <v>33</v>
      </c>
      <c r="J38" s="25"/>
      <c r="K38" s="20"/>
      <c r="L38" s="30">
        <v>7000000</v>
      </c>
      <c r="M38" s="22">
        <f>(L38*0.05)+L38</f>
        <v>7350000</v>
      </c>
      <c r="N38" s="22">
        <f>(M38*0.05)+M38</f>
        <v>7717500</v>
      </c>
    </row>
    <row r="39" spans="1:14" ht="15">
      <c r="A39" s="34"/>
      <c r="B39" s="21" t="s">
        <v>104</v>
      </c>
      <c r="C39" s="25"/>
      <c r="D39" s="20"/>
      <c r="E39" s="30">
        <v>83000000</v>
      </c>
      <c r="F39" s="22">
        <f>(E39*0.05)+E39</f>
        <v>87150000</v>
      </c>
      <c r="G39" s="22">
        <f>(F39*0.05)+F39</f>
        <v>91507500</v>
      </c>
      <c r="H39" s="34"/>
      <c r="I39" s="21" t="s">
        <v>122</v>
      </c>
      <c r="J39" s="25"/>
      <c r="K39" s="20"/>
      <c r="L39" s="30">
        <v>2300000</v>
      </c>
      <c r="M39" s="22">
        <f>(L39*0.05)+L39</f>
        <v>2415000</v>
      </c>
      <c r="N39" s="22">
        <f>(M39*0.05)+M39</f>
        <v>2535750</v>
      </c>
    </row>
    <row r="40" spans="1:14" ht="15">
      <c r="A40" s="34"/>
      <c r="B40" s="21" t="s">
        <v>170</v>
      </c>
      <c r="C40" s="25"/>
      <c r="D40" s="20"/>
      <c r="E40" s="30">
        <v>38000000</v>
      </c>
      <c r="F40" s="22">
        <f>(E40*0.05)+E40</f>
        <v>39900000</v>
      </c>
      <c r="G40" s="22">
        <f>(F40*0.05)+F40</f>
        <v>41895000</v>
      </c>
      <c r="H40" s="34"/>
      <c r="I40" s="53" t="s">
        <v>34</v>
      </c>
      <c r="J40" s="35"/>
      <c r="K40" s="36"/>
      <c r="L40" s="29">
        <v>500000</v>
      </c>
      <c r="M40" s="22">
        <f>(L40*0.05)+L40</f>
        <v>525000</v>
      </c>
      <c r="N40" s="22">
        <f>(M40*0.05)+M40</f>
        <v>551250</v>
      </c>
    </row>
    <row r="41" spans="1:14" ht="15">
      <c r="A41" s="34"/>
      <c r="B41" s="21" t="s">
        <v>26</v>
      </c>
      <c r="C41" s="25"/>
      <c r="D41" s="20"/>
      <c r="E41" s="30">
        <v>38000000</v>
      </c>
      <c r="F41" s="22">
        <f>(E41*0.05)+E41</f>
        <v>39900000</v>
      </c>
      <c r="G41" s="22">
        <f>(F41*0.05)+F41</f>
        <v>41895000</v>
      </c>
      <c r="H41" s="34"/>
      <c r="I41" s="21" t="s">
        <v>35</v>
      </c>
      <c r="J41" s="25"/>
      <c r="K41" s="20"/>
      <c r="L41" s="30">
        <v>500000</v>
      </c>
      <c r="M41" s="22">
        <f>(L41*0.05)+L41</f>
        <v>525000</v>
      </c>
      <c r="N41" s="22">
        <f>(M41*0.05)+M41</f>
        <v>551250</v>
      </c>
    </row>
    <row r="42" spans="1:14" ht="15">
      <c r="A42" s="34"/>
      <c r="B42" s="21" t="s">
        <v>27</v>
      </c>
      <c r="C42" s="25"/>
      <c r="D42" s="20"/>
      <c r="E42" s="30">
        <v>153000000</v>
      </c>
      <c r="F42" s="22">
        <f>(E42*0.05)+E42</f>
        <v>160650000</v>
      </c>
      <c r="G42" s="22">
        <f>(F42*0.05)+F42</f>
        <v>168682500</v>
      </c>
      <c r="H42" s="34"/>
      <c r="I42" s="21" t="s">
        <v>108</v>
      </c>
      <c r="J42" s="25"/>
      <c r="K42" s="20"/>
      <c r="L42" s="30">
        <v>500000</v>
      </c>
      <c r="M42" s="22">
        <f>(L42*0.05)+L42</f>
        <v>525000</v>
      </c>
      <c r="N42" s="22">
        <f>(M42*0.05)+M42</f>
        <v>551250</v>
      </c>
    </row>
    <row r="43" spans="1:14" ht="15">
      <c r="A43" s="34"/>
      <c r="B43" s="21" t="s">
        <v>144</v>
      </c>
      <c r="C43" s="25"/>
      <c r="D43" s="20"/>
      <c r="E43" s="30">
        <v>149500000</v>
      </c>
      <c r="F43" s="22">
        <f>(E43*0.05)+E43</f>
        <v>156975000</v>
      </c>
      <c r="G43" s="22">
        <f>(F43*0.05)+F43</f>
        <v>164823750</v>
      </c>
      <c r="H43" s="60" t="s">
        <v>160</v>
      </c>
      <c r="I43" s="15"/>
      <c r="J43" s="16"/>
      <c r="K43" s="17"/>
      <c r="L43" s="22"/>
      <c r="M43" s="22"/>
      <c r="N43" s="22"/>
    </row>
    <row r="44" spans="1:14" ht="15">
      <c r="A44" s="34"/>
      <c r="B44" s="21" t="s">
        <v>158</v>
      </c>
      <c r="C44" s="25"/>
      <c r="D44" s="20"/>
      <c r="E44" s="30">
        <v>30000000</v>
      </c>
      <c r="F44" s="22">
        <f>(E44*0.05)+E44</f>
        <v>31500000</v>
      </c>
      <c r="G44" s="22">
        <f>(F44*0.05)+F44</f>
        <v>33075000</v>
      </c>
      <c r="H44" s="34"/>
      <c r="I44" s="21" t="s">
        <v>123</v>
      </c>
      <c r="J44" s="25"/>
      <c r="K44" s="20"/>
      <c r="L44" s="30">
        <v>42000000</v>
      </c>
      <c r="M44" s="22">
        <f>(L44*0.05)+L44</f>
        <v>44100000</v>
      </c>
      <c r="N44" s="22">
        <f>(M44*0.05)+M44</f>
        <v>46305000</v>
      </c>
    </row>
    <row r="45" spans="1:14" ht="15">
      <c r="A45" s="34"/>
      <c r="B45" s="21" t="s">
        <v>125</v>
      </c>
      <c r="C45" s="25"/>
      <c r="D45" s="20"/>
      <c r="E45" s="30">
        <v>3500000</v>
      </c>
      <c r="F45" s="22">
        <f>(E45*0.05)+E45</f>
        <v>3675000</v>
      </c>
      <c r="G45" s="22">
        <f>(F45*0.05)+F45</f>
        <v>3858750</v>
      </c>
      <c r="H45" s="27" t="s">
        <v>161</v>
      </c>
      <c r="I45" s="15"/>
      <c r="J45" s="16"/>
      <c r="K45" s="17"/>
      <c r="L45" s="11"/>
      <c r="M45" s="11"/>
      <c r="N45" s="11"/>
    </row>
    <row r="46" spans="1:14" ht="15">
      <c r="A46" s="34"/>
      <c r="B46" s="21" t="s">
        <v>173</v>
      </c>
      <c r="C46" s="25"/>
      <c r="D46" s="20"/>
      <c r="E46" s="30">
        <v>300000000</v>
      </c>
      <c r="F46" s="22">
        <f>(E46*0.05)+E46</f>
        <v>315000000</v>
      </c>
      <c r="G46" s="22">
        <f>(F46*0.05)+F46</f>
        <v>330750000</v>
      </c>
      <c r="H46" s="34"/>
      <c r="I46" s="21" t="s">
        <v>39</v>
      </c>
      <c r="J46" s="25"/>
      <c r="K46" s="20"/>
      <c r="L46" s="29">
        <v>319000000</v>
      </c>
      <c r="M46" s="22">
        <f>(L46*0.01)+L46</f>
        <v>322190000</v>
      </c>
      <c r="N46" s="22">
        <f>(M46*0.01)+M46</f>
        <v>325411900</v>
      </c>
    </row>
    <row r="47" spans="1:14" ht="15">
      <c r="A47" s="34"/>
      <c r="B47" s="21" t="s">
        <v>30</v>
      </c>
      <c r="C47" s="25"/>
      <c r="D47" s="20"/>
      <c r="E47" s="30">
        <v>2500000</v>
      </c>
      <c r="F47" s="22">
        <f>(E47*0.05)+E47</f>
        <v>2625000</v>
      </c>
      <c r="G47" s="22">
        <f>(F47*0.05)+F47</f>
        <v>2756250</v>
      </c>
      <c r="H47" s="34"/>
      <c r="I47" s="21" t="s">
        <v>103</v>
      </c>
      <c r="J47" s="25"/>
      <c r="K47" s="20"/>
      <c r="L47" s="30">
        <v>110000000</v>
      </c>
      <c r="M47" s="22">
        <f>(L47*0.01)+L47</f>
        <v>111100000</v>
      </c>
      <c r="N47" s="22">
        <f>(M47*0.01)+M47</f>
        <v>112211000</v>
      </c>
    </row>
    <row r="48" spans="1:14" ht="15">
      <c r="A48" s="34"/>
      <c r="B48" s="21" t="s">
        <v>31</v>
      </c>
      <c r="C48" s="25"/>
      <c r="D48" s="20"/>
      <c r="E48" s="30">
        <v>1500000</v>
      </c>
      <c r="F48" s="22">
        <f>(E48*0.05)+E48</f>
        <v>1575000</v>
      </c>
      <c r="G48" s="22">
        <f>(F48*0.05)+F48</f>
        <v>1653750</v>
      </c>
      <c r="H48" s="34"/>
      <c r="I48" s="21" t="s">
        <v>40</v>
      </c>
      <c r="J48" s="25"/>
      <c r="K48" s="20"/>
      <c r="L48" s="30">
        <v>29000000</v>
      </c>
      <c r="M48" s="22">
        <f>(L48*0.01)+L48</f>
        <v>29290000</v>
      </c>
      <c r="N48" s="22">
        <f>(M48*0.01)+M48</f>
        <v>29582900</v>
      </c>
    </row>
    <row r="49" spans="1:14" ht="15">
      <c r="A49" s="34"/>
      <c r="B49" s="21" t="s">
        <v>121</v>
      </c>
      <c r="C49" s="25"/>
      <c r="D49" s="20"/>
      <c r="E49" s="30">
        <v>1100000</v>
      </c>
      <c r="F49" s="22">
        <f>(E49*0.05)+E49</f>
        <v>1155000</v>
      </c>
      <c r="G49" s="22">
        <f>(F49*0.05)+F49</f>
        <v>1212750</v>
      </c>
      <c r="H49" s="34"/>
      <c r="I49" s="21" t="s">
        <v>41</v>
      </c>
      <c r="J49" s="25"/>
      <c r="K49" s="20"/>
      <c r="L49" s="51">
        <v>8000000</v>
      </c>
      <c r="M49" s="22">
        <f>(L49*0.01)+L49</f>
        <v>8080000</v>
      </c>
      <c r="N49" s="22">
        <f>(M49*0.01)+M49</f>
        <v>8160800</v>
      </c>
    </row>
    <row r="50" spans="1:14" ht="15">
      <c r="A50" s="34"/>
      <c r="B50" s="21" t="s">
        <v>32</v>
      </c>
      <c r="C50" s="25"/>
      <c r="D50" s="20"/>
      <c r="E50" s="30">
        <v>31000000</v>
      </c>
      <c r="F50" s="22">
        <f>(E50*0.05)+E50</f>
        <v>32550000</v>
      </c>
      <c r="G50" s="22">
        <f>(F50*0.05)+F50</f>
        <v>34177500</v>
      </c>
      <c r="H50" s="34"/>
      <c r="I50" s="21" t="s">
        <v>42</v>
      </c>
      <c r="J50" s="25"/>
      <c r="K50" s="20"/>
      <c r="L50" s="51">
        <v>17500000</v>
      </c>
      <c r="M50" s="22">
        <f>(L50*0.01)+L50</f>
        <v>17675000</v>
      </c>
      <c r="N50" s="22">
        <f>(M50*0.01)+M50</f>
        <v>17851750</v>
      </c>
    </row>
    <row r="51" spans="1:14" ht="15">
      <c r="A51" s="34"/>
      <c r="B51" s="21" t="s">
        <v>33</v>
      </c>
      <c r="C51" s="25"/>
      <c r="D51" s="20"/>
      <c r="E51" s="30">
        <v>4500000</v>
      </c>
      <c r="F51" s="22">
        <f>(E51*0.05)+E51</f>
        <v>4725000</v>
      </c>
      <c r="G51" s="22">
        <f>(F51*0.05)+F51</f>
        <v>4961250</v>
      </c>
      <c r="H51" s="34"/>
      <c r="I51" s="21" t="s">
        <v>43</v>
      </c>
      <c r="J51" s="25"/>
      <c r="K51" s="20"/>
      <c r="L51" s="30">
        <v>4000000</v>
      </c>
      <c r="M51" s="22">
        <f>(L51*0.01)+L51</f>
        <v>4040000</v>
      </c>
      <c r="N51" s="22">
        <f>(M51*0.01)+M51</f>
        <v>4080400</v>
      </c>
    </row>
    <row r="52" spans="1:14" ht="15">
      <c r="A52" s="34"/>
      <c r="B52" s="21" t="s">
        <v>122</v>
      </c>
      <c r="C52" s="25"/>
      <c r="D52" s="20"/>
      <c r="E52" s="30">
        <v>6000000</v>
      </c>
      <c r="F52" s="22">
        <f>(E52*0.05)+E52</f>
        <v>6300000</v>
      </c>
      <c r="G52" s="22">
        <f>(F52*0.05)+F52</f>
        <v>6615000</v>
      </c>
      <c r="H52" s="27" t="s">
        <v>162</v>
      </c>
      <c r="I52" s="15"/>
      <c r="J52" s="16"/>
      <c r="K52" s="17"/>
      <c r="L52" s="11"/>
      <c r="M52" s="11"/>
      <c r="N52" s="11"/>
    </row>
    <row r="53" spans="1:14" ht="15">
      <c r="A53" s="34"/>
      <c r="B53" s="53" t="s">
        <v>34</v>
      </c>
      <c r="C53" s="35"/>
      <c r="D53" s="36"/>
      <c r="E53" s="29">
        <v>500000</v>
      </c>
      <c r="F53" s="22">
        <f>(E53*0.05)+E53</f>
        <v>525000</v>
      </c>
      <c r="G53" s="22">
        <f>(F53*0.05)+F53</f>
        <v>551250</v>
      </c>
      <c r="H53" s="61"/>
      <c r="I53" s="21" t="s">
        <v>44</v>
      </c>
      <c r="J53" s="25"/>
      <c r="K53" s="20"/>
      <c r="L53" s="29">
        <v>5000000</v>
      </c>
      <c r="M53" s="29"/>
      <c r="N53" s="29"/>
    </row>
    <row r="54" spans="1:14" ht="15">
      <c r="A54" s="34"/>
      <c r="B54" s="21" t="s">
        <v>35</v>
      </c>
      <c r="C54" s="25"/>
      <c r="D54" s="20"/>
      <c r="E54" s="30">
        <v>1000000</v>
      </c>
      <c r="F54" s="22">
        <f>(E54*0.05)+E54</f>
        <v>1050000</v>
      </c>
      <c r="G54" s="22">
        <f>(F54*0.05)+F54</f>
        <v>1102500</v>
      </c>
      <c r="H54" s="27" t="s">
        <v>57</v>
      </c>
      <c r="I54" s="15" t="s">
        <v>58</v>
      </c>
      <c r="J54" s="16"/>
      <c r="K54" s="17"/>
      <c r="L54" s="11"/>
      <c r="M54" s="11"/>
      <c r="N54" s="11"/>
    </row>
    <row r="55" spans="1:14" ht="15">
      <c r="A55" s="34"/>
      <c r="B55" s="21" t="s">
        <v>108</v>
      </c>
      <c r="C55" s="25"/>
      <c r="D55" s="20"/>
      <c r="E55" s="30">
        <v>5000000</v>
      </c>
      <c r="F55" s="22">
        <f>(E55*0.05)+E55</f>
        <v>5250000</v>
      </c>
      <c r="G55" s="22">
        <f>(F55*0.05)+F55</f>
        <v>5512500</v>
      </c>
      <c r="H55" s="61"/>
      <c r="I55" s="16" t="s">
        <v>66</v>
      </c>
      <c r="J55" s="6"/>
      <c r="K55" s="17"/>
      <c r="L55" s="11">
        <v>2300000</v>
      </c>
      <c r="M55" s="11"/>
      <c r="N55" s="11"/>
    </row>
    <row r="56" spans="1:14" ht="15">
      <c r="A56" s="59"/>
      <c r="B56" s="53" t="s">
        <v>36</v>
      </c>
      <c r="C56" s="35"/>
      <c r="D56" s="36"/>
      <c r="E56" s="29">
        <v>0</v>
      </c>
      <c r="F56" s="22">
        <f>(E56*0.05)+E56</f>
        <v>0</v>
      </c>
      <c r="G56" s="22">
        <f>(F56*0.05)+F56</f>
        <v>0</v>
      </c>
      <c r="H56" s="37"/>
      <c r="I56" s="38" t="s">
        <v>109</v>
      </c>
      <c r="J56" s="38"/>
      <c r="K56" s="36"/>
      <c r="L56" s="39">
        <f>SUM(L19:L55)</f>
        <v>1212231500</v>
      </c>
      <c r="M56" s="39">
        <f>SUM(M19:M55)</f>
        <v>1245678075</v>
      </c>
      <c r="N56" s="39">
        <f>SUM(N19:N55)</f>
        <v>1288266978.75</v>
      </c>
    </row>
    <row r="57" spans="1:14" ht="15">
      <c r="A57" s="60" t="s">
        <v>160</v>
      </c>
      <c r="B57" s="15"/>
      <c r="C57" s="16"/>
      <c r="D57" s="17"/>
      <c r="E57" s="22"/>
      <c r="F57" s="22"/>
      <c r="G57" s="22"/>
      <c r="H57" s="7" t="s">
        <v>67</v>
      </c>
      <c r="I57" s="62" t="s">
        <v>68</v>
      </c>
      <c r="J57" s="45"/>
      <c r="K57" s="46"/>
      <c r="L57" s="40"/>
      <c r="M57" s="40"/>
      <c r="N57" s="40"/>
    </row>
    <row r="58" spans="1:14" ht="15">
      <c r="A58" s="34"/>
      <c r="B58" s="21" t="s">
        <v>37</v>
      </c>
      <c r="C58" s="25"/>
      <c r="D58" s="20"/>
      <c r="E58" s="29">
        <v>0</v>
      </c>
      <c r="F58" s="22">
        <f>(E58*0.05)+E58</f>
        <v>0</v>
      </c>
      <c r="G58" s="22">
        <f>(F58*0.5)+F58</f>
        <v>0</v>
      </c>
      <c r="H58" s="27" t="s">
        <v>69</v>
      </c>
      <c r="I58" s="28" t="s">
        <v>70</v>
      </c>
      <c r="J58" s="21"/>
      <c r="K58" s="20"/>
      <c r="L58" s="22"/>
      <c r="M58" s="22"/>
      <c r="N58" s="22"/>
    </row>
    <row r="59" spans="1:14" ht="15">
      <c r="A59" s="34"/>
      <c r="B59" s="21" t="s">
        <v>38</v>
      </c>
      <c r="C59" s="25"/>
      <c r="D59" s="20"/>
      <c r="E59" s="30">
        <v>0</v>
      </c>
      <c r="F59" s="22">
        <f>(E59*0.05)+E59</f>
        <v>0</v>
      </c>
      <c r="G59" s="22">
        <f>(F59*0.5)+F59</f>
        <v>0</v>
      </c>
      <c r="H59" s="27" t="s">
        <v>71</v>
      </c>
      <c r="I59" s="15" t="s">
        <v>72</v>
      </c>
      <c r="J59" s="16"/>
      <c r="K59" s="17"/>
      <c r="L59" s="63"/>
      <c r="M59" s="63"/>
      <c r="N59" s="63"/>
    </row>
    <row r="60" spans="1:14" ht="15">
      <c r="A60" s="34"/>
      <c r="B60" s="21" t="s">
        <v>123</v>
      </c>
      <c r="C60" s="25"/>
      <c r="D60" s="20"/>
      <c r="E60" s="30">
        <v>44000000</v>
      </c>
      <c r="F60" s="22">
        <f>(E60*0.05)+E60</f>
        <v>46200000</v>
      </c>
      <c r="G60" s="22">
        <f>(F60*0.05)+F60</f>
        <v>48510000</v>
      </c>
      <c r="H60" s="61"/>
      <c r="I60" s="21" t="s">
        <v>73</v>
      </c>
      <c r="J60" s="25"/>
      <c r="K60" s="20"/>
      <c r="L60" s="90">
        <v>-2500000</v>
      </c>
      <c r="M60" s="90"/>
      <c r="N60" s="90"/>
    </row>
    <row r="61" spans="1:14" ht="15">
      <c r="A61" s="34"/>
      <c r="B61" s="21" t="s">
        <v>10</v>
      </c>
      <c r="C61" s="25"/>
      <c r="D61" s="20"/>
      <c r="E61" s="30">
        <v>0</v>
      </c>
      <c r="F61" s="22">
        <f>(E61*0.05)+E61</f>
        <v>0</v>
      </c>
      <c r="G61" s="22">
        <f>(F61*0.5)+F61</f>
        <v>0</v>
      </c>
      <c r="H61" s="27" t="s">
        <v>76</v>
      </c>
      <c r="I61" s="15" t="s">
        <v>77</v>
      </c>
      <c r="J61" s="16"/>
      <c r="K61" s="17"/>
      <c r="L61" s="11"/>
      <c r="M61" s="11"/>
      <c r="N61" s="11"/>
    </row>
    <row r="62" spans="1:14" ht="15">
      <c r="A62" s="27" t="s">
        <v>161</v>
      </c>
      <c r="B62" s="15"/>
      <c r="C62" s="16"/>
      <c r="D62" s="17"/>
      <c r="E62" s="11"/>
      <c r="F62" s="11"/>
      <c r="G62" s="11"/>
      <c r="H62" s="65"/>
      <c r="I62" s="21" t="s">
        <v>81</v>
      </c>
      <c r="J62" s="25"/>
      <c r="K62" s="20"/>
      <c r="L62" s="89">
        <f>2000000/12</f>
        <v>166666.66666666666</v>
      </c>
      <c r="M62" s="89"/>
      <c r="N62" s="89"/>
    </row>
    <row r="63" spans="1:14" ht="15">
      <c r="A63" s="34"/>
      <c r="B63" s="21" t="s">
        <v>39</v>
      </c>
      <c r="C63" s="25"/>
      <c r="D63" s="20"/>
      <c r="E63" s="29">
        <f>1903421640+271803860+61246054</f>
        <v>2236471554</v>
      </c>
      <c r="F63" s="22">
        <f>(E63*0.01)+E63</f>
        <v>2258836269.54</v>
      </c>
      <c r="G63" s="22">
        <f>(F63*0.01)+F63</f>
        <v>2281424632.2354</v>
      </c>
      <c r="H63" s="37"/>
      <c r="I63" s="38" t="s">
        <v>109</v>
      </c>
      <c r="J63" s="38"/>
      <c r="K63" s="36"/>
      <c r="L63" s="88"/>
      <c r="M63" s="88"/>
      <c r="N63" s="88"/>
    </row>
    <row r="64" spans="1:14" ht="15">
      <c r="A64" s="34"/>
      <c r="B64" s="21" t="s">
        <v>103</v>
      </c>
      <c r="C64" s="25"/>
      <c r="D64" s="20"/>
      <c r="E64" s="30">
        <f>534801428+74113430+17230558</f>
        <v>626145416</v>
      </c>
      <c r="F64" s="22">
        <f>(E64*0.01)+E64</f>
        <v>632406870.16</v>
      </c>
      <c r="G64" s="22">
        <f>(F64*0.01)+F64</f>
        <v>638730938.8615999</v>
      </c>
      <c r="H64" s="44" t="s">
        <v>83</v>
      </c>
      <c r="I64" s="4" t="s">
        <v>84</v>
      </c>
      <c r="J64" s="45"/>
      <c r="K64" s="46"/>
      <c r="L64" s="67"/>
      <c r="M64" s="67"/>
      <c r="N64" s="67"/>
    </row>
    <row r="65" spans="1:14" ht="15">
      <c r="A65" s="34"/>
      <c r="B65" s="21" t="s">
        <v>40</v>
      </c>
      <c r="C65" s="25"/>
      <c r="D65" s="20"/>
      <c r="E65" s="30">
        <f>154548305+19946408+4643190</f>
        <v>179137903</v>
      </c>
      <c r="F65" s="22">
        <f>(E65*0.01)+E65</f>
        <v>180929282.03</v>
      </c>
      <c r="G65" s="22">
        <f>(F65*0.01)+F65</f>
        <v>182738574.8503</v>
      </c>
      <c r="H65" s="68"/>
      <c r="I65" s="69"/>
      <c r="J65" s="70"/>
      <c r="K65" s="71"/>
      <c r="L65" s="73"/>
      <c r="M65" s="73"/>
      <c r="N65" s="73"/>
    </row>
    <row r="66" spans="1:14" ht="15">
      <c r="A66" s="34"/>
      <c r="B66" s="21" t="s">
        <v>41</v>
      </c>
      <c r="C66" s="25"/>
      <c r="D66" s="20"/>
      <c r="E66" s="30">
        <v>9750000</v>
      </c>
      <c r="F66" s="22">
        <f>(E66*0.01)+E66</f>
        <v>9847500</v>
      </c>
      <c r="G66" s="22">
        <f>(F66*0.01)+F66</f>
        <v>9945975</v>
      </c>
      <c r="H66" s="37"/>
      <c r="I66" s="38" t="s">
        <v>109</v>
      </c>
      <c r="J66" s="38"/>
      <c r="K66" s="36"/>
      <c r="L66" s="39"/>
      <c r="M66" s="39"/>
      <c r="N66" s="39"/>
    </row>
    <row r="67" spans="1:14" ht="15">
      <c r="A67" s="34"/>
      <c r="B67" s="21" t="s">
        <v>42</v>
      </c>
      <c r="C67" s="25"/>
      <c r="D67" s="20"/>
      <c r="E67" s="30">
        <v>32571200</v>
      </c>
      <c r="F67" s="22">
        <f>(E67*0.01)+E67</f>
        <v>32896912</v>
      </c>
      <c r="G67" s="22">
        <f>(F67*0.01)+F67</f>
        <v>33225881.12</v>
      </c>
      <c r="H67" s="7" t="s">
        <v>85</v>
      </c>
      <c r="I67" s="8" t="s">
        <v>86</v>
      </c>
      <c r="J67" s="9"/>
      <c r="K67" s="10"/>
      <c r="L67" s="67"/>
      <c r="M67" s="67"/>
      <c r="N67" s="67"/>
    </row>
    <row r="68" spans="1:14" ht="15">
      <c r="A68" s="34"/>
      <c r="B68" s="21" t="s">
        <v>43</v>
      </c>
      <c r="C68" s="25"/>
      <c r="D68" s="20"/>
      <c r="E68" s="30"/>
      <c r="F68" s="30"/>
      <c r="G68" s="30"/>
      <c r="H68" s="27" t="s">
        <v>97</v>
      </c>
      <c r="I68" s="15" t="s">
        <v>98</v>
      </c>
      <c r="J68" s="16"/>
      <c r="K68" s="17"/>
      <c r="L68" s="32"/>
      <c r="M68" s="32"/>
      <c r="N68" s="32"/>
    </row>
    <row r="69" spans="1:14" ht="15">
      <c r="A69" s="27" t="s">
        <v>162</v>
      </c>
      <c r="B69" s="15"/>
      <c r="C69" s="16"/>
      <c r="D69" s="17"/>
      <c r="E69" s="11"/>
      <c r="F69" s="11"/>
      <c r="G69" s="11"/>
      <c r="H69" s="34"/>
      <c r="I69" s="21" t="s">
        <v>99</v>
      </c>
      <c r="J69" s="25"/>
      <c r="K69" s="20"/>
      <c r="L69" s="29"/>
      <c r="M69" s="29"/>
      <c r="N69" s="29"/>
    </row>
    <row r="70" spans="1:14" ht="15">
      <c r="A70" s="61"/>
      <c r="B70" s="21" t="s">
        <v>45</v>
      </c>
      <c r="C70" s="25"/>
      <c r="D70" s="20"/>
      <c r="E70" s="30">
        <v>63000000</v>
      </c>
      <c r="F70" s="30">
        <v>63000000</v>
      </c>
      <c r="G70" s="30">
        <v>63000000</v>
      </c>
      <c r="H70" s="59"/>
      <c r="I70" s="21" t="s">
        <v>100</v>
      </c>
      <c r="J70" s="25"/>
      <c r="K70" s="20"/>
      <c r="L70" s="30">
        <v>20000000</v>
      </c>
      <c r="M70" s="22">
        <f>(L70*0.01)+L70</f>
        <v>20200000</v>
      </c>
      <c r="N70" s="22">
        <f>(M70*0.01)+M70</f>
        <v>20402000</v>
      </c>
    </row>
    <row r="71" spans="1:14" ht="15">
      <c r="A71" s="27" t="s">
        <v>47</v>
      </c>
      <c r="B71" s="15" t="s">
        <v>48</v>
      </c>
      <c r="C71" s="16"/>
      <c r="D71" s="17"/>
      <c r="E71" s="11"/>
      <c r="F71" s="11"/>
      <c r="G71" s="11"/>
      <c r="H71" s="37"/>
      <c r="I71" s="38" t="s">
        <v>109</v>
      </c>
      <c r="J71" s="38"/>
      <c r="K71" s="36"/>
      <c r="L71" s="39">
        <f>SUM(L68:L70)</f>
        <v>20000000</v>
      </c>
      <c r="M71" s="39">
        <f>SUM(M68:M70)</f>
        <v>20200000</v>
      </c>
      <c r="N71" s="39">
        <f>SUM(N68:N70)</f>
        <v>20402000</v>
      </c>
    </row>
    <row r="72" spans="1:14" ht="15">
      <c r="A72" s="61"/>
      <c r="B72" s="21" t="s">
        <v>49</v>
      </c>
      <c r="C72" s="25"/>
      <c r="D72" s="20"/>
      <c r="E72" s="29">
        <v>30000000</v>
      </c>
      <c r="F72" s="29">
        <v>30000000</v>
      </c>
      <c r="G72" s="29">
        <v>30000000</v>
      </c>
      <c r="H72" s="13"/>
      <c r="I72" s="75"/>
      <c r="J72" s="75"/>
      <c r="K72" s="75"/>
      <c r="L72" s="75"/>
      <c r="M72" s="75"/>
      <c r="N72" s="75"/>
    </row>
    <row r="73" spans="1:14" ht="15">
      <c r="A73" s="61"/>
      <c r="B73" s="21" t="s">
        <v>50</v>
      </c>
      <c r="C73" s="25"/>
      <c r="D73" s="20"/>
      <c r="E73" s="30">
        <v>-45000000</v>
      </c>
      <c r="F73" s="30">
        <v>-45000000</v>
      </c>
      <c r="G73" s="30">
        <v>-45000000</v>
      </c>
      <c r="H73" s="13"/>
      <c r="I73" s="76" t="s">
        <v>141</v>
      </c>
      <c r="J73" s="76"/>
      <c r="K73" s="75"/>
      <c r="L73" s="39">
        <f>L16</f>
        <v>1026375000</v>
      </c>
      <c r="M73" s="39">
        <f>M16</f>
        <v>1149540000</v>
      </c>
      <c r="N73" s="39">
        <f>N16</f>
        <v>1287484800</v>
      </c>
    </row>
    <row r="74" spans="1:14" ht="15">
      <c r="A74" s="27" t="s">
        <v>51</v>
      </c>
      <c r="B74" s="15" t="s">
        <v>52</v>
      </c>
      <c r="C74" s="16"/>
      <c r="D74" s="17"/>
      <c r="E74" s="11"/>
      <c r="F74" s="11"/>
      <c r="G74" s="11"/>
      <c r="H74" s="49"/>
      <c r="I74" s="33"/>
      <c r="J74" s="78"/>
      <c r="K74" s="33"/>
      <c r="L74" s="33"/>
      <c r="M74" s="33"/>
      <c r="N74" s="33"/>
    </row>
    <row r="75" spans="1:14" ht="15">
      <c r="A75" s="27" t="s">
        <v>54</v>
      </c>
      <c r="B75" s="15" t="s">
        <v>55</v>
      </c>
      <c r="C75" s="16"/>
      <c r="D75" s="17"/>
      <c r="E75" s="11"/>
      <c r="F75" s="11"/>
      <c r="G75" s="11"/>
      <c r="H75" s="49"/>
      <c r="I75" s="78" t="s">
        <v>180</v>
      </c>
      <c r="J75" s="78"/>
      <c r="K75" s="33"/>
      <c r="L75" s="77">
        <f>L56+L63+L66+L71</f>
        <v>1232231500</v>
      </c>
      <c r="M75" s="77">
        <f>M56+M63+M66+M71</f>
        <v>1265878075</v>
      </c>
      <c r="N75" s="77">
        <f>N56+N63+N66+N71</f>
        <v>1308668978.75</v>
      </c>
    </row>
    <row r="76" spans="1:14" ht="15">
      <c r="A76" s="27" t="s">
        <v>57</v>
      </c>
      <c r="B76" s="15" t="s">
        <v>58</v>
      </c>
      <c r="C76" s="16"/>
      <c r="D76" s="17"/>
      <c r="E76" s="11"/>
      <c r="F76" s="11"/>
      <c r="G76" s="11"/>
      <c r="H76" s="91"/>
      <c r="I76" s="42"/>
      <c r="J76" s="42"/>
      <c r="K76" s="41"/>
      <c r="L76" s="92"/>
      <c r="M76" s="92"/>
      <c r="N76" s="92"/>
    </row>
    <row r="77" spans="1:14" ht="15">
      <c r="A77" s="61"/>
      <c r="B77" s="21" t="s">
        <v>126</v>
      </c>
      <c r="C77" s="25"/>
      <c r="D77" s="20"/>
      <c r="E77" s="30">
        <v>30000000</v>
      </c>
      <c r="F77" s="22">
        <f>(E77*0.02)+E77</f>
        <v>30600000</v>
      </c>
      <c r="G77" s="22">
        <f>(F77*0.02)+F77</f>
        <v>31212000</v>
      </c>
      <c r="H77" s="49"/>
      <c r="I77" s="76" t="s">
        <v>179</v>
      </c>
      <c r="J77" s="78"/>
      <c r="K77" s="33"/>
      <c r="L77" s="77"/>
      <c r="M77" s="77"/>
      <c r="N77" s="77"/>
    </row>
    <row r="78" spans="1:14" ht="15">
      <c r="A78" s="61"/>
      <c r="B78" s="21" t="s">
        <v>107</v>
      </c>
      <c r="C78" s="25"/>
      <c r="D78" s="20"/>
      <c r="E78" s="30">
        <v>5000000</v>
      </c>
      <c r="F78" s="22">
        <f>(E78*0.02)+E78</f>
        <v>5100000</v>
      </c>
      <c r="G78" s="22">
        <f>(F78*0.02)+F78</f>
        <v>5202000</v>
      </c>
      <c r="H78" s="49"/>
      <c r="I78" s="33"/>
      <c r="J78" s="33"/>
      <c r="K78" s="33"/>
      <c r="L78" s="33"/>
      <c r="M78" s="33"/>
      <c r="N78" s="33"/>
    </row>
    <row r="79" spans="1:14" ht="15">
      <c r="A79" s="61"/>
      <c r="B79" s="21" t="s">
        <v>145</v>
      </c>
      <c r="C79" s="25"/>
      <c r="D79" s="20"/>
      <c r="E79" s="30">
        <v>0</v>
      </c>
      <c r="F79" s="22">
        <f>(E79*0.02)+E79</f>
        <v>0</v>
      </c>
      <c r="G79" s="22">
        <f>(F79*0.02)+F79</f>
        <v>0</v>
      </c>
      <c r="H79" s="79" t="s">
        <v>142</v>
      </c>
      <c r="I79" s="25"/>
      <c r="J79" s="25"/>
      <c r="K79" s="25"/>
      <c r="L79" s="80">
        <f>L73-L75</f>
        <v>-205856500</v>
      </c>
      <c r="M79" s="80">
        <f>M73-M75</f>
        <v>-116338075</v>
      </c>
      <c r="N79" s="80">
        <f>N73-N75</f>
        <v>-21184178.75</v>
      </c>
    </row>
    <row r="80" spans="1:7" ht="15">
      <c r="A80" s="61"/>
      <c r="B80" s="21" t="s">
        <v>65</v>
      </c>
      <c r="C80" s="25"/>
      <c r="D80" s="20"/>
      <c r="E80" s="30">
        <v>1000000</v>
      </c>
      <c r="F80" s="22">
        <f>(E80*0.02)+E80</f>
        <v>1020000</v>
      </c>
      <c r="G80" s="22">
        <f>(F80*0.02)+F80</f>
        <v>1040400</v>
      </c>
    </row>
    <row r="81" spans="1:7" ht="15">
      <c r="A81" s="61"/>
      <c r="B81" s="16" t="s">
        <v>66</v>
      </c>
      <c r="C81" s="6"/>
      <c r="D81" s="17"/>
      <c r="E81" s="11">
        <v>1400000</v>
      </c>
      <c r="F81" s="22">
        <f>(E81*0.02)+E81</f>
        <v>1428000</v>
      </c>
      <c r="G81" s="22">
        <f>(F81*0.02)+F81</f>
        <v>1456560</v>
      </c>
    </row>
    <row r="82" spans="1:7" ht="15">
      <c r="A82" s="37"/>
      <c r="B82" s="38" t="s">
        <v>109</v>
      </c>
      <c r="C82" s="38"/>
      <c r="D82" s="36"/>
      <c r="E82" s="39">
        <f>SUM(E19:E81)</f>
        <v>5331471073</v>
      </c>
      <c r="F82" s="39">
        <f>SUM(F19:F81)</f>
        <v>5566159583.73</v>
      </c>
      <c r="G82" s="39">
        <f>SUM(G19:G81)</f>
        <v>5725826449.5673</v>
      </c>
    </row>
    <row r="83" spans="1:7" ht="15">
      <c r="A83" s="7" t="s">
        <v>67</v>
      </c>
      <c r="B83" s="62" t="s">
        <v>68</v>
      </c>
      <c r="C83" s="45"/>
      <c r="D83" s="46"/>
      <c r="E83" s="40"/>
      <c r="F83" s="40"/>
      <c r="G83" s="40"/>
    </row>
    <row r="84" spans="1:7" ht="15">
      <c r="A84" s="27" t="s">
        <v>69</v>
      </c>
      <c r="B84" s="28" t="s">
        <v>70</v>
      </c>
      <c r="C84" s="21"/>
      <c r="D84" s="20"/>
      <c r="E84" s="22"/>
      <c r="F84" s="22"/>
      <c r="G84" s="22"/>
    </row>
    <row r="85" spans="1:7" ht="15">
      <c r="A85" s="27" t="s">
        <v>71</v>
      </c>
      <c r="B85" s="15" t="s">
        <v>72</v>
      </c>
      <c r="C85" s="16"/>
      <c r="D85" s="17"/>
      <c r="E85" s="63"/>
      <c r="F85" s="63"/>
      <c r="G85" s="63"/>
    </row>
    <row r="86" spans="1:7" ht="15">
      <c r="A86" s="61"/>
      <c r="B86" s="21" t="s">
        <v>73</v>
      </c>
      <c r="C86" s="25"/>
      <c r="D86" s="20"/>
      <c r="E86" s="90">
        <v>-2500000</v>
      </c>
      <c r="F86" s="90">
        <v>-2499999</v>
      </c>
      <c r="G86" s="90">
        <v>-2499998</v>
      </c>
    </row>
    <row r="87" spans="1:7" ht="15">
      <c r="A87" s="27" t="s">
        <v>76</v>
      </c>
      <c r="B87" s="15" t="s">
        <v>77</v>
      </c>
      <c r="C87" s="16"/>
      <c r="D87" s="17"/>
      <c r="E87" s="11"/>
      <c r="F87" s="11"/>
      <c r="G87" s="11"/>
    </row>
    <row r="88" spans="1:7" ht="15">
      <c r="A88" s="65"/>
      <c r="B88" s="21" t="s">
        <v>81</v>
      </c>
      <c r="C88" s="25"/>
      <c r="D88" s="20"/>
      <c r="E88" s="89">
        <f>2000000/12</f>
        <v>166666.66666666666</v>
      </c>
      <c r="F88" s="89">
        <f>2000000/12</f>
        <v>166666.66666666666</v>
      </c>
      <c r="G88" s="89">
        <f>2000000/12</f>
        <v>166666.66666666666</v>
      </c>
    </row>
    <row r="89" spans="1:7" ht="15">
      <c r="A89" s="37"/>
      <c r="B89" s="38" t="s">
        <v>109</v>
      </c>
      <c r="C89" s="38"/>
      <c r="D89" s="36"/>
      <c r="E89" s="88"/>
      <c r="F89" s="88"/>
      <c r="G89" s="88"/>
    </row>
    <row r="90" spans="1:7" ht="15">
      <c r="A90" s="44" t="s">
        <v>83</v>
      </c>
      <c r="B90" s="4" t="s">
        <v>84</v>
      </c>
      <c r="C90" s="45"/>
      <c r="D90" s="46"/>
      <c r="E90" s="66"/>
      <c r="F90" s="66"/>
      <c r="G90" s="66"/>
    </row>
    <row r="91" spans="1:7" ht="15">
      <c r="A91" s="68"/>
      <c r="B91" s="69"/>
      <c r="C91" s="70"/>
      <c r="D91" s="71"/>
      <c r="E91" s="72"/>
      <c r="F91" s="72"/>
      <c r="G91" s="72"/>
    </row>
    <row r="92" spans="1:7" ht="15">
      <c r="A92" s="37"/>
      <c r="B92" s="38" t="s">
        <v>109</v>
      </c>
      <c r="C92" s="38"/>
      <c r="D92" s="36"/>
      <c r="E92" s="39"/>
      <c r="F92" s="39"/>
      <c r="G92" s="39"/>
    </row>
    <row r="93" spans="1:7" ht="15">
      <c r="A93" s="7" t="s">
        <v>85</v>
      </c>
      <c r="B93" s="8" t="s">
        <v>86</v>
      </c>
      <c r="C93" s="9"/>
      <c r="D93" s="10"/>
      <c r="E93" s="67"/>
      <c r="F93" s="67"/>
      <c r="G93" s="67"/>
    </row>
    <row r="94" spans="1:7" ht="15">
      <c r="A94" s="27" t="s">
        <v>97</v>
      </c>
      <c r="B94" s="15" t="s">
        <v>98</v>
      </c>
      <c r="C94" s="16"/>
      <c r="D94" s="17"/>
      <c r="E94" s="32"/>
      <c r="F94" s="32"/>
      <c r="G94" s="32"/>
    </row>
    <row r="95" spans="1:7" ht="15">
      <c r="A95" s="34"/>
      <c r="B95" s="21" t="s">
        <v>99</v>
      </c>
      <c r="C95" s="25"/>
      <c r="D95" s="20"/>
      <c r="E95" s="29"/>
      <c r="F95" s="29"/>
      <c r="G95" s="29"/>
    </row>
    <row r="96" spans="1:7" ht="15">
      <c r="A96" s="59"/>
      <c r="B96" s="21" t="s">
        <v>100</v>
      </c>
      <c r="C96" s="25"/>
      <c r="D96" s="20"/>
      <c r="E96" s="30">
        <f>111550000+12370128+3506692</f>
        <v>127426820</v>
      </c>
      <c r="F96" s="22">
        <f>(E96*0.02)+E96</f>
        <v>129975356.4</v>
      </c>
      <c r="G96" s="22">
        <f>(F96*0.02)+F96</f>
        <v>132574863.52800001</v>
      </c>
    </row>
    <row r="97" spans="1:7" ht="15">
      <c r="A97" s="37"/>
      <c r="B97" s="38" t="s">
        <v>109</v>
      </c>
      <c r="C97" s="38"/>
      <c r="D97" s="36"/>
      <c r="E97" s="39">
        <f>SUM(E94:E96)</f>
        <v>127426820</v>
      </c>
      <c r="F97" s="39">
        <f>SUM(F94:F96)</f>
        <v>129975356.4</v>
      </c>
      <c r="G97" s="39">
        <f>SUM(G94:G96)</f>
        <v>132574863.52800001</v>
      </c>
    </row>
    <row r="98" spans="1:7" ht="15">
      <c r="A98" s="13"/>
      <c r="B98" s="75"/>
      <c r="C98" s="75"/>
      <c r="D98" s="75"/>
      <c r="E98" s="99"/>
      <c r="F98" s="100"/>
      <c r="G98" s="100"/>
    </row>
    <row r="99" spans="1:7" ht="15">
      <c r="A99" s="13"/>
      <c r="B99" s="76" t="s">
        <v>141</v>
      </c>
      <c r="C99" s="76"/>
      <c r="D99" s="75"/>
      <c r="E99" s="39">
        <f>E16</f>
        <v>5393274067</v>
      </c>
      <c r="F99" s="39">
        <f>F16</f>
        <v>5622958475.04</v>
      </c>
      <c r="G99" s="39">
        <f>G16</f>
        <v>5951106852.0448</v>
      </c>
    </row>
    <row r="100" spans="1:7" ht="15">
      <c r="A100" s="49"/>
      <c r="B100" s="33"/>
      <c r="C100" s="78"/>
      <c r="D100" s="33"/>
      <c r="E100" s="33"/>
      <c r="F100" s="33"/>
      <c r="G100" s="33"/>
    </row>
    <row r="101" spans="1:7" ht="15">
      <c r="A101" s="49"/>
      <c r="B101" s="78" t="s">
        <v>180</v>
      </c>
      <c r="C101" s="78"/>
      <c r="D101" s="33"/>
      <c r="E101" s="77">
        <f>E82+E89+E92+E97</f>
        <v>5458897893</v>
      </c>
      <c r="F101" s="77">
        <f>F82+F89+F92+F97</f>
        <v>5696134940.129999</v>
      </c>
      <c r="G101" s="77">
        <f>G82+G89+G92+G97</f>
        <v>5858401313.0953</v>
      </c>
    </row>
    <row r="102" spans="1:7" ht="15">
      <c r="A102" s="91"/>
      <c r="B102" s="42"/>
      <c r="C102" s="42"/>
      <c r="D102" s="41"/>
      <c r="E102" s="92"/>
      <c r="F102" s="92"/>
      <c r="G102" s="92"/>
    </row>
    <row r="103" spans="1:7" ht="15">
      <c r="A103" s="49"/>
      <c r="B103" s="76" t="s">
        <v>179</v>
      </c>
      <c r="C103" s="78"/>
      <c r="D103" s="33"/>
      <c r="E103" s="77"/>
      <c r="F103" s="77"/>
      <c r="G103" s="77"/>
    </row>
    <row r="104" spans="1:7" ht="15">
      <c r="A104" s="49"/>
      <c r="B104" s="33"/>
      <c r="C104" s="33"/>
      <c r="D104" s="33"/>
      <c r="E104" s="33"/>
      <c r="F104" s="33"/>
      <c r="G104" s="33"/>
    </row>
    <row r="105" spans="1:7" ht="15">
      <c r="A105" s="79" t="s">
        <v>142</v>
      </c>
      <c r="B105" s="25"/>
      <c r="C105" s="25"/>
      <c r="D105" s="25"/>
      <c r="E105" s="80">
        <f>E99-E101</f>
        <v>-65623826</v>
      </c>
      <c r="F105" s="80">
        <f>F99-F101</f>
        <v>-73176465.0899992</v>
      </c>
      <c r="G105" s="80">
        <f>G99-G101</f>
        <v>92705538.94950008</v>
      </c>
    </row>
  </sheetData>
  <printOptions/>
  <pageMargins left="0.75" right="0.75" top="1" bottom="1" header="0.5" footer="0.5"/>
  <pageSetup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2"/>
  <sheetViews>
    <sheetView tabSelected="1" workbookViewId="0" topLeftCell="A1">
      <selection activeCell="G24" sqref="G24"/>
    </sheetView>
  </sheetViews>
  <sheetFormatPr defaultColWidth="8.88671875" defaultRowHeight="15"/>
  <cols>
    <col min="1" max="1" width="9.99609375" style="1" customWidth="1"/>
    <col min="2" max="2" width="10.88671875" style="1" customWidth="1"/>
    <col min="3" max="3" width="12.77734375" style="1" customWidth="1"/>
    <col min="4" max="4" width="17.99609375" style="1" customWidth="1"/>
    <col min="5" max="7" width="12.99609375" style="1" customWidth="1"/>
    <col min="8" max="8" width="15.10546875" style="0" customWidth="1"/>
  </cols>
  <sheetData>
    <row r="1" spans="1:8" ht="22.5">
      <c r="A1" s="142" t="s">
        <v>140</v>
      </c>
      <c r="B1" s="142"/>
      <c r="C1" s="142"/>
      <c r="D1" s="142"/>
      <c r="E1" s="142"/>
      <c r="F1" s="142"/>
      <c r="G1" s="142"/>
      <c r="H1" s="142"/>
    </row>
    <row r="2" spans="1:8" ht="20.25">
      <c r="A2" s="143" t="s">
        <v>0</v>
      </c>
      <c r="B2" s="143"/>
      <c r="C2" s="143"/>
      <c r="D2" s="143"/>
      <c r="E2" s="143"/>
      <c r="F2" s="143"/>
      <c r="G2" s="143"/>
      <c r="H2" s="143"/>
    </row>
    <row r="3" spans="1:8" ht="18">
      <c r="A3" s="144" t="s">
        <v>204</v>
      </c>
      <c r="B3" s="144"/>
      <c r="C3" s="144"/>
      <c r="D3" s="144"/>
      <c r="E3" s="144"/>
      <c r="F3" s="144"/>
      <c r="G3" s="144"/>
      <c r="H3" s="144"/>
    </row>
    <row r="4" spans="1:4" ht="15">
      <c r="A4"/>
      <c r="B4"/>
      <c r="C4"/>
      <c r="D4"/>
    </row>
    <row r="5" spans="1:8" ht="18.75">
      <c r="A5" s="7" t="s">
        <v>1</v>
      </c>
      <c r="B5" s="84" t="s">
        <v>2</v>
      </c>
      <c r="C5" s="85"/>
      <c r="D5" s="86"/>
      <c r="E5" s="96">
        <v>1999</v>
      </c>
      <c r="F5" s="96">
        <v>2000</v>
      </c>
      <c r="G5" s="96">
        <v>2001</v>
      </c>
      <c r="H5" s="96" t="s">
        <v>202</v>
      </c>
    </row>
    <row r="6" spans="1:8" ht="15">
      <c r="A6" s="14" t="s">
        <v>150</v>
      </c>
      <c r="B6" s="83"/>
      <c r="C6" s="52"/>
      <c r="D6" s="32"/>
      <c r="E6" s="32"/>
      <c r="F6" s="32"/>
      <c r="G6" s="32"/>
      <c r="H6" s="131"/>
    </row>
    <row r="7" spans="1:8" ht="15">
      <c r="A7" s="19" t="s">
        <v>3</v>
      </c>
      <c r="B7" s="24" t="s">
        <v>206</v>
      </c>
      <c r="C7" s="21"/>
      <c r="D7" s="82"/>
      <c r="E7" s="22">
        <v>1910000000</v>
      </c>
      <c r="F7" s="22">
        <f>(E7*0.12)+E7</f>
        <v>2139200000</v>
      </c>
      <c r="G7" s="22">
        <f>(F7*0.12)+F7</f>
        <v>2395904000</v>
      </c>
      <c r="H7" s="109">
        <f>SUM(E7:G7)</f>
        <v>6445104000</v>
      </c>
    </row>
    <row r="8" spans="1:8" ht="15">
      <c r="A8" s="23" t="s">
        <v>4</v>
      </c>
      <c r="B8" s="24" t="s">
        <v>147</v>
      </c>
      <c r="C8" s="21"/>
      <c r="D8" s="107"/>
      <c r="E8" s="32"/>
      <c r="F8" s="32"/>
      <c r="G8" s="32"/>
      <c r="H8" s="132"/>
    </row>
    <row r="9" spans="1:8" ht="15">
      <c r="A9" s="19"/>
      <c r="B9" s="20" t="s">
        <v>134</v>
      </c>
      <c r="C9" s="21"/>
      <c r="D9" s="18"/>
      <c r="E9" s="22">
        <v>115000000</v>
      </c>
      <c r="F9" s="22">
        <f>(E9*0.12)+E9</f>
        <v>128800000</v>
      </c>
      <c r="G9" s="22">
        <f>(F9*0.12)+F9</f>
        <v>144256000</v>
      </c>
      <c r="H9" s="109">
        <f>SUM(E9:G9)</f>
        <v>388056000</v>
      </c>
    </row>
    <row r="10" spans="1:8" ht="15">
      <c r="A10" s="19"/>
      <c r="B10" s="20" t="s">
        <v>135</v>
      </c>
      <c r="C10" s="21"/>
      <c r="D10" s="81"/>
      <c r="E10" s="22">
        <v>43875000</v>
      </c>
      <c r="F10" s="22">
        <f>(E10*0.12)+E10</f>
        <v>49140000</v>
      </c>
      <c r="G10" s="22">
        <f>(F10*0.12)+F10</f>
        <v>55036800</v>
      </c>
      <c r="H10" s="109">
        <f>SUM(E10:G10)</f>
        <v>148051800</v>
      </c>
    </row>
    <row r="11" spans="1:8" ht="15">
      <c r="A11" s="19"/>
      <c r="B11" s="20" t="s">
        <v>136</v>
      </c>
      <c r="C11" s="21"/>
      <c r="D11" s="81"/>
      <c r="E11" s="22">
        <v>15000000</v>
      </c>
      <c r="F11" s="22">
        <f>(E11*0.12)+E11</f>
        <v>16800000</v>
      </c>
      <c r="G11" s="22">
        <f>(F11*0.12)+F11</f>
        <v>18816000</v>
      </c>
      <c r="H11" s="109">
        <f>SUM(E11:G11)</f>
        <v>50616000</v>
      </c>
    </row>
    <row r="12" spans="1:8" ht="15">
      <c r="A12" s="19"/>
      <c r="B12" s="20" t="s">
        <v>195</v>
      </c>
      <c r="C12" s="21"/>
      <c r="D12" s="81"/>
      <c r="E12" s="22">
        <v>40500000</v>
      </c>
      <c r="F12" s="22">
        <f>(E12*0.12)+E12</f>
        <v>45360000</v>
      </c>
      <c r="G12" s="22">
        <f>(F12*0.12)+F12</f>
        <v>50803200</v>
      </c>
      <c r="H12" s="109">
        <f>SUM(E12:G12)</f>
        <v>136663200</v>
      </c>
    </row>
    <row r="13" spans="1:8" ht="15">
      <c r="A13" s="19"/>
      <c r="B13" s="20" t="s">
        <v>196</v>
      </c>
      <c r="C13" s="21"/>
      <c r="D13" s="81"/>
      <c r="E13" s="22">
        <v>275000000</v>
      </c>
      <c r="F13" s="22">
        <v>318000000</v>
      </c>
      <c r="G13" s="22">
        <v>364000000</v>
      </c>
      <c r="H13" s="109">
        <f>SUM(E13:G13)</f>
        <v>957000000</v>
      </c>
    </row>
    <row r="14" spans="1:8" ht="15">
      <c r="A14" s="19" t="s">
        <v>5</v>
      </c>
      <c r="B14" s="21" t="s">
        <v>146</v>
      </c>
      <c r="C14" s="25"/>
      <c r="D14" s="81"/>
      <c r="E14" s="22">
        <v>109400000</v>
      </c>
      <c r="F14" s="22">
        <f>(E14*0.12)+E14</f>
        <v>122528000</v>
      </c>
      <c r="G14" s="22">
        <f>(F14*0.12)+F14</f>
        <v>137231360</v>
      </c>
      <c r="H14" s="109">
        <f>SUM(E14:G14)</f>
        <v>369159360</v>
      </c>
    </row>
    <row r="15" spans="1:8" ht="15">
      <c r="A15" s="19"/>
      <c r="B15" s="21" t="s">
        <v>115</v>
      </c>
      <c r="C15" s="25"/>
      <c r="D15" s="81"/>
      <c r="E15" s="22">
        <v>0</v>
      </c>
      <c r="F15" s="22">
        <f>(E15*0.12)+E15</f>
        <v>0</v>
      </c>
      <c r="G15" s="22">
        <f>(F15*0.12)+F15</f>
        <v>0</v>
      </c>
      <c r="H15" s="109">
        <f>SUM(E15:G15)</f>
        <v>0</v>
      </c>
    </row>
    <row r="16" spans="1:8" ht="15">
      <c r="A16" s="19" t="s">
        <v>112</v>
      </c>
      <c r="B16" s="21" t="s">
        <v>131</v>
      </c>
      <c r="C16" s="25"/>
      <c r="D16" s="81"/>
      <c r="E16" s="22">
        <v>0</v>
      </c>
      <c r="F16" s="22"/>
      <c r="G16" s="22"/>
      <c r="H16" s="109">
        <f>SUM(E16:G16)</f>
        <v>0</v>
      </c>
    </row>
    <row r="17" spans="1:8" ht="15">
      <c r="A17" s="19" t="s">
        <v>113</v>
      </c>
      <c r="B17" s="21" t="s">
        <v>130</v>
      </c>
      <c r="C17" s="25"/>
      <c r="D17" s="81"/>
      <c r="E17" s="22">
        <v>32200000</v>
      </c>
      <c r="F17" s="22">
        <f>(E17*0.12)+E17</f>
        <v>36064000</v>
      </c>
      <c r="G17" s="22">
        <f>(F17*0.12)+F17</f>
        <v>40391680</v>
      </c>
      <c r="H17" s="109">
        <f>SUM(E17:G17)</f>
        <v>108655680</v>
      </c>
    </row>
    <row r="18" spans="1:8" ht="15">
      <c r="A18" s="19" t="s">
        <v>127</v>
      </c>
      <c r="B18" s="21" t="s">
        <v>114</v>
      </c>
      <c r="C18" s="25"/>
      <c r="D18" s="81"/>
      <c r="E18" s="22">
        <v>0</v>
      </c>
      <c r="F18" s="22">
        <f>(E18*0.12)+E18</f>
        <v>0</v>
      </c>
      <c r="G18" s="22">
        <f>(F18*0.12)+F18</f>
        <v>0</v>
      </c>
      <c r="H18" s="109">
        <f>SUM(E18:G18)</f>
        <v>0</v>
      </c>
    </row>
    <row r="19" spans="1:8" ht="15">
      <c r="A19" s="19" t="s">
        <v>128</v>
      </c>
      <c r="B19" s="21" t="s">
        <v>116</v>
      </c>
      <c r="C19" s="25"/>
      <c r="D19" s="81"/>
      <c r="E19" s="22">
        <v>20000000</v>
      </c>
      <c r="F19" s="22">
        <f>(E19*0.12)+E19</f>
        <v>22400000</v>
      </c>
      <c r="G19" s="22">
        <f>(F19*0.12)+F19</f>
        <v>25088000</v>
      </c>
      <c r="H19" s="109">
        <f>SUM(E19:G19)</f>
        <v>67488000</v>
      </c>
    </row>
    <row r="20" spans="1:8" ht="15">
      <c r="A20" s="19" t="s">
        <v>129</v>
      </c>
      <c r="B20" s="21" t="s">
        <v>166</v>
      </c>
      <c r="C20" s="25"/>
      <c r="D20" s="81"/>
      <c r="E20" s="37">
        <v>0</v>
      </c>
      <c r="F20" s="22">
        <f>(E20*0.12)+E20</f>
        <v>0</v>
      </c>
      <c r="G20" s="22">
        <f>(F20*0.12)+F20</f>
        <v>0</v>
      </c>
      <c r="H20" s="109">
        <f>SUM(E20:G20)</f>
        <v>0</v>
      </c>
    </row>
    <row r="21" spans="1:8" ht="15">
      <c r="A21" s="19" t="s">
        <v>165</v>
      </c>
      <c r="B21" s="20" t="s">
        <v>101</v>
      </c>
      <c r="C21" s="21"/>
      <c r="D21" s="81"/>
      <c r="E21" s="22">
        <f>1600000000+2030000000</f>
        <v>3630000000</v>
      </c>
      <c r="F21" s="22">
        <v>3680000000</v>
      </c>
      <c r="G21" s="22">
        <v>3700000000</v>
      </c>
      <c r="H21" s="109">
        <f>SUM(E21:G21)</f>
        <v>11010000000</v>
      </c>
    </row>
    <row r="22" spans="1:8" ht="15">
      <c r="A22" s="19" t="s">
        <v>177</v>
      </c>
      <c r="B22" s="21" t="s">
        <v>178</v>
      </c>
      <c r="C22" s="25"/>
      <c r="D22" s="20"/>
      <c r="E22" s="22">
        <v>110000000</v>
      </c>
      <c r="F22" s="22">
        <v>135000000</v>
      </c>
      <c r="G22" s="22">
        <v>160000000</v>
      </c>
      <c r="H22" s="109">
        <f>SUM(E22:G22)</f>
        <v>405000000</v>
      </c>
    </row>
    <row r="23" spans="1:8" ht="15">
      <c r="A23" s="27" t="s">
        <v>151</v>
      </c>
      <c r="B23" s="28"/>
      <c r="C23" s="21"/>
      <c r="D23" s="20"/>
      <c r="E23" s="22"/>
      <c r="F23" s="22"/>
      <c r="G23" s="22"/>
      <c r="H23" s="104"/>
    </row>
    <row r="24" spans="1:8" ht="15">
      <c r="A24" s="27" t="s">
        <v>152</v>
      </c>
      <c r="B24" s="28"/>
      <c r="C24" s="21"/>
      <c r="D24" s="20"/>
      <c r="E24" s="64"/>
      <c r="F24" s="64"/>
      <c r="G24" s="64"/>
      <c r="H24" s="141"/>
    </row>
    <row r="25" spans="1:8" ht="15">
      <c r="A25" s="27" t="s">
        <v>153</v>
      </c>
      <c r="B25" s="28"/>
      <c r="C25" s="21"/>
      <c r="D25" s="20"/>
      <c r="E25" s="64"/>
      <c r="F25" s="64"/>
      <c r="G25" s="64"/>
      <c r="H25" s="141"/>
    </row>
    <row r="26" spans="1:8" ht="15">
      <c r="A26" s="27" t="s">
        <v>154</v>
      </c>
      <c r="B26" s="28"/>
      <c r="C26" s="21"/>
      <c r="D26" s="20"/>
      <c r="E26" s="64"/>
      <c r="F26" s="64"/>
      <c r="G26" s="64"/>
      <c r="H26" s="141"/>
    </row>
    <row r="27" spans="1:8" ht="15">
      <c r="A27" s="23" t="s">
        <v>3</v>
      </c>
      <c r="B27" s="31" t="s">
        <v>6</v>
      </c>
      <c r="C27" s="16"/>
      <c r="D27" s="17"/>
      <c r="E27" s="17"/>
      <c r="F27" s="17"/>
      <c r="G27" s="17"/>
      <c r="H27" s="132"/>
    </row>
    <row r="28" spans="1:8" ht="15">
      <c r="A28" s="19"/>
      <c r="B28" s="21" t="s">
        <v>7</v>
      </c>
      <c r="C28" s="25"/>
      <c r="D28" s="20"/>
      <c r="E28" s="22">
        <f>273000000+177000000+200000000+15000000+329174868+83333333</f>
        <v>1077508201</v>
      </c>
      <c r="F28" s="22">
        <f>(E28*0.12)+E28</f>
        <v>1206809185.12</v>
      </c>
      <c r="G28" s="22">
        <f>(F28*0.12)+F28</f>
        <v>1351626287.3344</v>
      </c>
      <c r="H28" s="109">
        <f>SUM(E28:G28)</f>
        <v>3635943673.4544</v>
      </c>
    </row>
    <row r="29" spans="1:8" ht="15">
      <c r="A29" s="19"/>
      <c r="B29" s="21" t="s">
        <v>8</v>
      </c>
      <c r="C29" s="25"/>
      <c r="D29" s="20"/>
      <c r="E29" s="30">
        <v>1019429000</v>
      </c>
      <c r="F29" s="22">
        <v>764572000</v>
      </c>
      <c r="G29" s="22">
        <v>509714000</v>
      </c>
      <c r="H29" s="109">
        <f>SUM(E29:G29)</f>
        <v>2293715000</v>
      </c>
    </row>
    <row r="30" spans="1:8" ht="15">
      <c r="A30" s="19"/>
      <c r="B30" s="21" t="s">
        <v>176</v>
      </c>
      <c r="C30" s="25"/>
      <c r="D30" s="20"/>
      <c r="E30" s="29">
        <f>2400000000+177888000+75000000+249996000</f>
        <v>2902884000</v>
      </c>
      <c r="F30" s="22">
        <f>(E30*0.12)+E30</f>
        <v>3251230080</v>
      </c>
      <c r="G30" s="22">
        <f>(F30*0.12)+F30</f>
        <v>3641377689.6</v>
      </c>
      <c r="H30" s="109">
        <f>SUM(E30:G30)</f>
        <v>9795491769.6</v>
      </c>
    </row>
    <row r="31" spans="1:8" ht="15">
      <c r="A31" s="23" t="s">
        <v>4</v>
      </c>
      <c r="B31" s="31" t="s">
        <v>9</v>
      </c>
      <c r="C31" s="16"/>
      <c r="D31" s="17"/>
      <c r="E31" s="17"/>
      <c r="F31" s="17"/>
      <c r="G31" s="17"/>
      <c r="H31" s="132"/>
    </row>
    <row r="32" spans="1:8" ht="15">
      <c r="A32" s="34"/>
      <c r="B32" s="21" t="s">
        <v>132</v>
      </c>
      <c r="C32" s="25"/>
      <c r="D32" s="20"/>
      <c r="E32" s="22">
        <v>10500000</v>
      </c>
      <c r="F32" s="22">
        <f>(E32*0.12)+E32</f>
        <v>11760000</v>
      </c>
      <c r="G32" s="22">
        <f>(F32*0.12)+F32</f>
        <v>13171200</v>
      </c>
      <c r="H32" s="109">
        <f>SUM(E32:G32)</f>
        <v>35431200</v>
      </c>
    </row>
    <row r="33" spans="1:8" ht="15">
      <c r="A33" s="34"/>
      <c r="B33" s="21" t="s">
        <v>149</v>
      </c>
      <c r="C33" s="25"/>
      <c r="D33" s="20"/>
      <c r="E33" s="22"/>
      <c r="F33" s="22"/>
      <c r="G33" s="22"/>
      <c r="H33" s="109">
        <f>SUM(E33:G33)</f>
        <v>0</v>
      </c>
    </row>
    <row r="34" spans="1:8" ht="15">
      <c r="A34" s="34"/>
      <c r="B34" s="21" t="s">
        <v>175</v>
      </c>
      <c r="C34" s="25"/>
      <c r="D34" s="20"/>
      <c r="E34" s="30">
        <f>36000000+100375000</f>
        <v>136375000</v>
      </c>
      <c r="F34" s="64">
        <v>190000000</v>
      </c>
      <c r="G34" s="64">
        <v>250000000</v>
      </c>
      <c r="H34" s="109">
        <f>SUM(E34:G34)</f>
        <v>576375000</v>
      </c>
    </row>
    <row r="35" spans="1:8" ht="15">
      <c r="A35" s="34"/>
      <c r="B35" s="21" t="s">
        <v>133</v>
      </c>
      <c r="C35" s="35"/>
      <c r="D35" s="36"/>
      <c r="E35" s="29">
        <v>5800000</v>
      </c>
      <c r="F35" s="22">
        <f>(E35*0.12)+E35</f>
        <v>6496000</v>
      </c>
      <c r="G35" s="22">
        <f>(F35*0.12)+F35</f>
        <v>7275520</v>
      </c>
      <c r="H35" s="109">
        <f>SUM(E35:G35)</f>
        <v>19571520</v>
      </c>
    </row>
    <row r="36" spans="1:8" ht="15">
      <c r="A36" s="34"/>
      <c r="B36" s="6" t="s">
        <v>124</v>
      </c>
      <c r="C36" s="6"/>
      <c r="D36" s="17"/>
      <c r="E36" s="11">
        <v>1000000</v>
      </c>
      <c r="F36" s="63">
        <f>(E36*0.12)+E36</f>
        <v>1120000</v>
      </c>
      <c r="G36" s="63">
        <f>(F36*0.12)+F36</f>
        <v>1254400</v>
      </c>
      <c r="H36" s="109">
        <f>SUM(E36:G36)</f>
        <v>3374400</v>
      </c>
    </row>
    <row r="37" spans="1:8" ht="15">
      <c r="A37" s="37"/>
      <c r="B37" s="38" t="s">
        <v>201</v>
      </c>
      <c r="C37" s="38"/>
      <c r="D37" s="139"/>
      <c r="E37" s="108">
        <f>SUM(E7:E36)</f>
        <v>11454471201</v>
      </c>
      <c r="F37" s="108">
        <f>SUM(F7:F36)</f>
        <v>12125279265.119999</v>
      </c>
      <c r="G37" s="108">
        <f>SUM(G7:G36)</f>
        <v>12865946136.9344</v>
      </c>
    </row>
    <row r="38" spans="1:8" ht="18.75">
      <c r="A38" s="44" t="s">
        <v>11</v>
      </c>
      <c r="B38" s="4" t="s">
        <v>12</v>
      </c>
      <c r="C38" s="45"/>
      <c r="D38" s="46"/>
      <c r="E38" s="96">
        <v>1999</v>
      </c>
      <c r="F38" s="96">
        <v>2000</v>
      </c>
      <c r="G38" s="96">
        <v>2001</v>
      </c>
      <c r="H38" s="96" t="s">
        <v>202</v>
      </c>
    </row>
    <row r="39" spans="1:8" ht="15">
      <c r="A39" s="27" t="s">
        <v>155</v>
      </c>
      <c r="B39" s="15"/>
      <c r="C39" s="16"/>
      <c r="D39" s="17"/>
      <c r="E39" s="17"/>
      <c r="F39" s="17"/>
      <c r="G39" s="17"/>
      <c r="H39" s="131"/>
    </row>
    <row r="40" spans="1:8" ht="15">
      <c r="A40" s="34"/>
      <c r="B40" s="21" t="s">
        <v>167</v>
      </c>
      <c r="C40" s="25"/>
      <c r="D40" s="20"/>
      <c r="E40" s="26">
        <v>321000000</v>
      </c>
      <c r="F40" s="22">
        <v>347000000</v>
      </c>
      <c r="G40" s="22">
        <v>363000000</v>
      </c>
      <c r="H40" s="109">
        <f>SUM(E40:G40)</f>
        <v>1031000000</v>
      </c>
    </row>
    <row r="41" spans="1:8" ht="15">
      <c r="A41" s="34"/>
      <c r="B41" s="21" t="s">
        <v>156</v>
      </c>
      <c r="C41" s="25"/>
      <c r="D41" s="20"/>
      <c r="E41" s="30">
        <v>322000000</v>
      </c>
      <c r="F41" s="22">
        <v>410000000</v>
      </c>
      <c r="G41" s="22">
        <v>440000000</v>
      </c>
      <c r="H41" s="109">
        <f>SUM(E41:G41)</f>
        <v>1172000000</v>
      </c>
    </row>
    <row r="42" spans="1:8" ht="15">
      <c r="A42" s="34"/>
      <c r="B42" s="21" t="s">
        <v>197</v>
      </c>
      <c r="C42" s="25"/>
      <c r="D42" s="20"/>
      <c r="E42" s="30">
        <v>26300000</v>
      </c>
      <c r="F42" s="22">
        <v>30000000</v>
      </c>
      <c r="G42" s="22">
        <v>34000000</v>
      </c>
      <c r="H42" s="109">
        <f>SUM(E42:G42)</f>
        <v>90300000</v>
      </c>
    </row>
    <row r="43" spans="1:8" ht="15">
      <c r="A43" s="34"/>
      <c r="B43" s="21" t="s">
        <v>13</v>
      </c>
      <c r="C43" s="25"/>
      <c r="D43" s="20"/>
      <c r="E43" s="30">
        <f>2600000000</f>
        <v>2600000000</v>
      </c>
      <c r="F43" s="22">
        <f>(E43*0.05)+E43</f>
        <v>2730000000</v>
      </c>
      <c r="G43" s="22">
        <f>(F43*0.05)+F43</f>
        <v>2866500000</v>
      </c>
      <c r="H43" s="109">
        <f>SUM(E43:G43)</f>
        <v>8196500000</v>
      </c>
    </row>
    <row r="44" spans="1:8" ht="15">
      <c r="A44" s="34"/>
      <c r="B44" s="21" t="s">
        <v>110</v>
      </c>
      <c r="C44" s="25"/>
      <c r="D44" s="20"/>
      <c r="E44" s="22">
        <v>0</v>
      </c>
      <c r="F44" s="22"/>
      <c r="G44" s="22"/>
      <c r="H44" s="109">
        <f>SUM(E44:G44)</f>
        <v>0</v>
      </c>
    </row>
    <row r="45" spans="1:8" ht="15">
      <c r="A45" s="34"/>
      <c r="B45" s="21" t="s">
        <v>207</v>
      </c>
      <c r="C45" s="25"/>
      <c r="D45" s="20"/>
      <c r="E45" s="30">
        <v>32300000</v>
      </c>
      <c r="F45" s="64">
        <f>(E45*0.05)+E45</f>
        <v>33915000</v>
      </c>
      <c r="G45" s="64">
        <f>(F45*0.05)+F45</f>
        <v>35610750</v>
      </c>
      <c r="H45" s="109">
        <f>SUM(E45:G45)</f>
        <v>101825750</v>
      </c>
    </row>
    <row r="46" spans="1:8" ht="15">
      <c r="A46" s="34"/>
      <c r="B46" s="21" t="s">
        <v>14</v>
      </c>
      <c r="C46" s="25"/>
      <c r="D46" s="20"/>
      <c r="E46" s="30">
        <v>75000000</v>
      </c>
      <c r="F46" s="22">
        <f>(E46*0.05)+E46</f>
        <v>78750000</v>
      </c>
      <c r="G46" s="22">
        <f>(F46*0.05)+F46</f>
        <v>82687500</v>
      </c>
      <c r="H46" s="109">
        <f>SUM(E46:G46)</f>
        <v>236437500</v>
      </c>
    </row>
    <row r="47" spans="1:8" ht="15">
      <c r="A47" s="34"/>
      <c r="B47" s="21" t="s">
        <v>15</v>
      </c>
      <c r="C47" s="25"/>
      <c r="D47" s="20"/>
      <c r="E47" s="30">
        <f>13200000</f>
        <v>13200000</v>
      </c>
      <c r="F47" s="22">
        <v>14000000</v>
      </c>
      <c r="G47" s="22">
        <v>16000000</v>
      </c>
      <c r="H47" s="109">
        <f>SUM(E47:G47)</f>
        <v>43200000</v>
      </c>
    </row>
    <row r="48" spans="1:8" ht="15">
      <c r="A48" s="34"/>
      <c r="B48" s="21" t="s">
        <v>16</v>
      </c>
      <c r="C48" s="25"/>
      <c r="D48" s="20"/>
      <c r="E48" s="30">
        <v>16500000</v>
      </c>
      <c r="F48" s="22">
        <f>(E48*0.05)+E48</f>
        <v>17325000</v>
      </c>
      <c r="G48" s="22">
        <f>(F48*0.05)+F48</f>
        <v>18191250</v>
      </c>
      <c r="H48" s="109">
        <f>SUM(E48:G48)</f>
        <v>52016250</v>
      </c>
    </row>
    <row r="49" spans="1:8" ht="15">
      <c r="A49" s="34"/>
      <c r="B49" s="21" t="s">
        <v>17</v>
      </c>
      <c r="C49" s="25"/>
      <c r="D49" s="20"/>
      <c r="E49" s="30">
        <v>23500000</v>
      </c>
      <c r="F49" s="22">
        <f>(E49*0.05)+E49</f>
        <v>24675000</v>
      </c>
      <c r="G49" s="22">
        <f>(F49*0.05)+F49</f>
        <v>25908750</v>
      </c>
      <c r="H49" s="109">
        <f>SUM(E49:G49)</f>
        <v>74083750</v>
      </c>
    </row>
    <row r="50" spans="1:8" ht="15">
      <c r="A50" s="34"/>
      <c r="B50" s="21" t="s">
        <v>157</v>
      </c>
      <c r="C50" s="25"/>
      <c r="D50" s="20"/>
      <c r="E50" s="22">
        <v>0</v>
      </c>
      <c r="F50" s="22"/>
      <c r="G50" s="22"/>
      <c r="H50" s="109">
        <f>SUM(E50:G50)</f>
        <v>0</v>
      </c>
    </row>
    <row r="51" spans="1:8" ht="15">
      <c r="A51" s="34"/>
      <c r="B51" s="21" t="s">
        <v>18</v>
      </c>
      <c r="C51" s="25"/>
      <c r="D51" s="20"/>
      <c r="E51" s="30">
        <v>235000000</v>
      </c>
      <c r="F51" s="64">
        <f>(E51*0.05)+E51</f>
        <v>246750000</v>
      </c>
      <c r="G51" s="64">
        <f>(F51*0.05)+F51</f>
        <v>259087500</v>
      </c>
      <c r="H51" s="109">
        <f>SUM(E51:G51)</f>
        <v>740837500</v>
      </c>
    </row>
    <row r="52" spans="1:8" ht="15">
      <c r="A52" s="34"/>
      <c r="B52" s="21" t="s">
        <v>19</v>
      </c>
      <c r="C52" s="25"/>
      <c r="D52" s="20"/>
      <c r="E52" s="22">
        <v>0</v>
      </c>
      <c r="F52" s="22"/>
      <c r="G52" s="22"/>
      <c r="H52" s="109">
        <f>SUM(E52:G52)</f>
        <v>0</v>
      </c>
    </row>
    <row r="53" spans="1:8" ht="15">
      <c r="A53" s="34"/>
      <c r="B53" s="21" t="s">
        <v>106</v>
      </c>
      <c r="C53" s="25"/>
      <c r="D53" s="20"/>
      <c r="E53" s="22">
        <v>0</v>
      </c>
      <c r="F53" s="22"/>
      <c r="G53" s="22"/>
      <c r="H53" s="109">
        <f>SUM(E53:G53)</f>
        <v>0</v>
      </c>
    </row>
    <row r="54" spans="1:8" ht="15">
      <c r="A54" s="34"/>
      <c r="B54" s="53" t="s">
        <v>10</v>
      </c>
      <c r="C54" s="35"/>
      <c r="D54" s="111"/>
      <c r="E54" s="30">
        <v>3000000</v>
      </c>
      <c r="F54" s="64">
        <f>(E54*0.05)+E54</f>
        <v>3150000</v>
      </c>
      <c r="G54" s="64">
        <f>(F54*0.05)+F54</f>
        <v>3307500</v>
      </c>
      <c r="H54" s="109">
        <f>SUM(E54:G54)</f>
        <v>9457500</v>
      </c>
    </row>
    <row r="55" spans="1:8" ht="15">
      <c r="A55" s="27" t="s">
        <v>159</v>
      </c>
      <c r="B55" s="83"/>
      <c r="C55" s="32"/>
      <c r="D55" s="110"/>
      <c r="E55" s="17"/>
      <c r="F55" s="17"/>
      <c r="G55" s="17"/>
      <c r="H55" s="132"/>
    </row>
    <row r="56" spans="1:8" ht="15">
      <c r="A56" s="34"/>
      <c r="B56" s="21" t="s">
        <v>169</v>
      </c>
      <c r="C56" s="25"/>
      <c r="D56" s="20"/>
      <c r="E56" s="22">
        <v>0</v>
      </c>
      <c r="F56" s="22"/>
      <c r="G56" s="22"/>
      <c r="H56" s="109">
        <f>SUM(E56:G56)</f>
        <v>0</v>
      </c>
    </row>
    <row r="57" spans="1:8" ht="15">
      <c r="A57" s="34"/>
      <c r="B57" s="21" t="s">
        <v>20</v>
      </c>
      <c r="C57" s="25"/>
      <c r="D57" s="20"/>
      <c r="E57" s="22">
        <v>91300000</v>
      </c>
      <c r="F57" s="22">
        <f>(E57*0.05)+E57</f>
        <v>95865000</v>
      </c>
      <c r="G57" s="22">
        <f>(F57*0.05)+F57</f>
        <v>100658250</v>
      </c>
      <c r="H57" s="109">
        <f>SUM(E57:G57)</f>
        <v>287823250</v>
      </c>
    </row>
    <row r="58" spans="1:8" ht="15">
      <c r="A58" s="34"/>
      <c r="B58" s="21" t="s">
        <v>102</v>
      </c>
      <c r="C58" s="25"/>
      <c r="D58" s="20"/>
      <c r="E58" s="51">
        <v>52400000</v>
      </c>
      <c r="F58" s="22">
        <f>(E58*0.05)+E58</f>
        <v>55020000</v>
      </c>
      <c r="G58" s="22">
        <f>(F58*0.05)+F58</f>
        <v>57771000</v>
      </c>
      <c r="H58" s="109">
        <f>SUM(E58:G58)</f>
        <v>165191000</v>
      </c>
    </row>
    <row r="59" spans="1:8" ht="15">
      <c r="A59" s="34"/>
      <c r="B59" s="21" t="s">
        <v>21</v>
      </c>
      <c r="C59" s="25"/>
      <c r="D59" s="20"/>
      <c r="E59" s="22">
        <v>0</v>
      </c>
      <c r="F59" s="22"/>
      <c r="G59" s="22"/>
      <c r="H59" s="109">
        <f>SUM(E59:G59)</f>
        <v>0</v>
      </c>
    </row>
    <row r="60" spans="1:8" ht="15">
      <c r="A60" s="34"/>
      <c r="B60" s="53" t="s">
        <v>22</v>
      </c>
      <c r="C60" s="35"/>
      <c r="D60" s="36"/>
      <c r="E60" s="29">
        <v>104642000</v>
      </c>
      <c r="F60" s="22">
        <f>(E60*0.05)+E60</f>
        <v>109874100</v>
      </c>
      <c r="G60" s="22">
        <f>(F60*0.05)+F60</f>
        <v>115367805</v>
      </c>
      <c r="H60" s="109">
        <f>SUM(E60:G60)</f>
        <v>329883905</v>
      </c>
    </row>
    <row r="61" spans="1:8" ht="15">
      <c r="A61" s="34"/>
      <c r="B61" s="21" t="s">
        <v>210</v>
      </c>
      <c r="C61" s="25"/>
      <c r="D61" s="20"/>
      <c r="E61" s="51">
        <f>29000000+200000+500000</f>
        <v>29700000</v>
      </c>
      <c r="F61" s="22">
        <f>(E61*0.05)+E61</f>
        <v>31185000</v>
      </c>
      <c r="G61" s="22">
        <f>(F61*0.05)+F61</f>
        <v>32744250</v>
      </c>
      <c r="H61" s="109">
        <f>SUM(E61:G61)</f>
        <v>93629250</v>
      </c>
    </row>
    <row r="62" spans="1:8" ht="15">
      <c r="A62" s="34"/>
      <c r="B62" s="21" t="s">
        <v>23</v>
      </c>
      <c r="C62" s="25"/>
      <c r="D62" s="20"/>
      <c r="E62" s="51">
        <f>31185000+4851000+2079000+2028000+10395000+14553000+693000+693000+2079000+693000</f>
        <v>69249000</v>
      </c>
      <c r="F62" s="22">
        <f>(E62*0.05)+E62</f>
        <v>72711450</v>
      </c>
      <c r="G62" s="22">
        <f>(F62*0.05)+F62</f>
        <v>76347022.5</v>
      </c>
      <c r="H62" s="109">
        <f>SUM(E62:G62)</f>
        <v>218307472.5</v>
      </c>
    </row>
    <row r="63" spans="1:8" ht="15">
      <c r="A63" s="34"/>
      <c r="B63" s="21" t="s">
        <v>24</v>
      </c>
      <c r="C63" s="25"/>
      <c r="D63" s="20"/>
      <c r="E63" s="30">
        <f>16830000+2618000+1121000+1122000+5610000+7854000+374000+374000+1122000+374000</f>
        <v>37399000</v>
      </c>
      <c r="F63" s="22">
        <f>(E63*0.05)+E63</f>
        <v>39268950</v>
      </c>
      <c r="G63" s="22">
        <f>(F63*0.05)+F63</f>
        <v>41232397.5</v>
      </c>
      <c r="H63" s="109">
        <f>SUM(E63:G63)</f>
        <v>117900347.5</v>
      </c>
    </row>
    <row r="64" spans="1:8" ht="15">
      <c r="A64" s="34"/>
      <c r="B64" s="21" t="s">
        <v>208</v>
      </c>
      <c r="C64" s="25"/>
      <c r="D64" s="20"/>
      <c r="E64" s="30">
        <f>30780000+3550000+1000000+2200000+2800000+2000000+2000000</f>
        <v>44330000</v>
      </c>
      <c r="F64" s="22">
        <v>5000000</v>
      </c>
      <c r="G64" s="22">
        <v>52000000</v>
      </c>
      <c r="H64" s="109">
        <f>SUM(E64:G64)</f>
        <v>101330000</v>
      </c>
    </row>
    <row r="65" spans="1:8" ht="15">
      <c r="A65" s="34"/>
      <c r="B65" s="21" t="s">
        <v>209</v>
      </c>
      <c r="C65" s="25"/>
      <c r="D65" s="20"/>
      <c r="E65" s="56">
        <f>49210000-(62*35000*13)+3000000+3000000+4000000+1000000+1000000+1000000+1000000+3000000+2000000</f>
        <v>40000000</v>
      </c>
      <c r="F65" s="22">
        <f>(E65*0.05)+E65</f>
        <v>42000000</v>
      </c>
      <c r="G65" s="22">
        <f>(F65*0.05)+F65</f>
        <v>44100000</v>
      </c>
      <c r="H65" s="109">
        <f>SUM(E65:G65)</f>
        <v>126100000</v>
      </c>
    </row>
    <row r="66" spans="1:8" ht="15">
      <c r="A66" s="34"/>
      <c r="B66" s="21" t="s">
        <v>25</v>
      </c>
      <c r="C66" s="25"/>
      <c r="D66" s="20"/>
      <c r="E66" s="30">
        <v>45000000</v>
      </c>
      <c r="F66" s="22">
        <f>(E66*0.05)+E66</f>
        <v>47250000</v>
      </c>
      <c r="G66" s="22">
        <f>(F66*0.05)+F66</f>
        <v>49612500</v>
      </c>
      <c r="H66" s="109">
        <f>SUM(E66:G66)</f>
        <v>141862500</v>
      </c>
    </row>
    <row r="67" spans="1:8" ht="15">
      <c r="A67" s="34"/>
      <c r="B67" s="21" t="s">
        <v>104</v>
      </c>
      <c r="C67" s="25"/>
      <c r="D67" s="20"/>
      <c r="E67" s="30">
        <v>83000000</v>
      </c>
      <c r="F67" s="22">
        <f>(E67*0.05)+E67</f>
        <v>87150000</v>
      </c>
      <c r="G67" s="22">
        <f>(F67*0.05)+F67</f>
        <v>91507500</v>
      </c>
      <c r="H67" s="109">
        <f>SUM(E67:G67)</f>
        <v>261657500</v>
      </c>
    </row>
    <row r="68" spans="1:8" ht="15">
      <c r="A68" s="34"/>
      <c r="B68" s="21" t="s">
        <v>170</v>
      </c>
      <c r="C68" s="25"/>
      <c r="D68" s="20"/>
      <c r="E68" s="30">
        <v>38000000</v>
      </c>
      <c r="F68" s="22">
        <f>(E68*0.05)+E68</f>
        <v>39900000</v>
      </c>
      <c r="G68" s="22">
        <f>(F68*0.05)+F68</f>
        <v>41895000</v>
      </c>
      <c r="H68" s="109">
        <f>SUM(E68:G68)</f>
        <v>119795000</v>
      </c>
    </row>
    <row r="69" spans="1:8" ht="15">
      <c r="A69" s="34"/>
      <c r="B69" s="21" t="s">
        <v>26</v>
      </c>
      <c r="C69" s="25"/>
      <c r="D69" s="20"/>
      <c r="E69" s="30">
        <v>40000000</v>
      </c>
      <c r="F69" s="22">
        <f>(E69*0.05)+E69</f>
        <v>42000000</v>
      </c>
      <c r="G69" s="22">
        <f>(F69*0.05)+F69</f>
        <v>44100000</v>
      </c>
      <c r="H69" s="109">
        <f>SUM(E69:G69)</f>
        <v>126100000</v>
      </c>
    </row>
    <row r="70" spans="1:8" ht="15">
      <c r="A70" s="34"/>
      <c r="B70" s="21" t="s">
        <v>27</v>
      </c>
      <c r="C70" s="25"/>
      <c r="D70" s="20"/>
      <c r="E70" s="30">
        <f>153000000+23000000+43000000+8350000+8350000+30000000+5000000</f>
        <v>270700000</v>
      </c>
      <c r="F70" s="22">
        <f>(E70*0.05)+E70</f>
        <v>284235000</v>
      </c>
      <c r="G70" s="22">
        <f>(F70*0.05)+F70</f>
        <v>298446750</v>
      </c>
      <c r="H70" s="109">
        <f>SUM(E70:G70)</f>
        <v>853381750</v>
      </c>
    </row>
    <row r="71" spans="1:8" ht="15">
      <c r="A71" s="34"/>
      <c r="B71" s="21" t="s">
        <v>28</v>
      </c>
      <c r="C71" s="25"/>
      <c r="D71" s="20"/>
      <c r="E71" s="30">
        <v>32000000</v>
      </c>
      <c r="F71" s="22">
        <f>(E71*0.05)+E71</f>
        <v>33600000</v>
      </c>
      <c r="G71" s="22">
        <f>(F71*0.05)+F71</f>
        <v>35280000</v>
      </c>
      <c r="H71" s="109">
        <f>SUM(E71:G71)</f>
        <v>100880000</v>
      </c>
    </row>
    <row r="72" spans="1:8" ht="15">
      <c r="A72" s="34"/>
      <c r="B72" s="21" t="s">
        <v>198</v>
      </c>
      <c r="C72" s="25"/>
      <c r="D72" s="20"/>
      <c r="E72" s="30">
        <f>149500000+11000000+27000000+13000000+30000000+85000000</f>
        <v>315500000</v>
      </c>
      <c r="F72" s="22">
        <f>(E72*0.05)+E72</f>
        <v>331275000</v>
      </c>
      <c r="G72" s="22">
        <f>(F72*0.05)+F72</f>
        <v>347838750</v>
      </c>
      <c r="H72" s="109">
        <f>SUM(E72:G72)</f>
        <v>994613750</v>
      </c>
    </row>
    <row r="73" spans="1:8" ht="15">
      <c r="A73" s="34"/>
      <c r="B73" s="21" t="s">
        <v>158</v>
      </c>
      <c r="C73" s="25"/>
      <c r="D73" s="20"/>
      <c r="E73" s="30">
        <f>30000000+102000000+20000000</f>
        <v>152000000</v>
      </c>
      <c r="F73" s="22">
        <f>(E73*0.05)+E73</f>
        <v>159600000</v>
      </c>
      <c r="G73" s="22">
        <f>(F73*0.05)+F73</f>
        <v>167580000</v>
      </c>
      <c r="H73" s="109">
        <f>SUM(E73:G73)</f>
        <v>479180000</v>
      </c>
    </row>
    <row r="74" spans="1:8" ht="15">
      <c r="A74" s="34"/>
      <c r="B74" s="21" t="s">
        <v>29</v>
      </c>
      <c r="C74" s="25"/>
      <c r="D74" s="20"/>
      <c r="E74" s="30">
        <v>11000000</v>
      </c>
      <c r="F74" s="22">
        <f>(E74*0.05)+E74</f>
        <v>11550000</v>
      </c>
      <c r="G74" s="22">
        <f>(F74*0.05)+F74</f>
        <v>12127500</v>
      </c>
      <c r="H74" s="109">
        <f>SUM(E74:G74)</f>
        <v>34677500</v>
      </c>
    </row>
    <row r="75" spans="1:8" ht="15">
      <c r="A75" s="59"/>
      <c r="B75" s="21" t="s">
        <v>211</v>
      </c>
      <c r="C75" s="25"/>
      <c r="D75" s="140"/>
      <c r="E75" s="30">
        <v>3700000</v>
      </c>
      <c r="F75" s="22">
        <f>(E75*0.05)+E75</f>
        <v>3885000</v>
      </c>
      <c r="G75" s="22">
        <f>(F75*0.05)+F75</f>
        <v>4079250</v>
      </c>
      <c r="H75" s="109">
        <f>SUM(E75:G75)</f>
        <v>11664250</v>
      </c>
    </row>
    <row r="76" spans="1:8" ht="18.75">
      <c r="A76" s="44" t="s">
        <v>11</v>
      </c>
      <c r="B76" s="4" t="s">
        <v>12</v>
      </c>
      <c r="C76" s="45"/>
      <c r="D76" s="46"/>
      <c r="E76" s="96">
        <v>1999</v>
      </c>
      <c r="F76" s="96">
        <v>2000</v>
      </c>
      <c r="G76" s="96">
        <v>2001</v>
      </c>
      <c r="H76" s="96" t="s">
        <v>202</v>
      </c>
    </row>
    <row r="77" spans="1:8" ht="15">
      <c r="A77" s="34"/>
      <c r="B77" s="21" t="s">
        <v>171</v>
      </c>
      <c r="C77" s="25"/>
      <c r="D77" s="20"/>
      <c r="E77" s="30">
        <v>154212500</v>
      </c>
      <c r="F77" s="22">
        <f>(E77*0.05)+E77</f>
        <v>161923125</v>
      </c>
      <c r="G77" s="22">
        <f>(F77*0.05)+F77</f>
        <v>170019281.25</v>
      </c>
      <c r="H77" s="109">
        <f>SUM(E77:G77)</f>
        <v>486154906.25</v>
      </c>
    </row>
    <row r="78" spans="1:8" ht="15">
      <c r="A78" s="34"/>
      <c r="B78" s="21" t="s">
        <v>172</v>
      </c>
      <c r="C78" s="25"/>
      <c r="D78" s="20"/>
      <c r="E78" s="30">
        <v>60000000</v>
      </c>
      <c r="F78" s="22">
        <f>(E78*0.05)+E78</f>
        <v>63000000</v>
      </c>
      <c r="G78" s="22">
        <f>(F78*0.05)+F78</f>
        <v>66150000</v>
      </c>
      <c r="H78" s="109">
        <f>SUM(E78:G78)</f>
        <v>189150000</v>
      </c>
    </row>
    <row r="79" spans="1:8" ht="15">
      <c r="A79" s="34"/>
      <c r="B79" s="21" t="s">
        <v>173</v>
      </c>
      <c r="C79" s="25"/>
      <c r="D79" s="20"/>
      <c r="E79" s="30">
        <v>300000000</v>
      </c>
      <c r="F79" s="22">
        <f>(E79*0.05)+E79</f>
        <v>315000000</v>
      </c>
      <c r="G79" s="22">
        <f>(F79*0.05)+F79</f>
        <v>330750000</v>
      </c>
      <c r="H79" s="109">
        <f>SUM(E79:G79)</f>
        <v>945750000</v>
      </c>
    </row>
    <row r="80" spans="1:8" ht="15">
      <c r="A80" s="34"/>
      <c r="B80" s="21" t="s">
        <v>105</v>
      </c>
      <c r="C80" s="25"/>
      <c r="D80" s="20"/>
      <c r="E80" s="30">
        <v>296000000</v>
      </c>
      <c r="F80" s="22">
        <v>320000000</v>
      </c>
      <c r="G80" s="22">
        <v>336000000</v>
      </c>
      <c r="H80" s="109">
        <f>SUM(E80:G80)</f>
        <v>952000000</v>
      </c>
    </row>
    <row r="81" spans="1:8" ht="15">
      <c r="A81" s="34"/>
      <c r="B81" s="21" t="s">
        <v>143</v>
      </c>
      <c r="C81" s="25"/>
      <c r="D81" s="20"/>
      <c r="E81" s="30">
        <v>351000000</v>
      </c>
      <c r="F81" s="22">
        <f>(E81*0.05)+E81</f>
        <v>368550000</v>
      </c>
      <c r="G81" s="22">
        <f>(F81*0.05)+F81</f>
        <v>386977500</v>
      </c>
      <c r="H81" s="109">
        <f>SUM(E81:G81)</f>
        <v>1106527500</v>
      </c>
    </row>
    <row r="82" spans="1:8" ht="15">
      <c r="A82" s="34"/>
      <c r="B82" s="21" t="s">
        <v>30</v>
      </c>
      <c r="C82" s="25"/>
      <c r="D82" s="20"/>
      <c r="E82" s="30">
        <v>16000000</v>
      </c>
      <c r="F82" s="22">
        <f>(E82*0.05)+E82</f>
        <v>16800000</v>
      </c>
      <c r="G82" s="22">
        <f>(F82*0.05)+F82</f>
        <v>17640000</v>
      </c>
      <c r="H82" s="109">
        <f>SUM(E82:G82)</f>
        <v>50440000</v>
      </c>
    </row>
    <row r="83" spans="1:8" ht="15">
      <c r="A83" s="34"/>
      <c r="B83" s="21" t="s">
        <v>31</v>
      </c>
      <c r="C83" s="25"/>
      <c r="D83" s="20"/>
      <c r="E83" s="30">
        <f>10500000+488000+1000000+500000</f>
        <v>12488000</v>
      </c>
      <c r="F83" s="22">
        <f>(E83*0.05)+E83</f>
        <v>13112400</v>
      </c>
      <c r="G83" s="22">
        <f>(F83*0.05)+F83</f>
        <v>13768020</v>
      </c>
      <c r="H83" s="109">
        <f>SUM(E83:G83)</f>
        <v>39368420</v>
      </c>
    </row>
    <row r="84" spans="1:8" ht="15">
      <c r="A84" s="34"/>
      <c r="B84" s="21" t="s">
        <v>212</v>
      </c>
      <c r="C84" s="25"/>
      <c r="D84" s="20"/>
      <c r="E84" s="30">
        <v>4900000</v>
      </c>
      <c r="F84" s="22">
        <f>(E84*0.05)+E84</f>
        <v>5145000</v>
      </c>
      <c r="G84" s="22">
        <f>(F84*0.05)+F84</f>
        <v>5402250</v>
      </c>
      <c r="H84" s="109">
        <f>SUM(E84:G84)</f>
        <v>15447250</v>
      </c>
    </row>
    <row r="85" spans="1:8" ht="15">
      <c r="A85" s="34"/>
      <c r="B85" s="21" t="s">
        <v>32</v>
      </c>
      <c r="C85" s="25"/>
      <c r="D85" s="20"/>
      <c r="E85" s="30">
        <v>53900000</v>
      </c>
      <c r="F85" s="22">
        <v>54000000</v>
      </c>
      <c r="G85" s="22">
        <v>54000000</v>
      </c>
      <c r="H85" s="109">
        <f>SUM(E85:G85)</f>
        <v>161900000</v>
      </c>
    </row>
    <row r="86" spans="1:8" ht="15">
      <c r="A86" s="34"/>
      <c r="B86" s="21" t="s">
        <v>33</v>
      </c>
      <c r="C86" s="25"/>
      <c r="D86" s="20"/>
      <c r="E86" s="30">
        <f>4500000+7000000+50000+50000+3000000</f>
        <v>14600000</v>
      </c>
      <c r="F86" s="22">
        <f>(E86*0.05)+E86</f>
        <v>15330000</v>
      </c>
      <c r="G86" s="22">
        <f>(F86*0.05)+F86</f>
        <v>16096500</v>
      </c>
      <c r="H86" s="109">
        <f>SUM(E86:G86)</f>
        <v>46026500</v>
      </c>
    </row>
    <row r="87" spans="1:8" ht="15">
      <c r="A87" s="34"/>
      <c r="B87" s="21" t="s">
        <v>213</v>
      </c>
      <c r="C87" s="25"/>
      <c r="D87" s="20"/>
      <c r="E87" s="30">
        <f>8300000+700000+4300000+4300000+700000+1000000+2000000</f>
        <v>21300000</v>
      </c>
      <c r="F87" s="22">
        <f>(E87*0.05)+E87</f>
        <v>22365000</v>
      </c>
      <c r="G87" s="22">
        <f>(F87*0.05)+F87</f>
        <v>23483250</v>
      </c>
      <c r="H87" s="109">
        <f>SUM(E87:G87)</f>
        <v>67148250</v>
      </c>
    </row>
    <row r="88" spans="1:8" ht="15">
      <c r="A88" s="34"/>
      <c r="B88" s="53" t="s">
        <v>34</v>
      </c>
      <c r="C88" s="35"/>
      <c r="D88" s="36"/>
      <c r="E88" s="29">
        <v>1250000</v>
      </c>
      <c r="F88" s="22">
        <f>(E88*0.05)+E88</f>
        <v>1312500</v>
      </c>
      <c r="G88" s="22">
        <f>(F88*0.05)+F88</f>
        <v>1378125</v>
      </c>
      <c r="H88" s="109">
        <f>SUM(E88:G88)</f>
        <v>3940625</v>
      </c>
    </row>
    <row r="89" spans="1:8" ht="15">
      <c r="A89" s="34"/>
      <c r="B89" s="21" t="s">
        <v>35</v>
      </c>
      <c r="C89" s="25"/>
      <c r="D89" s="20"/>
      <c r="E89" s="30">
        <v>3200000</v>
      </c>
      <c r="F89" s="22">
        <f>(E89*0.05)+E89</f>
        <v>3360000</v>
      </c>
      <c r="G89" s="22">
        <f>(F89*0.05)+F89</f>
        <v>3528000</v>
      </c>
      <c r="H89" s="109">
        <f>SUM(E89:G89)</f>
        <v>10088000</v>
      </c>
    </row>
    <row r="90" spans="1:8" ht="15">
      <c r="A90" s="34"/>
      <c r="B90" s="21" t="s">
        <v>108</v>
      </c>
      <c r="C90" s="25"/>
      <c r="D90" s="20"/>
      <c r="E90" s="30">
        <f>6000000+500000+1500000+500000</f>
        <v>8500000</v>
      </c>
      <c r="F90" s="22">
        <f>(E90*0.05)+E90</f>
        <v>8925000</v>
      </c>
      <c r="G90" s="22">
        <f>(F90*0.05)+F90</f>
        <v>9371250</v>
      </c>
      <c r="H90" s="109">
        <f>SUM(E90:G90)</f>
        <v>26796250</v>
      </c>
    </row>
    <row r="91" spans="1:8" ht="15">
      <c r="A91" s="34"/>
      <c r="B91" s="53" t="s">
        <v>36</v>
      </c>
      <c r="C91" s="35"/>
      <c r="D91" s="36"/>
      <c r="E91" s="22">
        <v>0</v>
      </c>
      <c r="F91" s="22"/>
      <c r="G91" s="22"/>
      <c r="H91" s="109">
        <f>SUM(E91:G91)</f>
        <v>0</v>
      </c>
    </row>
    <row r="92" spans="1:8" ht="15">
      <c r="A92" s="27" t="s">
        <v>160</v>
      </c>
      <c r="B92" s="15"/>
      <c r="C92" s="16"/>
      <c r="D92" s="17"/>
      <c r="E92" s="17"/>
      <c r="F92" s="17"/>
      <c r="G92" s="17"/>
      <c r="H92" s="132"/>
    </row>
    <row r="93" spans="1:8" ht="15">
      <c r="A93" s="34"/>
      <c r="B93" s="21" t="s">
        <v>37</v>
      </c>
      <c r="C93" s="25"/>
      <c r="D93" s="20"/>
      <c r="E93" s="29">
        <f>25800000+35000000</f>
        <v>60800000</v>
      </c>
      <c r="F93" s="22">
        <f>(E93*0.05)+E93</f>
        <v>63840000</v>
      </c>
      <c r="G93" s="22">
        <f>(F93*0.05)+F93</f>
        <v>67032000</v>
      </c>
      <c r="H93" s="109">
        <f>SUM(E93:G93)</f>
        <v>191672000</v>
      </c>
    </row>
    <row r="94" spans="1:8" ht="15">
      <c r="A94" s="34"/>
      <c r="B94" s="21" t="s">
        <v>38</v>
      </c>
      <c r="C94" s="25"/>
      <c r="D94" s="20"/>
      <c r="E94" s="30">
        <v>6150000</v>
      </c>
      <c r="F94" s="22">
        <f>(E94*0.05)+E94</f>
        <v>6457500</v>
      </c>
      <c r="G94" s="22">
        <f>(F94*0.05)+F94</f>
        <v>6780375</v>
      </c>
      <c r="H94" s="109">
        <f>SUM(E94:G94)</f>
        <v>19387875</v>
      </c>
    </row>
    <row r="95" spans="1:8" ht="15">
      <c r="A95" s="34"/>
      <c r="B95" s="21" t="s">
        <v>214</v>
      </c>
      <c r="C95" s="25"/>
      <c r="D95" s="20"/>
      <c r="E95" s="30">
        <v>117000000</v>
      </c>
      <c r="F95" s="22">
        <f>(E95*0.05)+E95</f>
        <v>122850000</v>
      </c>
      <c r="G95" s="22">
        <f>(F95*0.05)+F95</f>
        <v>128992500</v>
      </c>
      <c r="H95" s="109">
        <f>SUM(E95:G95)</f>
        <v>368842500</v>
      </c>
    </row>
    <row r="96" spans="1:8" ht="15">
      <c r="A96" s="34"/>
      <c r="B96" s="21" t="s">
        <v>10</v>
      </c>
      <c r="C96" s="25"/>
      <c r="D96" s="20"/>
      <c r="E96" s="22">
        <v>0</v>
      </c>
      <c r="F96" s="22"/>
      <c r="G96" s="22"/>
      <c r="H96" s="109">
        <f>SUM(E96:G96)</f>
        <v>0</v>
      </c>
    </row>
    <row r="97" spans="1:8" ht="15">
      <c r="A97" s="27" t="s">
        <v>161</v>
      </c>
      <c r="B97" s="15"/>
      <c r="C97" s="16"/>
      <c r="D97" s="17"/>
      <c r="E97" s="17"/>
      <c r="F97" s="17"/>
      <c r="G97" s="17"/>
      <c r="H97" s="132"/>
    </row>
    <row r="98" spans="1:8" ht="15">
      <c r="A98" s="34"/>
      <c r="B98" s="21" t="s">
        <v>39</v>
      </c>
      <c r="C98" s="25"/>
      <c r="D98" s="20"/>
      <c r="E98" s="29">
        <v>3224020134</v>
      </c>
      <c r="F98" s="22">
        <f>(E98*0.01)+E98</f>
        <v>3256260335.34</v>
      </c>
      <c r="G98" s="22">
        <f>(F98*0.01)+F98</f>
        <v>3288822938.6934004</v>
      </c>
      <c r="H98" s="109">
        <f>SUM(E98:G98)</f>
        <v>9769103408.033401</v>
      </c>
    </row>
    <row r="99" spans="1:8" ht="15">
      <c r="A99" s="34"/>
      <c r="B99" s="21" t="s">
        <v>103</v>
      </c>
      <c r="C99" s="25"/>
      <c r="D99" s="20"/>
      <c r="E99" s="30">
        <f>534801428+74113430+17230558+110000000+6705526+6705526+36000000+73129329+17444064+4096238+4361016+4361016+28523820</f>
        <v>917471951</v>
      </c>
      <c r="F99" s="22">
        <f>(E99*0.01)+E99</f>
        <v>926646670.51</v>
      </c>
      <c r="G99" s="22">
        <f>(F99*0.01)+F99</f>
        <v>935913137.2151</v>
      </c>
      <c r="H99" s="109">
        <f>SUM(E99:G99)</f>
        <v>2780031758.7251</v>
      </c>
    </row>
    <row r="100" spans="1:8" ht="15">
      <c r="A100" s="34"/>
      <c r="B100" s="21" t="s">
        <v>40</v>
      </c>
      <c r="C100" s="25"/>
      <c r="D100" s="20"/>
      <c r="E100" s="30">
        <f>154548305+19946408+4643190+29000000+2018744+2018744+10500000+22880600+5194773+1176268+1298693+1298693+8036297</f>
        <v>262560715</v>
      </c>
      <c r="F100" s="22">
        <f>(E100*0.01)+E100</f>
        <v>265186322.15</v>
      </c>
      <c r="G100" s="22">
        <f>(F100*0.01)+F100</f>
        <v>267838185.37150002</v>
      </c>
      <c r="H100" s="109">
        <f>SUM(E100:G100)</f>
        <v>795585222.5215</v>
      </c>
    </row>
    <row r="101" spans="1:8" ht="15">
      <c r="A101" s="34"/>
      <c r="B101" s="21" t="s">
        <v>41</v>
      </c>
      <c r="C101" s="25"/>
      <c r="D101" s="20"/>
      <c r="E101" s="30">
        <f>9750000+8000000+300000+600000+1500000+500000+375000+375000+1000000</f>
        <v>22400000</v>
      </c>
      <c r="F101" s="22">
        <f>(E101*0.01)+E101</f>
        <v>22624000</v>
      </c>
      <c r="G101" s="22">
        <f>(F101*0.01)+F101</f>
        <v>22850240</v>
      </c>
      <c r="H101" s="109">
        <f>SUM(E101:G101)</f>
        <v>67874240</v>
      </c>
    </row>
    <row r="102" spans="1:8" ht="15">
      <c r="A102" s="34"/>
      <c r="B102" s="21" t="s">
        <v>42</v>
      </c>
      <c r="C102" s="25"/>
      <c r="D102" s="20"/>
      <c r="E102" s="30">
        <f>32571200+17500000+5900000+22000000+5428800+7143000</f>
        <v>90543000</v>
      </c>
      <c r="F102" s="22">
        <f>(E102*0.01)+E102</f>
        <v>91448430</v>
      </c>
      <c r="G102" s="22">
        <f>(F102*0.01)+F102</f>
        <v>92362914.3</v>
      </c>
      <c r="H102" s="109">
        <f>SUM(E102:G102)</f>
        <v>274354344.3</v>
      </c>
    </row>
    <row r="103" spans="1:8" ht="15">
      <c r="A103" s="34"/>
      <c r="B103" s="21" t="s">
        <v>43</v>
      </c>
      <c r="C103" s="25"/>
      <c r="D103" s="20"/>
      <c r="E103" s="30">
        <v>5000000</v>
      </c>
      <c r="F103" s="22">
        <v>5500000</v>
      </c>
      <c r="G103" s="22">
        <v>6500000</v>
      </c>
      <c r="H103" s="109">
        <f>SUM(E103:G103)</f>
        <v>17000000</v>
      </c>
    </row>
    <row r="104" spans="1:8" ht="15">
      <c r="A104" s="27" t="s">
        <v>162</v>
      </c>
      <c r="B104" s="15"/>
      <c r="C104" s="16"/>
      <c r="D104" s="17"/>
      <c r="E104" s="17"/>
      <c r="F104" s="17"/>
      <c r="G104" s="17"/>
      <c r="H104" s="132"/>
    </row>
    <row r="105" spans="1:8" ht="15">
      <c r="A105" s="61"/>
      <c r="B105" s="21" t="s">
        <v>44</v>
      </c>
      <c r="C105" s="25"/>
      <c r="D105" s="20"/>
      <c r="E105" s="29">
        <v>0</v>
      </c>
      <c r="F105" s="29">
        <v>0</v>
      </c>
      <c r="G105" s="29">
        <v>0</v>
      </c>
      <c r="H105" s="109">
        <f>SUM(E105:G105)</f>
        <v>0</v>
      </c>
    </row>
    <row r="106" spans="1:8" ht="15">
      <c r="A106" s="61"/>
      <c r="B106" s="21" t="s">
        <v>45</v>
      </c>
      <c r="C106" s="25"/>
      <c r="D106" s="20"/>
      <c r="E106" s="30">
        <v>122000000</v>
      </c>
      <c r="F106" s="30">
        <f>E106</f>
        <v>122000000</v>
      </c>
      <c r="G106" s="30">
        <f>F106</f>
        <v>122000000</v>
      </c>
      <c r="H106" s="109">
        <f>SUM(E106:G106)</f>
        <v>366000000</v>
      </c>
    </row>
    <row r="107" spans="1:8" ht="15">
      <c r="A107" s="61"/>
      <c r="B107" s="21" t="s">
        <v>46</v>
      </c>
      <c r="C107" s="25"/>
      <c r="D107" s="20"/>
      <c r="E107" s="22">
        <v>0</v>
      </c>
      <c r="F107" s="22"/>
      <c r="G107" s="22"/>
      <c r="H107" s="109">
        <f>SUM(E107:G107)</f>
        <v>0</v>
      </c>
    </row>
    <row r="108" spans="1:8" ht="15">
      <c r="A108" s="61"/>
      <c r="B108" s="21" t="s">
        <v>163</v>
      </c>
      <c r="C108" s="25"/>
      <c r="D108" s="20"/>
      <c r="E108" s="22">
        <v>0</v>
      </c>
      <c r="F108" s="22"/>
      <c r="G108" s="22"/>
      <c r="H108" s="109">
        <f>SUM(E108:G108)</f>
        <v>0</v>
      </c>
    </row>
    <row r="109" spans="1:8" ht="15">
      <c r="A109" s="27" t="s">
        <v>47</v>
      </c>
      <c r="B109" s="15" t="s">
        <v>48</v>
      </c>
      <c r="C109" s="16"/>
      <c r="D109" s="17"/>
      <c r="E109" s="17"/>
      <c r="F109" s="17"/>
      <c r="G109" s="17"/>
      <c r="H109" s="132"/>
    </row>
    <row r="110" spans="1:8" ht="15">
      <c r="A110" s="61"/>
      <c r="B110" s="21" t="s">
        <v>49</v>
      </c>
      <c r="C110" s="25"/>
      <c r="D110" s="20"/>
      <c r="E110" s="29">
        <f>30000000+170000000+200000000</f>
        <v>400000000</v>
      </c>
      <c r="F110" s="29">
        <v>415000000</v>
      </c>
      <c r="G110" s="29">
        <v>415000000</v>
      </c>
      <c r="H110" s="109">
        <f>SUM(E110:G110)</f>
        <v>1230000000</v>
      </c>
    </row>
    <row r="111" spans="1:8" ht="15">
      <c r="A111" s="61"/>
      <c r="B111" s="21" t="s">
        <v>50</v>
      </c>
      <c r="C111" s="25"/>
      <c r="D111" s="20"/>
      <c r="E111" s="30">
        <f>(-45000000)+(-170000000)+(-200000000)</f>
        <v>-415000000</v>
      </c>
      <c r="F111" s="30">
        <v>-415000000</v>
      </c>
      <c r="G111" s="30">
        <v>-415000000</v>
      </c>
      <c r="H111" s="109">
        <f>SUM(E111:G111)</f>
        <v>-1245000000</v>
      </c>
    </row>
    <row r="112" spans="1:8" ht="15">
      <c r="A112" s="27" t="s">
        <v>51</v>
      </c>
      <c r="B112" s="15" t="s">
        <v>52</v>
      </c>
      <c r="C112" s="16"/>
      <c r="D112" s="17"/>
      <c r="E112" s="17"/>
      <c r="F112" s="17"/>
      <c r="G112" s="17"/>
      <c r="H112" s="132"/>
    </row>
    <row r="113" spans="1:8" ht="15">
      <c r="A113" s="137"/>
      <c r="B113" s="21" t="s">
        <v>53</v>
      </c>
      <c r="C113" s="25"/>
      <c r="D113" s="135"/>
      <c r="E113" s="22">
        <v>0</v>
      </c>
      <c r="F113" s="22"/>
      <c r="G113" s="22"/>
      <c r="H113" s="109">
        <f>SUM(E113:G113)</f>
        <v>0</v>
      </c>
    </row>
    <row r="114" spans="1:8" ht="18.75">
      <c r="A114" s="44" t="s">
        <v>11</v>
      </c>
      <c r="B114" s="4" t="s">
        <v>12</v>
      </c>
      <c r="C114" s="45"/>
      <c r="D114" s="46"/>
      <c r="E114" s="96">
        <v>1999</v>
      </c>
      <c r="F114" s="96">
        <v>2000</v>
      </c>
      <c r="G114" s="96">
        <v>2001</v>
      </c>
      <c r="H114" s="96" t="s">
        <v>202</v>
      </c>
    </row>
    <row r="115" spans="1:8" ht="15">
      <c r="A115" s="27" t="s">
        <v>54</v>
      </c>
      <c r="B115" s="15" t="s">
        <v>55</v>
      </c>
      <c r="C115" s="16"/>
      <c r="D115" s="17"/>
      <c r="E115" s="17"/>
      <c r="F115" s="17"/>
      <c r="G115" s="17"/>
      <c r="H115" s="132"/>
    </row>
    <row r="116" spans="1:8" ht="15">
      <c r="A116" s="61"/>
      <c r="B116" s="21" t="s">
        <v>56</v>
      </c>
      <c r="C116" s="25"/>
      <c r="D116" s="135"/>
      <c r="E116" s="22">
        <v>0</v>
      </c>
      <c r="F116" s="22"/>
      <c r="G116" s="22"/>
      <c r="H116" s="109">
        <f>SUM(E116:G116)</f>
        <v>0</v>
      </c>
    </row>
    <row r="117" spans="1:8" ht="15">
      <c r="A117" s="137"/>
      <c r="B117" s="21"/>
      <c r="C117" s="25"/>
      <c r="D117" s="20"/>
      <c r="E117" s="20"/>
      <c r="F117" s="20"/>
      <c r="G117" s="20"/>
      <c r="H117" s="136"/>
    </row>
    <row r="118" spans="1:8" ht="18.75">
      <c r="A118" s="44" t="s">
        <v>11</v>
      </c>
      <c r="B118" s="4" t="s">
        <v>205</v>
      </c>
      <c r="C118" s="45"/>
      <c r="D118" s="134"/>
      <c r="E118" s="96">
        <v>1999</v>
      </c>
      <c r="F118" s="96">
        <v>2000</v>
      </c>
      <c r="G118" s="96">
        <v>2001</v>
      </c>
      <c r="H118" s="96" t="s">
        <v>202</v>
      </c>
    </row>
    <row r="119" spans="1:8" ht="15">
      <c r="A119" s="27" t="s">
        <v>57</v>
      </c>
      <c r="B119" s="15" t="s">
        <v>58</v>
      </c>
      <c r="C119" s="16"/>
      <c r="D119" s="17"/>
      <c r="E119" s="32"/>
      <c r="F119" s="32"/>
      <c r="G119" s="32"/>
      <c r="H119" s="132"/>
    </row>
    <row r="120" spans="1:8" ht="15">
      <c r="A120" s="61"/>
      <c r="B120" s="21" t="s">
        <v>164</v>
      </c>
      <c r="C120" s="25"/>
      <c r="D120" s="20"/>
      <c r="E120" s="22">
        <v>0</v>
      </c>
      <c r="F120" s="22"/>
      <c r="G120" s="22"/>
      <c r="H120" s="109">
        <f>SUM(E120:G120)</f>
        <v>0</v>
      </c>
    </row>
    <row r="121" spans="1:8" ht="15">
      <c r="A121" s="61"/>
      <c r="B121" s="21" t="s">
        <v>59</v>
      </c>
      <c r="C121" s="25"/>
      <c r="D121" s="20"/>
      <c r="E121" s="22">
        <v>0</v>
      </c>
      <c r="F121" s="22"/>
      <c r="G121" s="22"/>
      <c r="H121" s="109">
        <f>SUM(E121:G121)</f>
        <v>0</v>
      </c>
    </row>
    <row r="122" spans="1:8" ht="15">
      <c r="A122" s="61"/>
      <c r="B122" s="21" t="s">
        <v>60</v>
      </c>
      <c r="C122" s="25"/>
      <c r="D122" s="20"/>
      <c r="E122" s="30">
        <f>65000+65000</f>
        <v>130000</v>
      </c>
      <c r="F122" s="64">
        <f>(E122*0.02)+E122</f>
        <v>132600</v>
      </c>
      <c r="G122" s="64">
        <f>(F122*0.02)+F122</f>
        <v>135252</v>
      </c>
      <c r="H122" s="109">
        <f>SUM(E122:G122)</f>
        <v>397852</v>
      </c>
    </row>
    <row r="123" spans="1:8" ht="15">
      <c r="A123" s="61"/>
      <c r="B123" s="21" t="s">
        <v>61</v>
      </c>
      <c r="C123" s="25"/>
      <c r="D123" s="20"/>
      <c r="E123" s="30">
        <f>1081000+1081000</f>
        <v>2162000</v>
      </c>
      <c r="F123" s="22">
        <f>(E123*0.02)+E123</f>
        <v>2205240</v>
      </c>
      <c r="G123" s="22">
        <f>(F123*0.02)+F123</f>
        <v>2249344.8</v>
      </c>
      <c r="H123" s="109">
        <f>SUM(E123:G123)</f>
        <v>6616584.8</v>
      </c>
    </row>
    <row r="124" spans="1:8" ht="15">
      <c r="A124" s="61"/>
      <c r="B124" s="21" t="s">
        <v>62</v>
      </c>
      <c r="C124" s="25"/>
      <c r="D124" s="20"/>
      <c r="E124" s="30">
        <f>260000+385000</f>
        <v>645000</v>
      </c>
      <c r="F124" s="22">
        <f>(E124*0.02)+E124</f>
        <v>657900</v>
      </c>
      <c r="G124" s="22">
        <f>(F124*0.02)+F124</f>
        <v>671058</v>
      </c>
      <c r="H124" s="109">
        <f>SUM(E124:G124)</f>
        <v>1973958</v>
      </c>
    </row>
    <row r="125" spans="1:8" ht="15">
      <c r="A125" s="61"/>
      <c r="B125" s="21" t="s">
        <v>63</v>
      </c>
      <c r="C125" s="25"/>
      <c r="D125" s="20"/>
      <c r="E125" s="22">
        <v>0</v>
      </c>
      <c r="F125" s="22">
        <v>0</v>
      </c>
      <c r="G125" s="22">
        <v>0</v>
      </c>
      <c r="H125" s="109">
        <f>SUM(E125:G125)</f>
        <v>0</v>
      </c>
    </row>
    <row r="126" spans="1:8" ht="15">
      <c r="A126" s="61"/>
      <c r="B126" s="21" t="s">
        <v>126</v>
      </c>
      <c r="C126" s="25"/>
      <c r="D126" s="20"/>
      <c r="E126" s="30">
        <f>30000000+600000+300000</f>
        <v>30900000</v>
      </c>
      <c r="F126" s="64">
        <v>33000000</v>
      </c>
      <c r="G126" s="64">
        <v>35000000</v>
      </c>
      <c r="H126" s="109">
        <f>SUM(E126:G126)</f>
        <v>98900000</v>
      </c>
    </row>
    <row r="127" spans="1:8" ht="15">
      <c r="A127" s="61"/>
      <c r="B127" s="21" t="s">
        <v>107</v>
      </c>
      <c r="C127" s="25"/>
      <c r="D127" s="20"/>
      <c r="E127" s="30">
        <f>5500000+580000</f>
        <v>6080000</v>
      </c>
      <c r="F127" s="22">
        <f>(E127*0.02)+E127</f>
        <v>6201600</v>
      </c>
      <c r="G127" s="22">
        <f>(F127*0.02)+F127</f>
        <v>6325632</v>
      </c>
      <c r="H127" s="109">
        <f>SUM(E127:G127)</f>
        <v>18607232</v>
      </c>
    </row>
    <row r="128" spans="1:8" ht="15">
      <c r="A128" s="61"/>
      <c r="B128" s="21" t="s">
        <v>145</v>
      </c>
      <c r="C128" s="25"/>
      <c r="D128" s="20"/>
      <c r="E128" s="22">
        <v>10000000</v>
      </c>
      <c r="F128" s="22">
        <v>10000000</v>
      </c>
      <c r="G128" s="22">
        <v>1000000</v>
      </c>
      <c r="H128" s="109">
        <f>SUM(E128:G128)</f>
        <v>21000000</v>
      </c>
    </row>
    <row r="129" spans="1:8" ht="15">
      <c r="A129" s="61"/>
      <c r="B129" s="21" t="s">
        <v>64</v>
      </c>
      <c r="C129" s="25"/>
      <c r="D129" s="20"/>
      <c r="E129" s="22">
        <v>0</v>
      </c>
      <c r="F129" s="22">
        <v>100000000</v>
      </c>
      <c r="G129" s="22">
        <v>180000000</v>
      </c>
      <c r="H129" s="109">
        <f>SUM(E129:G129)</f>
        <v>280000000</v>
      </c>
    </row>
    <row r="130" spans="1:8" ht="15">
      <c r="A130" s="61"/>
      <c r="B130" s="21" t="s">
        <v>65</v>
      </c>
      <c r="C130" s="25"/>
      <c r="D130" s="20"/>
      <c r="E130" s="30">
        <f>1000000+750000+750000</f>
        <v>2500000</v>
      </c>
      <c r="F130" s="64">
        <f>(E130*0.02)+E130</f>
        <v>2550000</v>
      </c>
      <c r="G130" s="64">
        <f>(F130*0.02)+F130</f>
        <v>2601000</v>
      </c>
      <c r="H130" s="109">
        <f>SUM(E130:G130)</f>
        <v>7651000</v>
      </c>
    </row>
    <row r="131" spans="1:8" ht="15">
      <c r="A131" s="61"/>
      <c r="B131" s="16" t="s">
        <v>66</v>
      </c>
      <c r="C131" s="6"/>
      <c r="D131" s="17"/>
      <c r="E131" s="22">
        <f>1400000+2300000</f>
        <v>3700000</v>
      </c>
      <c r="F131" s="22">
        <f>(E131*0.02)+E131</f>
        <v>3774000</v>
      </c>
      <c r="G131" s="22">
        <f>(F131*0.02)+F131</f>
        <v>3849480</v>
      </c>
      <c r="H131" s="109">
        <f>SUM(E131:G131)</f>
        <v>11323480</v>
      </c>
    </row>
    <row r="132" spans="1:8" ht="15">
      <c r="A132" s="37"/>
      <c r="B132" s="38" t="s">
        <v>109</v>
      </c>
      <c r="C132" s="38"/>
      <c r="D132" s="36"/>
      <c r="E132" s="108">
        <f>SUM(E40:E116)+SUM(E120:E131)</f>
        <v>11294137298</v>
      </c>
      <c r="F132" s="108">
        <f>SUM(F40:F116)+SUM(F120:F131)</f>
        <v>11837096123</v>
      </c>
      <c r="G132" s="108">
        <f>SUM(G40:G116)+SUM(G120:G131)</f>
        <v>12362473460.63</v>
      </c>
    </row>
    <row r="133" spans="1:7" ht="15">
      <c r="A133" s="31"/>
      <c r="B133" s="16"/>
      <c r="C133" s="6"/>
      <c r="D133" s="17"/>
      <c r="E133" s="17"/>
      <c r="F133" s="17"/>
      <c r="G133" s="17"/>
    </row>
    <row r="134" spans="1:8" ht="18.75">
      <c r="A134" s="44" t="s">
        <v>67</v>
      </c>
      <c r="B134" s="4" t="s">
        <v>68</v>
      </c>
      <c r="C134" s="45"/>
      <c r="D134" s="134"/>
      <c r="E134" s="96">
        <v>1999</v>
      </c>
      <c r="F134" s="96">
        <v>2000</v>
      </c>
      <c r="G134" s="96">
        <v>2001</v>
      </c>
      <c r="H134" s="96" t="s">
        <v>202</v>
      </c>
    </row>
    <row r="135" spans="1:8" ht="15">
      <c r="A135" s="27" t="s">
        <v>69</v>
      </c>
      <c r="B135" s="28" t="s">
        <v>70</v>
      </c>
      <c r="C135" s="21"/>
      <c r="D135" s="20"/>
      <c r="E135" s="22"/>
      <c r="F135" s="22"/>
      <c r="G135" s="22"/>
      <c r="H135" s="114"/>
    </row>
    <row r="136" spans="1:8" ht="15">
      <c r="A136" s="27" t="s">
        <v>71</v>
      </c>
      <c r="B136" s="15" t="s">
        <v>72</v>
      </c>
      <c r="C136" s="16"/>
      <c r="D136" s="17"/>
      <c r="E136" s="17"/>
      <c r="F136" s="17"/>
      <c r="G136" s="17"/>
      <c r="H136" s="133"/>
    </row>
    <row r="137" spans="1:8" ht="15">
      <c r="A137" s="61"/>
      <c r="B137" s="21" t="s">
        <v>73</v>
      </c>
      <c r="C137" s="25"/>
      <c r="D137" s="20"/>
      <c r="E137" s="22">
        <v>30000000</v>
      </c>
      <c r="F137" s="22">
        <v>35000000</v>
      </c>
      <c r="G137" s="22">
        <v>38000000</v>
      </c>
      <c r="H137" s="109">
        <f>SUM(E137:G137)</f>
        <v>103000000</v>
      </c>
    </row>
    <row r="138" spans="1:8" ht="15">
      <c r="A138" s="61"/>
      <c r="B138" s="21" t="s">
        <v>74</v>
      </c>
      <c r="C138" s="25"/>
      <c r="D138" s="20"/>
      <c r="E138" s="22">
        <v>0</v>
      </c>
      <c r="F138" s="22">
        <v>0</v>
      </c>
      <c r="G138" s="22">
        <v>0</v>
      </c>
      <c r="H138" s="114"/>
    </row>
    <row r="139" spans="1:8" ht="15">
      <c r="A139" s="61"/>
      <c r="B139" s="21" t="s">
        <v>75</v>
      </c>
      <c r="C139" s="25"/>
      <c r="D139" s="20"/>
      <c r="E139" s="22">
        <v>0</v>
      </c>
      <c r="F139" s="22">
        <v>0</v>
      </c>
      <c r="G139" s="22">
        <v>0</v>
      </c>
      <c r="H139" s="114"/>
    </row>
    <row r="140" spans="1:8" ht="15">
      <c r="A140" s="27" t="s">
        <v>76</v>
      </c>
      <c r="B140" s="15" t="s">
        <v>77</v>
      </c>
      <c r="C140" s="16"/>
      <c r="D140" s="17"/>
      <c r="E140" s="17"/>
      <c r="F140" s="17"/>
      <c r="G140" s="17"/>
      <c r="H140" s="133"/>
    </row>
    <row r="141" spans="1:8" ht="15">
      <c r="A141" s="61"/>
      <c r="B141" s="21" t="s">
        <v>78</v>
      </c>
      <c r="C141" s="25"/>
      <c r="D141" s="20"/>
      <c r="E141" s="22">
        <v>0</v>
      </c>
      <c r="F141" s="22">
        <v>0</v>
      </c>
      <c r="G141" s="22">
        <v>0</v>
      </c>
      <c r="H141" s="114"/>
    </row>
    <row r="142" spans="1:8" ht="15">
      <c r="A142" s="61"/>
      <c r="B142" s="21" t="s">
        <v>79</v>
      </c>
      <c r="C142" s="25"/>
      <c r="D142" s="20"/>
      <c r="E142" s="22">
        <v>0</v>
      </c>
      <c r="F142" s="22">
        <v>0</v>
      </c>
      <c r="G142" s="22">
        <v>0</v>
      </c>
      <c r="H142" s="114"/>
    </row>
    <row r="143" spans="1:8" ht="15">
      <c r="A143" s="61"/>
      <c r="B143" s="21" t="s">
        <v>80</v>
      </c>
      <c r="C143" s="25"/>
      <c r="D143" s="20"/>
      <c r="E143" s="22">
        <v>0</v>
      </c>
      <c r="F143" s="22">
        <v>0</v>
      </c>
      <c r="G143" s="22">
        <v>0</v>
      </c>
      <c r="H143" s="114"/>
    </row>
    <row r="144" spans="1:8" ht="15">
      <c r="A144" s="65"/>
      <c r="B144" s="21" t="s">
        <v>81</v>
      </c>
      <c r="C144" s="25"/>
      <c r="D144" s="20"/>
      <c r="E144" s="22">
        <v>2000000</v>
      </c>
      <c r="F144" s="22">
        <v>2500000</v>
      </c>
      <c r="G144" s="22">
        <v>3000000</v>
      </c>
      <c r="H144" s="109">
        <f>SUM(E144:G144)</f>
        <v>7500000</v>
      </c>
    </row>
    <row r="145" spans="1:8" ht="15">
      <c r="A145" s="61"/>
      <c r="B145" s="21" t="s">
        <v>82</v>
      </c>
      <c r="C145" s="25"/>
      <c r="D145" s="20"/>
      <c r="E145" s="22">
        <v>0</v>
      </c>
      <c r="F145" s="22">
        <v>0</v>
      </c>
      <c r="G145" s="22">
        <v>0</v>
      </c>
      <c r="H145" s="114"/>
    </row>
    <row r="146" spans="1:8" ht="15">
      <c r="A146" s="37"/>
      <c r="B146" s="38" t="s">
        <v>109</v>
      </c>
      <c r="C146" s="38"/>
      <c r="D146" s="36"/>
      <c r="E146" s="108">
        <f>E137-E144</f>
        <v>28000000</v>
      </c>
      <c r="F146" s="108">
        <f>F137-F144</f>
        <v>32500000</v>
      </c>
      <c r="G146" s="108">
        <f>G137-G144</f>
        <v>35000000</v>
      </c>
      <c r="H146" s="112"/>
    </row>
    <row r="147" spans="1:7" ht="15">
      <c r="A147" s="61"/>
      <c r="B147" s="52"/>
      <c r="C147" s="33"/>
      <c r="D147" s="32"/>
      <c r="E147" s="32"/>
      <c r="F147" s="32"/>
      <c r="G147" s="32"/>
    </row>
    <row r="148" spans="1:8" ht="18.75">
      <c r="A148" s="44" t="s">
        <v>83</v>
      </c>
      <c r="B148" s="4" t="s">
        <v>84</v>
      </c>
      <c r="C148" s="45"/>
      <c r="D148" s="134"/>
      <c r="E148" s="96">
        <v>1999</v>
      </c>
      <c r="F148" s="96">
        <v>2000</v>
      </c>
      <c r="G148" s="96">
        <v>2001</v>
      </c>
      <c r="H148" s="96" t="s">
        <v>202</v>
      </c>
    </row>
    <row r="149" spans="1:8" ht="15">
      <c r="A149" s="68"/>
      <c r="B149" s="69"/>
      <c r="C149" s="70"/>
      <c r="D149" s="138"/>
      <c r="E149" s="113"/>
      <c r="F149" s="113"/>
      <c r="G149" s="113"/>
      <c r="H149" s="108">
        <v>0</v>
      </c>
    </row>
    <row r="150" spans="1:8" ht="15">
      <c r="A150" s="37"/>
      <c r="B150" s="38" t="s">
        <v>109</v>
      </c>
      <c r="C150" s="38"/>
      <c r="D150" s="139"/>
      <c r="E150" s="108">
        <v>0</v>
      </c>
      <c r="F150" s="108">
        <v>0</v>
      </c>
      <c r="G150" s="108">
        <v>0</v>
      </c>
    </row>
    <row r="151" spans="1:8" ht="18.75">
      <c r="A151" s="44" t="s">
        <v>85</v>
      </c>
      <c r="B151" s="4" t="s">
        <v>86</v>
      </c>
      <c r="C151" s="45"/>
      <c r="D151" s="134"/>
      <c r="E151" s="96">
        <v>1999</v>
      </c>
      <c r="F151" s="96">
        <v>2000</v>
      </c>
      <c r="G151" s="96">
        <v>2001</v>
      </c>
      <c r="H151" s="96" t="s">
        <v>202</v>
      </c>
    </row>
    <row r="152" spans="1:8" ht="15">
      <c r="A152" s="27" t="s">
        <v>87</v>
      </c>
      <c r="B152" s="15" t="s">
        <v>88</v>
      </c>
      <c r="C152" s="16"/>
      <c r="D152" s="17"/>
      <c r="E152" s="17"/>
      <c r="F152" s="17"/>
      <c r="G152" s="17"/>
      <c r="H152" s="131"/>
    </row>
    <row r="153" spans="1:8" ht="15">
      <c r="A153" s="61"/>
      <c r="B153" s="21" t="s">
        <v>89</v>
      </c>
      <c r="C153" s="25"/>
      <c r="D153" s="20"/>
      <c r="E153" s="22"/>
      <c r="F153" s="22"/>
      <c r="G153" s="22"/>
      <c r="H153" s="104"/>
    </row>
    <row r="154" spans="1:8" ht="15">
      <c r="A154" s="34"/>
      <c r="B154" s="21" t="s">
        <v>90</v>
      </c>
      <c r="C154" s="25"/>
      <c r="D154" s="20"/>
      <c r="E154" s="22"/>
      <c r="F154" s="22"/>
      <c r="G154" s="22"/>
      <c r="H154" s="104"/>
    </row>
    <row r="155" spans="1:8" ht="15">
      <c r="A155" s="34"/>
      <c r="B155" s="21" t="s">
        <v>91</v>
      </c>
      <c r="C155" s="25"/>
      <c r="D155" s="20"/>
      <c r="E155" s="22"/>
      <c r="F155" s="22"/>
      <c r="G155" s="22"/>
      <c r="H155" s="104"/>
    </row>
    <row r="156" spans="1:8" ht="15">
      <c r="A156" s="27" t="s">
        <v>92</v>
      </c>
      <c r="B156" s="15" t="s">
        <v>93</v>
      </c>
      <c r="C156" s="16"/>
      <c r="D156" s="17"/>
      <c r="E156" s="17"/>
      <c r="F156" s="17"/>
      <c r="G156" s="17"/>
      <c r="H156" s="132"/>
    </row>
    <row r="157" spans="1:8" ht="15">
      <c r="A157" s="34"/>
      <c r="B157" s="21" t="s">
        <v>94</v>
      </c>
      <c r="C157" s="25"/>
      <c r="D157" s="20"/>
      <c r="E157" s="22"/>
      <c r="F157" s="22"/>
      <c r="G157" s="22"/>
      <c r="H157" s="104"/>
    </row>
    <row r="158" spans="1:8" ht="15">
      <c r="A158" s="34"/>
      <c r="B158" s="21" t="s">
        <v>95</v>
      </c>
      <c r="C158" s="25"/>
      <c r="D158" s="20"/>
      <c r="E158" s="22"/>
      <c r="F158" s="22"/>
      <c r="G158" s="22"/>
      <c r="H158" s="104"/>
    </row>
    <row r="159" spans="1:8" ht="15">
      <c r="A159" s="34"/>
      <c r="B159" s="21" t="s">
        <v>96</v>
      </c>
      <c r="C159" s="25"/>
      <c r="D159" s="20"/>
      <c r="E159" s="22"/>
      <c r="F159" s="22"/>
      <c r="G159" s="22"/>
      <c r="H159" s="104"/>
    </row>
    <row r="160" spans="1:8" ht="15">
      <c r="A160" s="34"/>
      <c r="B160" s="21" t="s">
        <v>91</v>
      </c>
      <c r="C160" s="25"/>
      <c r="D160" s="20"/>
      <c r="E160" s="22"/>
      <c r="F160" s="22"/>
      <c r="G160" s="22"/>
      <c r="H160" s="104"/>
    </row>
    <row r="161" spans="1:8" ht="15">
      <c r="A161" s="27" t="s">
        <v>97</v>
      </c>
      <c r="B161" s="15" t="s">
        <v>98</v>
      </c>
      <c r="C161" s="16"/>
      <c r="D161" s="17"/>
      <c r="E161" s="17"/>
      <c r="F161" s="17"/>
      <c r="G161" s="17"/>
      <c r="H161" s="132"/>
    </row>
    <row r="162" spans="1:8" ht="15">
      <c r="A162" s="34"/>
      <c r="B162" s="21" t="s">
        <v>99</v>
      </c>
      <c r="C162" s="25"/>
      <c r="D162" s="20"/>
      <c r="E162" s="22">
        <v>0</v>
      </c>
      <c r="F162" s="22">
        <v>0</v>
      </c>
      <c r="G162" s="22">
        <v>0</v>
      </c>
      <c r="H162" s="108">
        <v>0</v>
      </c>
    </row>
    <row r="163" spans="1:8" ht="15">
      <c r="A163" s="34"/>
      <c r="B163" s="21" t="s">
        <v>100</v>
      </c>
      <c r="C163" s="25"/>
      <c r="D163" s="20"/>
      <c r="E163" s="22">
        <f>127426172+20000000+1565745+7500000+17000000+3654195+833649+3065745+922678+6369717</f>
        <v>188337901</v>
      </c>
      <c r="F163" s="22">
        <f>(E163*0.02)+E163</f>
        <v>192104659.02</v>
      </c>
      <c r="G163" s="22">
        <f>(F163*0.02)+F163</f>
        <v>195946752.20040002</v>
      </c>
      <c r="H163" s="109">
        <f>SUM(E163:G163)</f>
        <v>576389312.2204</v>
      </c>
    </row>
    <row r="164" spans="1:8" ht="15.75">
      <c r="A164" s="59"/>
      <c r="B164" s="38" t="s">
        <v>109</v>
      </c>
      <c r="C164" s="38"/>
      <c r="D164" s="36"/>
      <c r="E164" s="108">
        <f>SUM(E163)</f>
        <v>188337901</v>
      </c>
      <c r="F164" s="108">
        <f>SUM(F163)</f>
        <v>192104659.02</v>
      </c>
      <c r="G164" s="108">
        <f>SUM(G163)</f>
        <v>195946752.20040002</v>
      </c>
      <c r="H164" s="115"/>
    </row>
    <row r="165" spans="1:7" ht="15.75" thickBot="1">
      <c r="A165" s="33"/>
      <c r="B165" s="75"/>
      <c r="C165" s="75"/>
      <c r="D165" s="75"/>
      <c r="E165" s="33"/>
      <c r="F165" s="33"/>
      <c r="G165" s="33"/>
    </row>
    <row r="166" spans="1:8" ht="15">
      <c r="A166" s="117"/>
      <c r="B166" s="118" t="s">
        <v>141</v>
      </c>
      <c r="C166" s="118"/>
      <c r="D166" s="119"/>
      <c r="E166" s="120">
        <f>E37</f>
        <v>11454471201</v>
      </c>
      <c r="F166" s="120">
        <f>F37</f>
        <v>12125279265.119999</v>
      </c>
      <c r="G166" s="121">
        <f>G37</f>
        <v>12865946136.9344</v>
      </c>
    </row>
    <row r="167" spans="1:7" ht="15">
      <c r="A167" s="122"/>
      <c r="B167" s="33"/>
      <c r="C167" s="78"/>
      <c r="D167" s="33"/>
      <c r="E167" s="33"/>
      <c r="F167" s="33"/>
      <c r="G167" s="123"/>
    </row>
    <row r="168" spans="1:8" ht="15">
      <c r="A168" s="122"/>
      <c r="B168" s="78" t="s">
        <v>180</v>
      </c>
      <c r="C168" s="78"/>
      <c r="D168" s="33"/>
      <c r="E168" s="116">
        <f>E132+E150+E164</f>
        <v>11482475199</v>
      </c>
      <c r="F168" s="116">
        <f>F132+F150+F164</f>
        <v>12029200782.02</v>
      </c>
      <c r="G168" s="124">
        <f>G132+G150+G164</f>
        <v>12558420212.830399</v>
      </c>
    </row>
    <row r="169" spans="1:7" ht="15">
      <c r="A169" s="125"/>
      <c r="B169" s="42"/>
      <c r="C169" s="42"/>
      <c r="D169" s="41"/>
      <c r="E169" s="41"/>
      <c r="F169" s="41"/>
      <c r="G169" s="126"/>
    </row>
    <row r="170" spans="1:8" ht="15">
      <c r="A170" s="122"/>
      <c r="B170" s="78" t="s">
        <v>179</v>
      </c>
      <c r="C170" s="78"/>
      <c r="D170" s="33"/>
      <c r="E170" s="116">
        <f>E146</f>
        <v>28000000</v>
      </c>
      <c r="F170" s="116">
        <f>F146</f>
        <v>32500000</v>
      </c>
      <c r="G170" s="124">
        <f>G146</f>
        <v>35000000</v>
      </c>
    </row>
    <row r="171" spans="1:7" ht="15">
      <c r="A171" s="122"/>
      <c r="B171" s="33"/>
      <c r="C171" s="33"/>
      <c r="D171" s="33"/>
      <c r="E171" s="33"/>
      <c r="F171" s="33"/>
      <c r="G171" s="123"/>
    </row>
    <row r="172" spans="1:8" ht="15.75" thickBot="1">
      <c r="A172" s="127" t="s">
        <v>203</v>
      </c>
      <c r="B172" s="128"/>
      <c r="C172" s="128"/>
      <c r="D172" s="128"/>
      <c r="E172" s="129">
        <f>(E166+E170)-E168</f>
        <v>-3998</v>
      </c>
      <c r="F172" s="129">
        <f>(F166+F170)-F168</f>
        <v>128578483.09999847</v>
      </c>
      <c r="G172" s="130">
        <f>(G166+G170)-G168</f>
        <v>342525924.104002</v>
      </c>
    </row>
  </sheetData>
  <mergeCells count="3">
    <mergeCell ref="A1:H1"/>
    <mergeCell ref="A2:H2"/>
    <mergeCell ref="A3:H3"/>
  </mergeCells>
  <printOptions horizontalCentered="1" verticalCentered="1"/>
  <pageMargins left="0" right="0" top="0" bottom="0" header="0" footer="0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11"/>
  <sheetViews>
    <sheetView zoomScale="75" zoomScaleNormal="75" workbookViewId="0" topLeftCell="A1">
      <selection activeCell="A1" sqref="A1:H16384"/>
    </sheetView>
  </sheetViews>
  <sheetFormatPr defaultColWidth="8.88671875" defaultRowHeight="15"/>
  <cols>
    <col min="1" max="1" width="9.99609375" style="1" customWidth="1"/>
    <col min="2" max="2" width="10.88671875" style="1" customWidth="1"/>
    <col min="3" max="3" width="12.77734375" style="1" customWidth="1"/>
    <col min="4" max="4" width="17.99609375" style="1" customWidth="1"/>
    <col min="5" max="7" width="12.99609375" style="1" bestFit="1" customWidth="1"/>
    <col min="8" max="8" width="15.10546875" style="0" bestFit="1" customWidth="1"/>
  </cols>
  <sheetData>
    <row r="1" spans="1:8" ht="22.5">
      <c r="A1" s="142" t="s">
        <v>140</v>
      </c>
      <c r="B1" s="142"/>
      <c r="C1" s="142"/>
      <c r="D1" s="142"/>
      <c r="E1" s="142"/>
      <c r="F1" s="142"/>
      <c r="G1" s="142"/>
      <c r="H1" s="142"/>
    </row>
    <row r="2" spans="1:8" ht="20.25">
      <c r="A2" s="143" t="s">
        <v>0</v>
      </c>
      <c r="B2" s="143"/>
      <c r="C2" s="143"/>
      <c r="D2" s="143"/>
      <c r="E2" s="143"/>
      <c r="F2" s="143"/>
      <c r="G2" s="143"/>
      <c r="H2" s="143"/>
    </row>
    <row r="3" spans="1:8" ht="18">
      <c r="A3" s="144" t="s">
        <v>204</v>
      </c>
      <c r="B3" s="144"/>
      <c r="C3" s="144"/>
      <c r="D3" s="144"/>
      <c r="E3" s="144"/>
      <c r="F3" s="144"/>
      <c r="G3" s="144"/>
      <c r="H3" s="144"/>
    </row>
    <row r="4" spans="1:4" ht="15">
      <c r="A4"/>
      <c r="B4"/>
      <c r="C4"/>
      <c r="D4"/>
    </row>
    <row r="5" spans="1:8" ht="18.75">
      <c r="A5" s="7" t="s">
        <v>1</v>
      </c>
      <c r="B5" s="84" t="s">
        <v>2</v>
      </c>
      <c r="C5" s="85"/>
      <c r="D5" s="86"/>
      <c r="E5" s="96">
        <v>1999</v>
      </c>
      <c r="F5" s="96">
        <v>2000</v>
      </c>
      <c r="G5" s="96">
        <v>2001</v>
      </c>
      <c r="H5" s="96" t="s">
        <v>202</v>
      </c>
    </row>
    <row r="6" spans="1:8" ht="15">
      <c r="A6" s="14" t="s">
        <v>150</v>
      </c>
      <c r="B6" s="83"/>
      <c r="C6" s="52"/>
      <c r="D6" s="32"/>
      <c r="E6" s="32"/>
      <c r="F6" s="32"/>
      <c r="G6" s="32"/>
      <c r="H6" s="131"/>
    </row>
    <row r="7" spans="1:8" ht="15">
      <c r="A7" s="19" t="s">
        <v>3</v>
      </c>
      <c r="B7" s="24" t="s">
        <v>206</v>
      </c>
      <c r="C7" s="21"/>
      <c r="D7" s="82"/>
      <c r="E7" s="22">
        <v>1910000000</v>
      </c>
      <c r="F7" s="22">
        <f>(E7*0.12)+E7</f>
        <v>2139200000</v>
      </c>
      <c r="G7" s="22">
        <f>(F7*0.12)+F7</f>
        <v>2395904000</v>
      </c>
      <c r="H7" s="109">
        <f>SUM(E7:G7)</f>
        <v>6445104000</v>
      </c>
    </row>
    <row r="8" spans="1:8" ht="15">
      <c r="A8" s="23" t="s">
        <v>4</v>
      </c>
      <c r="B8" s="24" t="s">
        <v>147</v>
      </c>
      <c r="C8" s="21"/>
      <c r="D8" s="107"/>
      <c r="E8" s="32"/>
      <c r="F8" s="32"/>
      <c r="G8" s="32"/>
      <c r="H8" s="132"/>
    </row>
    <row r="9" spans="1:8" ht="15">
      <c r="A9" s="19"/>
      <c r="B9" s="20" t="s">
        <v>134</v>
      </c>
      <c r="C9" s="21"/>
      <c r="D9" s="18"/>
      <c r="E9" s="22">
        <v>115000000</v>
      </c>
      <c r="F9" s="22">
        <f>(E9*0.12)+E9</f>
        <v>128800000</v>
      </c>
      <c r="G9" s="22">
        <f>(F9*0.12)+F9</f>
        <v>144256000</v>
      </c>
      <c r="H9" s="109">
        <f>SUM(E9:G9)</f>
        <v>388056000</v>
      </c>
    </row>
    <row r="10" spans="1:8" ht="15">
      <c r="A10" s="19"/>
      <c r="B10" s="20" t="s">
        <v>135</v>
      </c>
      <c r="C10" s="21"/>
      <c r="D10" s="81"/>
      <c r="E10" s="22">
        <v>43875000</v>
      </c>
      <c r="F10" s="22">
        <f>(E10*0.12)+E10</f>
        <v>49140000</v>
      </c>
      <c r="G10" s="22">
        <f>(F10*0.12)+F10</f>
        <v>55036800</v>
      </c>
      <c r="H10" s="109">
        <f>SUM(E10:G10)</f>
        <v>148051800</v>
      </c>
    </row>
    <row r="11" spans="1:8" ht="15">
      <c r="A11" s="19"/>
      <c r="B11" s="20" t="s">
        <v>136</v>
      </c>
      <c r="C11" s="21"/>
      <c r="D11" s="81"/>
      <c r="E11" s="22">
        <v>15000000</v>
      </c>
      <c r="F11" s="22">
        <f>(E11*0.12)+E11</f>
        <v>16800000</v>
      </c>
      <c r="G11" s="22">
        <f>(F11*0.12)+F11</f>
        <v>18816000</v>
      </c>
      <c r="H11" s="109">
        <f>SUM(E11:G11)</f>
        <v>50616000</v>
      </c>
    </row>
    <row r="12" spans="1:8" ht="15">
      <c r="A12" s="19"/>
      <c r="B12" s="20" t="s">
        <v>195</v>
      </c>
      <c r="C12" s="21"/>
      <c r="D12" s="81"/>
      <c r="E12" s="22">
        <v>40500000</v>
      </c>
      <c r="F12" s="22">
        <f>(E12*0.12)+E12</f>
        <v>45360000</v>
      </c>
      <c r="G12" s="22">
        <f>(F12*0.12)+F12</f>
        <v>50803200</v>
      </c>
      <c r="H12" s="109">
        <f>SUM(E12:G12)</f>
        <v>136663200</v>
      </c>
    </row>
    <row r="13" spans="1:8" ht="15">
      <c r="A13" s="19"/>
      <c r="B13" s="20" t="s">
        <v>196</v>
      </c>
      <c r="C13" s="21"/>
      <c r="D13" s="81"/>
      <c r="E13" s="22">
        <v>275000000</v>
      </c>
      <c r="F13" s="22">
        <v>318000000</v>
      </c>
      <c r="G13" s="22">
        <v>364000000</v>
      </c>
      <c r="H13" s="109">
        <f>SUM(E13:G13)</f>
        <v>957000000</v>
      </c>
    </row>
    <row r="14" spans="1:8" ht="15">
      <c r="A14" s="19" t="s">
        <v>5</v>
      </c>
      <c r="B14" s="21" t="s">
        <v>146</v>
      </c>
      <c r="C14" s="25"/>
      <c r="D14" s="81"/>
      <c r="E14" s="22">
        <v>109400000</v>
      </c>
      <c r="F14" s="22">
        <f>(E14*0.12)+E14</f>
        <v>122528000</v>
      </c>
      <c r="G14" s="22">
        <f>(F14*0.12)+F14</f>
        <v>137231360</v>
      </c>
      <c r="H14" s="109">
        <f>SUM(E14:G14)</f>
        <v>369159360</v>
      </c>
    </row>
    <row r="15" spans="1:8" ht="15">
      <c r="A15" s="19"/>
      <c r="B15" s="21" t="s">
        <v>115</v>
      </c>
      <c r="C15" s="25"/>
      <c r="D15" s="81"/>
      <c r="E15" s="22">
        <v>0</v>
      </c>
      <c r="F15" s="22">
        <f>(E15*0.12)+E15</f>
        <v>0</v>
      </c>
      <c r="G15" s="22">
        <f>(F15*0.12)+F15</f>
        <v>0</v>
      </c>
      <c r="H15" s="109">
        <f>SUM(E15:G15)</f>
        <v>0</v>
      </c>
    </row>
    <row r="16" spans="1:8" ht="15">
      <c r="A16" s="19" t="s">
        <v>112</v>
      </c>
      <c r="B16" s="21" t="s">
        <v>131</v>
      </c>
      <c r="C16" s="25"/>
      <c r="D16" s="81"/>
      <c r="E16" s="22">
        <v>0</v>
      </c>
      <c r="F16" s="22"/>
      <c r="G16" s="22"/>
      <c r="H16" s="109">
        <f>SUM(E16:G16)</f>
        <v>0</v>
      </c>
    </row>
    <row r="17" spans="1:8" ht="15">
      <c r="A17" s="19" t="s">
        <v>113</v>
      </c>
      <c r="B17" s="21" t="s">
        <v>130</v>
      </c>
      <c r="C17" s="25"/>
      <c r="D17" s="81"/>
      <c r="E17" s="22">
        <v>32200000</v>
      </c>
      <c r="F17" s="22">
        <f>(E17*0.12)+E17</f>
        <v>36064000</v>
      </c>
      <c r="G17" s="22">
        <f>(F17*0.12)+F17</f>
        <v>40391680</v>
      </c>
      <c r="H17" s="109">
        <f>SUM(E17:G17)</f>
        <v>108655680</v>
      </c>
    </row>
    <row r="18" spans="1:8" ht="15">
      <c r="A18" s="19" t="s">
        <v>127</v>
      </c>
      <c r="B18" s="21" t="s">
        <v>114</v>
      </c>
      <c r="C18" s="25"/>
      <c r="D18" s="81"/>
      <c r="E18" s="22">
        <v>0</v>
      </c>
      <c r="F18" s="22">
        <f>(E18*0.12)+E18</f>
        <v>0</v>
      </c>
      <c r="G18" s="22">
        <f>(F18*0.12)+F18</f>
        <v>0</v>
      </c>
      <c r="H18" s="109">
        <f>SUM(E18:G18)</f>
        <v>0</v>
      </c>
    </row>
    <row r="19" spans="1:8" ht="15">
      <c r="A19" s="19" t="s">
        <v>128</v>
      </c>
      <c r="B19" s="21" t="s">
        <v>116</v>
      </c>
      <c r="C19" s="25"/>
      <c r="D19" s="81"/>
      <c r="E19" s="22">
        <v>20000000</v>
      </c>
      <c r="F19" s="22">
        <f>(E19*0.12)+E19</f>
        <v>22400000</v>
      </c>
      <c r="G19" s="22">
        <f>(F19*0.12)+F19</f>
        <v>25088000</v>
      </c>
      <c r="H19" s="109">
        <f>SUM(E19:G19)</f>
        <v>67488000</v>
      </c>
    </row>
    <row r="20" spans="1:8" ht="15">
      <c r="A20" s="19" t="s">
        <v>129</v>
      </c>
      <c r="B20" s="21" t="s">
        <v>166</v>
      </c>
      <c r="C20" s="25"/>
      <c r="D20" s="81"/>
      <c r="E20" s="37">
        <v>0</v>
      </c>
      <c r="F20" s="22">
        <f>(E20*0.12)+E20</f>
        <v>0</v>
      </c>
      <c r="G20" s="22">
        <f>(F20*0.12)+F20</f>
        <v>0</v>
      </c>
      <c r="H20" s="109">
        <f>SUM(E20:G20)</f>
        <v>0</v>
      </c>
    </row>
    <row r="21" spans="1:8" ht="15">
      <c r="A21" s="19" t="s">
        <v>165</v>
      </c>
      <c r="B21" s="20" t="s">
        <v>101</v>
      </c>
      <c r="C21" s="21"/>
      <c r="D21" s="81"/>
      <c r="E21" s="22">
        <f>1600000000+2030000000</f>
        <v>3630000000</v>
      </c>
      <c r="F21" s="22">
        <v>3680000000</v>
      </c>
      <c r="G21" s="22">
        <v>3700000000</v>
      </c>
      <c r="H21" s="109">
        <f>SUM(E21:G21)</f>
        <v>11010000000</v>
      </c>
    </row>
    <row r="22" spans="1:8" ht="15">
      <c r="A22" s="19" t="s">
        <v>177</v>
      </c>
      <c r="B22" s="21" t="s">
        <v>178</v>
      </c>
      <c r="C22" s="25"/>
      <c r="D22" s="20"/>
      <c r="E22" s="22">
        <v>110000000</v>
      </c>
      <c r="F22" s="22">
        <v>135000000</v>
      </c>
      <c r="G22" s="22">
        <v>160000000</v>
      </c>
      <c r="H22" s="109">
        <f>SUM(E22:G22)</f>
        <v>405000000</v>
      </c>
    </row>
    <row r="23" spans="1:8" ht="15">
      <c r="A23" s="27" t="s">
        <v>151</v>
      </c>
      <c r="B23" s="28"/>
      <c r="C23" s="21"/>
      <c r="D23" s="20"/>
      <c r="E23" s="32"/>
      <c r="F23" s="32"/>
      <c r="G23" s="32"/>
      <c r="H23" s="132"/>
    </row>
    <row r="24" spans="1:8" ht="15">
      <c r="A24" s="27" t="s">
        <v>152</v>
      </c>
      <c r="B24" s="28"/>
      <c r="C24" s="21"/>
      <c r="D24" s="20"/>
      <c r="E24" s="32"/>
      <c r="F24" s="32"/>
      <c r="G24" s="32"/>
      <c r="H24" s="132"/>
    </row>
    <row r="25" spans="1:8" ht="15">
      <c r="A25" s="27" t="s">
        <v>153</v>
      </c>
      <c r="B25" s="28"/>
      <c r="C25" s="21"/>
      <c r="D25" s="20"/>
      <c r="E25" s="32"/>
      <c r="F25" s="32"/>
      <c r="G25" s="32"/>
      <c r="H25" s="132"/>
    </row>
    <row r="26" spans="1:8" ht="15">
      <c r="A26" s="27" t="s">
        <v>154</v>
      </c>
      <c r="B26" s="28"/>
      <c r="C26" s="21"/>
      <c r="D26" s="20"/>
      <c r="E26" s="32"/>
      <c r="F26" s="32"/>
      <c r="G26" s="32"/>
      <c r="H26" s="132"/>
    </row>
    <row r="27" spans="1:8" ht="15">
      <c r="A27" s="23" t="s">
        <v>3</v>
      </c>
      <c r="B27" s="31" t="s">
        <v>6</v>
      </c>
      <c r="C27" s="16"/>
      <c r="D27" s="17"/>
      <c r="E27" s="17"/>
      <c r="F27" s="17"/>
      <c r="G27" s="17"/>
      <c r="H27" s="132"/>
    </row>
    <row r="28" spans="1:8" ht="15">
      <c r="A28" s="19"/>
      <c r="B28" s="21" t="s">
        <v>7</v>
      </c>
      <c r="C28" s="25"/>
      <c r="D28" s="20"/>
      <c r="E28" s="22">
        <f>273000000+177000000+200000000+15000000+329174868+83333333</f>
        <v>1077508201</v>
      </c>
      <c r="F28" s="22">
        <f>(E28*0.12)+E28</f>
        <v>1206809185.12</v>
      </c>
      <c r="G28" s="22">
        <f>(F28*0.12)+F28</f>
        <v>1351626287.3344</v>
      </c>
      <c r="H28" s="109">
        <f>SUM(E28:G28)</f>
        <v>3635943673.4544</v>
      </c>
    </row>
    <row r="29" spans="1:8" ht="15">
      <c r="A29" s="19"/>
      <c r="B29" s="21" t="s">
        <v>8</v>
      </c>
      <c r="C29" s="25"/>
      <c r="D29" s="20"/>
      <c r="E29" s="30">
        <v>1019429000</v>
      </c>
      <c r="F29" s="22">
        <v>764572000</v>
      </c>
      <c r="G29" s="22">
        <v>509714000</v>
      </c>
      <c r="H29" s="109">
        <f>SUM(E29:G29)</f>
        <v>2293715000</v>
      </c>
    </row>
    <row r="30" spans="1:8" ht="15">
      <c r="A30" s="19"/>
      <c r="B30" s="21" t="s">
        <v>176</v>
      </c>
      <c r="C30" s="25"/>
      <c r="D30" s="20"/>
      <c r="E30" s="29">
        <f>2400000000+177888000+75000000+249996000</f>
        <v>2902884000</v>
      </c>
      <c r="F30" s="22">
        <f>(E30*0.12)+E30</f>
        <v>3251230080</v>
      </c>
      <c r="G30" s="22">
        <f>(F30*0.12)+F30</f>
        <v>3641377689.6</v>
      </c>
      <c r="H30" s="109">
        <f>SUM(E30:G30)</f>
        <v>9795491769.6</v>
      </c>
    </row>
    <row r="31" spans="1:8" ht="15">
      <c r="A31" s="23" t="s">
        <v>4</v>
      </c>
      <c r="B31" s="31" t="s">
        <v>9</v>
      </c>
      <c r="C31" s="16"/>
      <c r="D31" s="17"/>
      <c r="E31" s="17"/>
      <c r="F31" s="17"/>
      <c r="G31" s="17"/>
      <c r="H31" s="132"/>
    </row>
    <row r="32" spans="1:8" ht="15">
      <c r="A32" s="34"/>
      <c r="B32" s="21" t="s">
        <v>132</v>
      </c>
      <c r="C32" s="25"/>
      <c r="D32" s="20"/>
      <c r="E32" s="22">
        <v>10500000</v>
      </c>
      <c r="F32" s="22">
        <f>(E32*0.12)+E32</f>
        <v>11760000</v>
      </c>
      <c r="G32" s="22">
        <f>(F32*0.12)+F32</f>
        <v>13171200</v>
      </c>
      <c r="H32" s="109">
        <f>SUM(E32:G32)</f>
        <v>35431200</v>
      </c>
    </row>
    <row r="33" spans="1:8" ht="15">
      <c r="A33" s="34"/>
      <c r="B33" s="21" t="s">
        <v>149</v>
      </c>
      <c r="C33" s="25"/>
      <c r="D33" s="20"/>
      <c r="E33" s="22"/>
      <c r="F33" s="22"/>
      <c r="G33" s="22"/>
      <c r="H33" s="109">
        <f>SUM(E33:G33)</f>
        <v>0</v>
      </c>
    </row>
    <row r="34" spans="1:8" ht="15">
      <c r="A34" s="34"/>
      <c r="B34" s="21" t="s">
        <v>175</v>
      </c>
      <c r="C34" s="25"/>
      <c r="D34" s="20"/>
      <c r="E34" s="30">
        <f>36000000+100375000</f>
        <v>136375000</v>
      </c>
      <c r="F34" s="64">
        <v>190000000</v>
      </c>
      <c r="G34" s="64">
        <v>250000000</v>
      </c>
      <c r="H34" s="109">
        <f>SUM(E34:G34)</f>
        <v>576375000</v>
      </c>
    </row>
    <row r="35" spans="1:8" ht="15">
      <c r="A35" s="34"/>
      <c r="B35" s="21" t="s">
        <v>133</v>
      </c>
      <c r="C35" s="35"/>
      <c r="D35" s="36"/>
      <c r="E35" s="29">
        <v>5800000</v>
      </c>
      <c r="F35" s="22">
        <f>(E35*0.12)+E35</f>
        <v>6496000</v>
      </c>
      <c r="G35" s="22">
        <f>(F35*0.12)+F35</f>
        <v>7275520</v>
      </c>
      <c r="H35" s="109">
        <f>SUM(E35:G35)</f>
        <v>19571520</v>
      </c>
    </row>
    <row r="36" spans="1:8" ht="15">
      <c r="A36" s="34"/>
      <c r="B36" s="6" t="s">
        <v>124</v>
      </c>
      <c r="C36" s="6"/>
      <c r="D36" s="17"/>
      <c r="E36" s="11">
        <v>1000000</v>
      </c>
      <c r="F36" s="63">
        <f>(E36*0.12)+E36</f>
        <v>1120000</v>
      </c>
      <c r="G36" s="63">
        <f>(F36*0.12)+F36</f>
        <v>1254400</v>
      </c>
      <c r="H36" s="109">
        <f>SUM(E36:G36)</f>
        <v>3374400</v>
      </c>
    </row>
    <row r="37" spans="1:8" ht="15">
      <c r="A37" s="37"/>
      <c r="B37" s="38" t="s">
        <v>201</v>
      </c>
      <c r="C37" s="38"/>
      <c r="D37" s="36"/>
      <c r="E37" s="108">
        <f>SUM(E7:E36)</f>
        <v>11454471201</v>
      </c>
      <c r="F37" s="108">
        <f>SUM(F7:F36)</f>
        <v>12125279265.119999</v>
      </c>
      <c r="G37" s="108">
        <f>SUM(G7:G36)</f>
        <v>12865946136.9344</v>
      </c>
    </row>
    <row r="38" spans="1:7" ht="15">
      <c r="A38" s="40"/>
      <c r="B38" s="41"/>
      <c r="C38" s="42"/>
      <c r="D38" s="40"/>
      <c r="E38" s="40"/>
      <c r="F38" s="40"/>
      <c r="G38" s="40"/>
    </row>
    <row r="39" spans="1:7" ht="15">
      <c r="A39" s="40"/>
      <c r="B39" s="41"/>
      <c r="C39" s="42"/>
      <c r="D39" s="40"/>
      <c r="E39" s="40"/>
      <c r="F39" s="40"/>
      <c r="G39" s="40"/>
    </row>
    <row r="40" spans="1:7" ht="15">
      <c r="A40" s="40"/>
      <c r="B40" s="41"/>
      <c r="C40" s="42"/>
      <c r="D40" s="40"/>
      <c r="E40" s="40"/>
      <c r="F40" s="40"/>
      <c r="G40" s="40"/>
    </row>
    <row r="41" spans="1:7" ht="15">
      <c r="A41" s="40"/>
      <c r="B41" s="41"/>
      <c r="C41" s="42"/>
      <c r="D41" s="40"/>
      <c r="E41" s="40"/>
      <c r="F41" s="40"/>
      <c r="G41" s="40"/>
    </row>
    <row r="42" spans="1:7" ht="15">
      <c r="A42" s="40"/>
      <c r="B42" s="41"/>
      <c r="C42" s="42"/>
      <c r="D42" s="40"/>
      <c r="E42" s="40"/>
      <c r="F42" s="40"/>
      <c r="G42" s="40"/>
    </row>
    <row r="43" spans="1:7" ht="15">
      <c r="A43" s="40"/>
      <c r="B43" s="41"/>
      <c r="C43" s="42"/>
      <c r="D43" s="40"/>
      <c r="E43" s="40"/>
      <c r="F43" s="40"/>
      <c r="G43" s="40"/>
    </row>
    <row r="44" spans="1:7" ht="15">
      <c r="A44" s="40"/>
      <c r="B44" s="41"/>
      <c r="C44" s="42"/>
      <c r="D44" s="40"/>
      <c r="E44" s="40"/>
      <c r="F44" s="40"/>
      <c r="G44" s="40"/>
    </row>
    <row r="45" spans="1:7" ht="15">
      <c r="A45" s="40"/>
      <c r="B45" s="41"/>
      <c r="C45" s="42"/>
      <c r="D45" s="40"/>
      <c r="E45" s="40"/>
      <c r="F45" s="40"/>
      <c r="G45" s="40"/>
    </row>
    <row r="46" spans="1:7" ht="15">
      <c r="A46" s="40"/>
      <c r="B46" s="41"/>
      <c r="C46" s="42"/>
      <c r="D46" s="40"/>
      <c r="E46" s="40"/>
      <c r="F46" s="40"/>
      <c r="G46" s="40"/>
    </row>
    <row r="47" spans="1:7" ht="15">
      <c r="A47" s="40"/>
      <c r="B47" s="41"/>
      <c r="C47" s="42"/>
      <c r="D47" s="40"/>
      <c r="E47" s="40"/>
      <c r="F47" s="40"/>
      <c r="G47" s="40"/>
    </row>
    <row r="48" spans="1:7" ht="15">
      <c r="A48" s="40"/>
      <c r="B48" s="41"/>
      <c r="C48" s="42"/>
      <c r="D48" s="40"/>
      <c r="E48" s="40"/>
      <c r="F48" s="40"/>
      <c r="G48" s="40"/>
    </row>
    <row r="49" spans="1:7" ht="15">
      <c r="A49" s="40"/>
      <c r="B49" s="41"/>
      <c r="C49" s="42"/>
      <c r="D49" s="40"/>
      <c r="E49" s="40"/>
      <c r="F49" s="40"/>
      <c r="G49" s="40"/>
    </row>
    <row r="50" spans="1:7" ht="15">
      <c r="A50" s="40"/>
      <c r="B50" s="41"/>
      <c r="C50" s="42"/>
      <c r="D50" s="40"/>
      <c r="E50" s="40"/>
      <c r="F50" s="40"/>
      <c r="G50" s="40"/>
    </row>
    <row r="51" spans="1:7" ht="15">
      <c r="A51" s="40"/>
      <c r="B51" s="41"/>
      <c r="C51" s="42"/>
      <c r="D51" s="40"/>
      <c r="E51" s="40"/>
      <c r="F51" s="40"/>
      <c r="G51" s="40"/>
    </row>
    <row r="52" spans="1:7" ht="15">
      <c r="A52" s="40"/>
      <c r="B52" s="41"/>
      <c r="C52" s="42"/>
      <c r="D52" s="40"/>
      <c r="E52" s="40"/>
      <c r="F52" s="40"/>
      <c r="G52" s="40"/>
    </row>
    <row r="53" spans="1:7" ht="15">
      <c r="A53" s="40"/>
      <c r="B53" s="41"/>
      <c r="C53" s="42"/>
      <c r="D53" s="40"/>
      <c r="E53" s="40"/>
      <c r="F53" s="40"/>
      <c r="G53" s="40"/>
    </row>
    <row r="54" spans="1:7" ht="15">
      <c r="A54" s="40"/>
      <c r="B54" s="41"/>
      <c r="C54" s="42"/>
      <c r="D54" s="40"/>
      <c r="E54" s="40"/>
      <c r="F54" s="40"/>
      <c r="G54" s="40"/>
    </row>
    <row r="55" spans="1:7" ht="15">
      <c r="A55" s="40"/>
      <c r="B55" s="41"/>
      <c r="C55" s="42"/>
      <c r="D55" s="40"/>
      <c r="E55" s="40"/>
      <c r="F55" s="40"/>
      <c r="G55" s="40"/>
    </row>
    <row r="56" spans="1:7" ht="15">
      <c r="A56" s="40"/>
      <c r="B56" s="41"/>
      <c r="C56" s="42"/>
      <c r="D56" s="40"/>
      <c r="E56" s="40"/>
      <c r="F56" s="40"/>
      <c r="G56" s="40"/>
    </row>
    <row r="57" spans="1:7" ht="15">
      <c r="A57" s="40"/>
      <c r="B57" s="41"/>
      <c r="C57" s="42"/>
      <c r="D57" s="40"/>
      <c r="E57" s="40"/>
      <c r="F57" s="40"/>
      <c r="G57" s="40"/>
    </row>
    <row r="58" spans="1:7" ht="15">
      <c r="A58" s="40"/>
      <c r="B58" s="41"/>
      <c r="C58" s="42"/>
      <c r="D58" s="40"/>
      <c r="E58" s="40"/>
      <c r="F58" s="40"/>
      <c r="G58" s="40"/>
    </row>
    <row r="59" spans="1:7" ht="15">
      <c r="A59" s="40"/>
      <c r="B59" s="41"/>
      <c r="C59" s="42"/>
      <c r="D59" s="40"/>
      <c r="E59" s="40"/>
      <c r="F59" s="40"/>
      <c r="G59" s="40"/>
    </row>
    <row r="60" spans="1:7" ht="15">
      <c r="A60" s="40"/>
      <c r="B60" s="41"/>
      <c r="C60" s="42"/>
      <c r="D60" s="40"/>
      <c r="E60" s="40"/>
      <c r="F60" s="40"/>
      <c r="G60" s="40"/>
    </row>
    <row r="61" spans="1:7" ht="15">
      <c r="A61" s="40"/>
      <c r="B61" s="41"/>
      <c r="C61" s="42"/>
      <c r="D61" s="40"/>
      <c r="E61" s="40"/>
      <c r="F61" s="40"/>
      <c r="G61" s="40"/>
    </row>
    <row r="62" spans="1:7" ht="15">
      <c r="A62" s="40"/>
      <c r="B62" s="41"/>
      <c r="C62" s="42"/>
      <c r="D62" s="40"/>
      <c r="E62" s="40"/>
      <c r="F62" s="40"/>
      <c r="G62" s="40"/>
    </row>
    <row r="63" spans="1:7" ht="15">
      <c r="A63" s="40"/>
      <c r="B63" s="41"/>
      <c r="C63" s="42"/>
      <c r="D63" s="40"/>
      <c r="E63" s="40"/>
      <c r="F63" s="40"/>
      <c r="G63" s="40"/>
    </row>
    <row r="64" spans="1:7" ht="15">
      <c r="A64" s="40"/>
      <c r="B64" s="41"/>
      <c r="C64" s="42"/>
      <c r="D64" s="40"/>
      <c r="E64" s="40"/>
      <c r="F64" s="40"/>
      <c r="G64" s="40"/>
    </row>
    <row r="65" spans="1:7" ht="15">
      <c r="A65" s="40"/>
      <c r="B65" s="41"/>
      <c r="C65" s="42"/>
      <c r="D65" s="40"/>
      <c r="E65" s="40"/>
      <c r="F65" s="40"/>
      <c r="G65" s="40"/>
    </row>
    <row r="66" spans="1:7" ht="15">
      <c r="A66" s="40"/>
      <c r="B66" s="41"/>
      <c r="C66" s="42"/>
      <c r="D66" s="40"/>
      <c r="E66" s="40"/>
      <c r="F66" s="40"/>
      <c r="G66" s="40"/>
    </row>
    <row r="67" spans="1:7" ht="15">
      <c r="A67" s="40"/>
      <c r="B67" s="41"/>
      <c r="C67" s="42"/>
      <c r="D67" s="40"/>
      <c r="E67" s="40"/>
      <c r="F67" s="40"/>
      <c r="G67" s="40"/>
    </row>
    <row r="68" spans="1:7" ht="15">
      <c r="A68" s="40"/>
      <c r="B68" s="41"/>
      <c r="C68" s="42"/>
      <c r="D68" s="40"/>
      <c r="E68" s="40"/>
      <c r="F68" s="40"/>
      <c r="G68" s="40"/>
    </row>
    <row r="69" spans="1:7" ht="15">
      <c r="A69" s="40"/>
      <c r="B69" s="41"/>
      <c r="C69" s="42"/>
      <c r="D69" s="40"/>
      <c r="E69" s="40"/>
      <c r="F69" s="40"/>
      <c r="G69" s="40"/>
    </row>
    <row r="70" spans="1:7" ht="15">
      <c r="A70" s="40"/>
      <c r="B70" s="41"/>
      <c r="C70" s="42"/>
      <c r="D70" s="40"/>
      <c r="E70" s="40"/>
      <c r="F70" s="40"/>
      <c r="G70" s="40"/>
    </row>
    <row r="71" spans="1:7" ht="15">
      <c r="A71" s="40"/>
      <c r="B71" s="41"/>
      <c r="C71" s="42"/>
      <c r="D71" s="40"/>
      <c r="E71" s="40"/>
      <c r="F71" s="40"/>
      <c r="G71" s="40"/>
    </row>
    <row r="72" spans="1:7" ht="15">
      <c r="A72" s="40"/>
      <c r="B72" s="41"/>
      <c r="C72" s="42"/>
      <c r="D72" s="40"/>
      <c r="E72" s="40"/>
      <c r="F72" s="40"/>
      <c r="G72" s="40"/>
    </row>
    <row r="73" spans="1:7" ht="15">
      <c r="A73" s="40"/>
      <c r="B73" s="41"/>
      <c r="C73" s="42"/>
      <c r="D73" s="40"/>
      <c r="E73" s="40"/>
      <c r="F73" s="40"/>
      <c r="G73" s="40"/>
    </row>
    <row r="74" spans="1:7" ht="15">
      <c r="A74" s="40"/>
      <c r="B74" s="41"/>
      <c r="C74" s="42"/>
      <c r="D74" s="40"/>
      <c r="E74" s="40"/>
      <c r="F74" s="40"/>
      <c r="G74" s="40"/>
    </row>
    <row r="75" spans="1:7" ht="15">
      <c r="A75" s="40"/>
      <c r="B75" s="41"/>
      <c r="C75" s="42"/>
      <c r="D75" s="40"/>
      <c r="E75" s="40"/>
      <c r="F75" s="40"/>
      <c r="G75" s="40"/>
    </row>
    <row r="76" spans="1:7" ht="15">
      <c r="A76" s="40"/>
      <c r="B76" s="41"/>
      <c r="C76" s="42"/>
      <c r="D76" s="40"/>
      <c r="E76" s="40"/>
      <c r="F76" s="40"/>
      <c r="G76" s="40"/>
    </row>
    <row r="77" spans="1:7" ht="15">
      <c r="A77" s="40"/>
      <c r="C77" s="42"/>
      <c r="D77" s="40"/>
      <c r="E77" s="40"/>
      <c r="F77" s="40"/>
      <c r="G77" s="40"/>
    </row>
    <row r="78" spans="1:8" ht="18.75">
      <c r="A78" s="44" t="s">
        <v>11</v>
      </c>
      <c r="B78" s="4" t="s">
        <v>12</v>
      </c>
      <c r="C78" s="45"/>
      <c r="D78" s="46"/>
      <c r="E78" s="96">
        <v>1999</v>
      </c>
      <c r="F78" s="96">
        <v>2000</v>
      </c>
      <c r="G78" s="96">
        <v>2001</v>
      </c>
      <c r="H78" s="96" t="s">
        <v>202</v>
      </c>
    </row>
    <row r="79" spans="1:8" ht="15">
      <c r="A79" s="27" t="s">
        <v>155</v>
      </c>
      <c r="B79" s="15"/>
      <c r="C79" s="16"/>
      <c r="D79" s="17"/>
      <c r="E79" s="17"/>
      <c r="F79" s="17"/>
      <c r="G79" s="17"/>
      <c r="H79" s="131"/>
    </row>
    <row r="80" spans="1:8" ht="15">
      <c r="A80" s="34"/>
      <c r="B80" s="21" t="s">
        <v>167</v>
      </c>
      <c r="C80" s="25"/>
      <c r="D80" s="20"/>
      <c r="E80" s="26">
        <v>321000000</v>
      </c>
      <c r="F80" s="22">
        <v>347000000</v>
      </c>
      <c r="G80" s="22">
        <v>363000000</v>
      </c>
      <c r="H80" s="109">
        <f>SUM(E80:G80)</f>
        <v>1031000000</v>
      </c>
    </row>
    <row r="81" spans="1:8" ht="15">
      <c r="A81" s="34"/>
      <c r="B81" s="21" t="s">
        <v>156</v>
      </c>
      <c r="C81" s="25"/>
      <c r="D81" s="20"/>
      <c r="E81" s="30">
        <v>322000000</v>
      </c>
      <c r="F81" s="22">
        <v>410000000</v>
      </c>
      <c r="G81" s="22">
        <v>440000000</v>
      </c>
      <c r="H81" s="109">
        <f>SUM(E81:G81)</f>
        <v>1172000000</v>
      </c>
    </row>
    <row r="82" spans="1:8" ht="15">
      <c r="A82" s="34"/>
      <c r="B82" s="21" t="s">
        <v>197</v>
      </c>
      <c r="C82" s="25"/>
      <c r="D82" s="20"/>
      <c r="E82" s="30">
        <v>26300000</v>
      </c>
      <c r="F82" s="22">
        <v>30000000</v>
      </c>
      <c r="G82" s="22">
        <v>34000000</v>
      </c>
      <c r="H82" s="109">
        <f>SUM(E82:G82)</f>
        <v>90300000</v>
      </c>
    </row>
    <row r="83" spans="1:8" ht="15">
      <c r="A83" s="34"/>
      <c r="B83" s="21" t="s">
        <v>13</v>
      </c>
      <c r="C83" s="25"/>
      <c r="D83" s="20"/>
      <c r="E83" s="30">
        <f>2600000000</f>
        <v>2600000000</v>
      </c>
      <c r="F83" s="22">
        <f>(E83*0.05)+E83</f>
        <v>2730000000</v>
      </c>
      <c r="G83" s="22">
        <f>(F83*0.05)+F83</f>
        <v>2866500000</v>
      </c>
      <c r="H83" s="109">
        <f>SUM(E83:G83)</f>
        <v>8196500000</v>
      </c>
    </row>
    <row r="84" spans="1:8" ht="15">
      <c r="A84" s="34"/>
      <c r="B84" s="21" t="s">
        <v>110</v>
      </c>
      <c r="C84" s="25"/>
      <c r="D84" s="20"/>
      <c r="E84" s="22">
        <v>0</v>
      </c>
      <c r="F84" s="22"/>
      <c r="G84" s="22"/>
      <c r="H84" s="109">
        <f>SUM(E84:G84)</f>
        <v>0</v>
      </c>
    </row>
    <row r="85" spans="1:8" ht="15">
      <c r="A85" s="34"/>
      <c r="B85" s="21" t="s">
        <v>207</v>
      </c>
      <c r="C85" s="25"/>
      <c r="D85" s="20"/>
      <c r="E85" s="30">
        <v>32300000</v>
      </c>
      <c r="F85" s="64">
        <f>(E85*0.05)+E85</f>
        <v>33915000</v>
      </c>
      <c r="G85" s="64">
        <f>(F85*0.05)+F85</f>
        <v>35610750</v>
      </c>
      <c r="H85" s="109">
        <f>SUM(E85:G85)</f>
        <v>101825750</v>
      </c>
    </row>
    <row r="86" spans="1:8" ht="15">
      <c r="A86" s="34"/>
      <c r="B86" s="21" t="s">
        <v>14</v>
      </c>
      <c r="C86" s="25"/>
      <c r="D86" s="20"/>
      <c r="E86" s="30">
        <v>75000000</v>
      </c>
      <c r="F86" s="22">
        <f>(E86*0.05)+E86</f>
        <v>78750000</v>
      </c>
      <c r="G86" s="22">
        <f>(F86*0.05)+F86</f>
        <v>82687500</v>
      </c>
      <c r="H86" s="109">
        <f>SUM(E86:G86)</f>
        <v>236437500</v>
      </c>
    </row>
    <row r="87" spans="1:8" ht="15">
      <c r="A87" s="34"/>
      <c r="B87" s="21" t="s">
        <v>15</v>
      </c>
      <c r="C87" s="25"/>
      <c r="D87" s="20"/>
      <c r="E87" s="30">
        <f>13200000</f>
        <v>13200000</v>
      </c>
      <c r="F87" s="22">
        <v>14000000</v>
      </c>
      <c r="G87" s="22">
        <v>16000000</v>
      </c>
      <c r="H87" s="109">
        <f>SUM(E87:G87)</f>
        <v>43200000</v>
      </c>
    </row>
    <row r="88" spans="1:8" ht="15">
      <c r="A88" s="34"/>
      <c r="B88" s="21" t="s">
        <v>16</v>
      </c>
      <c r="C88" s="25"/>
      <c r="D88" s="20"/>
      <c r="E88" s="30">
        <v>16500000</v>
      </c>
      <c r="F88" s="22">
        <f>(E88*0.05)+E88</f>
        <v>17325000</v>
      </c>
      <c r="G88" s="22">
        <f>(F88*0.05)+F88</f>
        <v>18191250</v>
      </c>
      <c r="H88" s="109">
        <f>SUM(E88:G88)</f>
        <v>52016250</v>
      </c>
    </row>
    <row r="89" spans="1:8" ht="15">
      <c r="A89" s="34"/>
      <c r="B89" s="21" t="s">
        <v>17</v>
      </c>
      <c r="C89" s="25"/>
      <c r="D89" s="20"/>
      <c r="E89" s="30">
        <v>23500000</v>
      </c>
      <c r="F89" s="22">
        <f>(E89*0.05)+E89</f>
        <v>24675000</v>
      </c>
      <c r="G89" s="22">
        <f>(F89*0.05)+F89</f>
        <v>25908750</v>
      </c>
      <c r="H89" s="109">
        <f>SUM(E89:G89)</f>
        <v>74083750</v>
      </c>
    </row>
    <row r="90" spans="1:8" ht="15">
      <c r="A90" s="34"/>
      <c r="B90" s="21" t="s">
        <v>157</v>
      </c>
      <c r="C90" s="25"/>
      <c r="D90" s="20"/>
      <c r="E90" s="22">
        <v>0</v>
      </c>
      <c r="F90" s="22"/>
      <c r="G90" s="22"/>
      <c r="H90" s="109">
        <f>SUM(E90:G90)</f>
        <v>0</v>
      </c>
    </row>
    <row r="91" spans="1:8" ht="15">
      <c r="A91" s="34"/>
      <c r="B91" s="21" t="s">
        <v>18</v>
      </c>
      <c r="C91" s="25"/>
      <c r="D91" s="20"/>
      <c r="E91" s="30">
        <v>235000000</v>
      </c>
      <c r="F91" s="64">
        <f>(E91*0.05)+E91</f>
        <v>246750000</v>
      </c>
      <c r="G91" s="64">
        <f>(F91*0.05)+F91</f>
        <v>259087500</v>
      </c>
      <c r="H91" s="109">
        <f>SUM(E91:G91)</f>
        <v>740837500</v>
      </c>
    </row>
    <row r="92" spans="1:8" ht="15">
      <c r="A92" s="34"/>
      <c r="B92" s="21" t="s">
        <v>19</v>
      </c>
      <c r="C92" s="25"/>
      <c r="D92" s="20"/>
      <c r="E92" s="22">
        <v>0</v>
      </c>
      <c r="F92" s="22"/>
      <c r="G92" s="22"/>
      <c r="H92" s="109">
        <f>SUM(E92:G92)</f>
        <v>0</v>
      </c>
    </row>
    <row r="93" spans="1:8" ht="15">
      <c r="A93" s="34"/>
      <c r="B93" s="21" t="s">
        <v>106</v>
      </c>
      <c r="C93" s="25"/>
      <c r="D93" s="20"/>
      <c r="E93" s="22">
        <v>0</v>
      </c>
      <c r="F93" s="22"/>
      <c r="G93" s="22"/>
      <c r="H93" s="109">
        <f>SUM(E93:G93)</f>
        <v>0</v>
      </c>
    </row>
    <row r="94" spans="1:8" ht="15">
      <c r="A94" s="34"/>
      <c r="B94" s="53" t="s">
        <v>10</v>
      </c>
      <c r="C94" s="35"/>
      <c r="D94" s="111"/>
      <c r="E94" s="30">
        <v>3000000</v>
      </c>
      <c r="F94" s="64">
        <f>(E94*0.05)+E94</f>
        <v>3150000</v>
      </c>
      <c r="G94" s="64">
        <f>(F94*0.05)+F94</f>
        <v>3307500</v>
      </c>
      <c r="H94" s="109">
        <f>SUM(E94:G94)</f>
        <v>9457500</v>
      </c>
    </row>
    <row r="95" spans="1:8" ht="15">
      <c r="A95" s="27" t="s">
        <v>159</v>
      </c>
      <c r="B95" s="83"/>
      <c r="C95" s="32"/>
      <c r="D95" s="110"/>
      <c r="E95" s="17"/>
      <c r="F95" s="17"/>
      <c r="G95" s="17"/>
      <c r="H95" s="132"/>
    </row>
    <row r="96" spans="1:8" ht="15">
      <c r="A96" s="34"/>
      <c r="B96" s="21" t="s">
        <v>169</v>
      </c>
      <c r="C96" s="25"/>
      <c r="D96" s="20"/>
      <c r="E96" s="22">
        <v>0</v>
      </c>
      <c r="F96" s="22"/>
      <c r="G96" s="22"/>
      <c r="H96" s="109">
        <f>SUM(E96:G96)</f>
        <v>0</v>
      </c>
    </row>
    <row r="97" spans="1:8" ht="15">
      <c r="A97" s="34"/>
      <c r="B97" s="21" t="s">
        <v>20</v>
      </c>
      <c r="C97" s="25"/>
      <c r="D97" s="20"/>
      <c r="E97" s="22">
        <v>91300000</v>
      </c>
      <c r="F97" s="22">
        <f>(E97*0.05)+E97</f>
        <v>95865000</v>
      </c>
      <c r="G97" s="22">
        <f>(F97*0.05)+F97</f>
        <v>100658250</v>
      </c>
      <c r="H97" s="109">
        <f>SUM(E97:G97)</f>
        <v>287823250</v>
      </c>
    </row>
    <row r="98" spans="1:8" ht="15">
      <c r="A98" s="34"/>
      <c r="B98" s="21" t="s">
        <v>102</v>
      </c>
      <c r="C98" s="25"/>
      <c r="D98" s="20"/>
      <c r="E98" s="51">
        <v>52400000</v>
      </c>
      <c r="F98" s="22">
        <f>(E98*0.05)+E98</f>
        <v>55020000</v>
      </c>
      <c r="G98" s="22">
        <f>(F98*0.05)+F98</f>
        <v>57771000</v>
      </c>
      <c r="H98" s="109">
        <f>SUM(E98:G98)</f>
        <v>165191000</v>
      </c>
    </row>
    <row r="99" spans="1:8" ht="15">
      <c r="A99" s="34"/>
      <c r="B99" s="21" t="s">
        <v>21</v>
      </c>
      <c r="C99" s="25"/>
      <c r="D99" s="20"/>
      <c r="E99" s="22">
        <v>0</v>
      </c>
      <c r="F99" s="22"/>
      <c r="G99" s="22"/>
      <c r="H99" s="109">
        <f>SUM(E99:G99)</f>
        <v>0</v>
      </c>
    </row>
    <row r="100" spans="1:8" ht="15">
      <c r="A100" s="34"/>
      <c r="B100" s="53" t="s">
        <v>22</v>
      </c>
      <c r="C100" s="35"/>
      <c r="D100" s="36"/>
      <c r="E100" s="29">
        <v>104642000</v>
      </c>
      <c r="F100" s="22">
        <f>(E100*0.05)+E100</f>
        <v>109874100</v>
      </c>
      <c r="G100" s="22">
        <f>(F100*0.05)+F100</f>
        <v>115367805</v>
      </c>
      <c r="H100" s="109">
        <f>SUM(E100:G100)</f>
        <v>329883905</v>
      </c>
    </row>
    <row r="101" spans="1:8" ht="15">
      <c r="A101" s="34"/>
      <c r="B101" s="21" t="s">
        <v>210</v>
      </c>
      <c r="C101" s="25"/>
      <c r="D101" s="20"/>
      <c r="E101" s="51">
        <f>29000000+200000+500000</f>
        <v>29700000</v>
      </c>
      <c r="F101" s="22">
        <f>(E101*0.05)+E101</f>
        <v>31185000</v>
      </c>
      <c r="G101" s="22">
        <f>(F101*0.05)+F101</f>
        <v>32744250</v>
      </c>
      <c r="H101" s="109">
        <f>SUM(E101:G101)</f>
        <v>93629250</v>
      </c>
    </row>
    <row r="102" spans="1:8" ht="15">
      <c r="A102" s="34"/>
      <c r="B102" s="21" t="s">
        <v>23</v>
      </c>
      <c r="C102" s="25"/>
      <c r="D102" s="20"/>
      <c r="E102" s="51">
        <f>31185000+4851000+2079000+2028000+10395000+14553000+693000+693000+2079000+693000</f>
        <v>69249000</v>
      </c>
      <c r="F102" s="22">
        <f>(E102*0.05)+E102</f>
        <v>72711450</v>
      </c>
      <c r="G102" s="22">
        <f>(F102*0.05)+F102</f>
        <v>76347022.5</v>
      </c>
      <c r="H102" s="109">
        <f>SUM(E102:G102)</f>
        <v>218307472.5</v>
      </c>
    </row>
    <row r="103" spans="1:8" ht="15">
      <c r="A103" s="34"/>
      <c r="B103" s="21" t="s">
        <v>24</v>
      </c>
      <c r="C103" s="25"/>
      <c r="D103" s="20"/>
      <c r="E103" s="30">
        <f>16830000+2618000+1121000+1122000+5610000+7854000+374000+374000+1122000+374000</f>
        <v>37399000</v>
      </c>
      <c r="F103" s="22">
        <f>(E103*0.05)+E103</f>
        <v>39268950</v>
      </c>
      <c r="G103" s="22">
        <f>(F103*0.05)+F103</f>
        <v>41232397.5</v>
      </c>
      <c r="H103" s="109">
        <f>SUM(E103:G103)</f>
        <v>117900347.5</v>
      </c>
    </row>
    <row r="104" spans="1:8" ht="15">
      <c r="A104" s="34"/>
      <c r="B104" s="21" t="s">
        <v>208</v>
      </c>
      <c r="C104" s="25"/>
      <c r="D104" s="20"/>
      <c r="E104" s="30">
        <f>30780000+3550000+1000000+2200000+2800000+2000000+2000000</f>
        <v>44330000</v>
      </c>
      <c r="F104" s="22">
        <v>5000000</v>
      </c>
      <c r="G104" s="22">
        <v>52000000</v>
      </c>
      <c r="H104" s="109">
        <f>SUM(E104:G104)</f>
        <v>101330000</v>
      </c>
    </row>
    <row r="105" spans="1:8" ht="15">
      <c r="A105" s="34"/>
      <c r="B105" s="21" t="s">
        <v>209</v>
      </c>
      <c r="C105" s="25"/>
      <c r="D105" s="20"/>
      <c r="E105" s="56">
        <f>49210000-(62*35000*13)+3000000+3000000+4000000+1000000+1000000+1000000+1000000+3000000+2000000</f>
        <v>40000000</v>
      </c>
      <c r="F105" s="22">
        <f>(E105*0.05)+E105</f>
        <v>42000000</v>
      </c>
      <c r="G105" s="22">
        <f>(F105*0.05)+F105</f>
        <v>44100000</v>
      </c>
      <c r="H105" s="109">
        <f>SUM(E105:G105)</f>
        <v>126100000</v>
      </c>
    </row>
    <row r="106" spans="1:8" ht="15">
      <c r="A106" s="34"/>
      <c r="B106" s="21" t="s">
        <v>25</v>
      </c>
      <c r="C106" s="25"/>
      <c r="D106" s="20"/>
      <c r="E106" s="30">
        <v>45000000</v>
      </c>
      <c r="F106" s="22">
        <f>(E106*0.05)+E106</f>
        <v>47250000</v>
      </c>
      <c r="G106" s="22">
        <f>(F106*0.05)+F106</f>
        <v>49612500</v>
      </c>
      <c r="H106" s="109">
        <f>SUM(E106:G106)</f>
        <v>141862500</v>
      </c>
    </row>
    <row r="107" spans="1:8" ht="15">
      <c r="A107" s="34"/>
      <c r="B107" s="21" t="s">
        <v>104</v>
      </c>
      <c r="C107" s="25"/>
      <c r="D107" s="20"/>
      <c r="E107" s="30">
        <v>83000000</v>
      </c>
      <c r="F107" s="22">
        <f>(E107*0.05)+E107</f>
        <v>87150000</v>
      </c>
      <c r="G107" s="22">
        <f>(F107*0.05)+F107</f>
        <v>91507500</v>
      </c>
      <c r="H107" s="109">
        <f>SUM(E107:G107)</f>
        <v>261657500</v>
      </c>
    </row>
    <row r="108" spans="1:8" ht="15">
      <c r="A108" s="34"/>
      <c r="B108" s="21" t="s">
        <v>170</v>
      </c>
      <c r="C108" s="25"/>
      <c r="D108" s="20"/>
      <c r="E108" s="30">
        <v>38000000</v>
      </c>
      <c r="F108" s="22">
        <f>(E108*0.05)+E108</f>
        <v>39900000</v>
      </c>
      <c r="G108" s="22">
        <f>(F108*0.05)+F108</f>
        <v>41895000</v>
      </c>
      <c r="H108" s="109">
        <f>SUM(E108:G108)</f>
        <v>119795000</v>
      </c>
    </row>
    <row r="109" spans="1:8" ht="15">
      <c r="A109" s="34"/>
      <c r="B109" s="21" t="s">
        <v>26</v>
      </c>
      <c r="C109" s="25"/>
      <c r="D109" s="20"/>
      <c r="E109" s="30">
        <v>40000000</v>
      </c>
      <c r="F109" s="22">
        <f>(E109*0.05)+E109</f>
        <v>42000000</v>
      </c>
      <c r="G109" s="22">
        <f>(F109*0.05)+F109</f>
        <v>44100000</v>
      </c>
      <c r="H109" s="109">
        <f>SUM(E109:G109)</f>
        <v>126100000</v>
      </c>
    </row>
    <row r="110" spans="1:8" ht="15">
      <c r="A110" s="34"/>
      <c r="B110" s="21" t="s">
        <v>27</v>
      </c>
      <c r="C110" s="25"/>
      <c r="D110" s="20"/>
      <c r="E110" s="30">
        <f>153000000+23000000+43000000+8350000+8350000+30000000+5000000</f>
        <v>270700000</v>
      </c>
      <c r="F110" s="22">
        <f>(E110*0.05)+E110</f>
        <v>284235000</v>
      </c>
      <c r="G110" s="22">
        <f>(F110*0.05)+F110</f>
        <v>298446750</v>
      </c>
      <c r="H110" s="109">
        <f>SUM(E110:G110)</f>
        <v>853381750</v>
      </c>
    </row>
    <row r="111" spans="1:8" ht="15">
      <c r="A111" s="34"/>
      <c r="B111" s="21" t="s">
        <v>28</v>
      </c>
      <c r="C111" s="25"/>
      <c r="D111" s="20"/>
      <c r="E111" s="30">
        <v>32000000</v>
      </c>
      <c r="F111" s="22">
        <f>(E111*0.05)+E111</f>
        <v>33600000</v>
      </c>
      <c r="G111" s="22">
        <f>(F111*0.05)+F111</f>
        <v>35280000</v>
      </c>
      <c r="H111" s="109">
        <f>SUM(E111:G111)</f>
        <v>100880000</v>
      </c>
    </row>
    <row r="112" spans="1:8" ht="15">
      <c r="A112" s="34"/>
      <c r="B112" s="21" t="s">
        <v>198</v>
      </c>
      <c r="C112" s="25"/>
      <c r="D112" s="20"/>
      <c r="E112" s="30">
        <f>149500000+11000000+27000000+13000000+30000000+85000000</f>
        <v>315500000</v>
      </c>
      <c r="F112" s="22">
        <f>(E112*0.05)+E112</f>
        <v>331275000</v>
      </c>
      <c r="G112" s="22">
        <f>(F112*0.05)+F112</f>
        <v>347838750</v>
      </c>
      <c r="H112" s="109">
        <f>SUM(E112:G112)</f>
        <v>994613750</v>
      </c>
    </row>
    <row r="113" spans="1:8" ht="15">
      <c r="A113" s="34"/>
      <c r="B113" s="21" t="s">
        <v>158</v>
      </c>
      <c r="C113" s="25"/>
      <c r="D113" s="20"/>
      <c r="E113" s="30">
        <f>30000000+102000000+20000000</f>
        <v>152000000</v>
      </c>
      <c r="F113" s="22">
        <f>(E113*0.05)+E113</f>
        <v>159600000</v>
      </c>
      <c r="G113" s="22">
        <f>(F113*0.05)+F113</f>
        <v>167580000</v>
      </c>
      <c r="H113" s="109">
        <f>SUM(E113:G113)</f>
        <v>479180000</v>
      </c>
    </row>
    <row r="114" spans="1:8" ht="15">
      <c r="A114" s="34"/>
      <c r="B114" s="21" t="s">
        <v>29</v>
      </c>
      <c r="C114" s="25"/>
      <c r="D114" s="20"/>
      <c r="E114" s="30">
        <v>11000000</v>
      </c>
      <c r="F114" s="22">
        <f>(E114*0.05)+E114</f>
        <v>11550000</v>
      </c>
      <c r="G114" s="22">
        <f>(F114*0.05)+F114</f>
        <v>12127500</v>
      </c>
      <c r="H114" s="109">
        <f>SUM(E114:G114)</f>
        <v>34677500</v>
      </c>
    </row>
    <row r="115" spans="1:8" ht="15">
      <c r="A115" s="34"/>
      <c r="B115" s="21" t="s">
        <v>211</v>
      </c>
      <c r="C115" s="25"/>
      <c r="D115" s="20"/>
      <c r="E115" s="30">
        <v>3700000</v>
      </c>
      <c r="F115" s="22">
        <f>(E115*0.05)+E115</f>
        <v>3885000</v>
      </c>
      <c r="G115" s="22">
        <f>(F115*0.05)+F115</f>
        <v>4079250</v>
      </c>
      <c r="H115" s="109">
        <f>SUM(E115:G115)</f>
        <v>11664250</v>
      </c>
    </row>
    <row r="116" spans="1:8" ht="15">
      <c r="A116" s="34"/>
      <c r="B116" s="21" t="s">
        <v>171</v>
      </c>
      <c r="C116" s="25"/>
      <c r="D116" s="20"/>
      <c r="E116" s="30">
        <v>154212500</v>
      </c>
      <c r="F116" s="22">
        <f>(E116*0.05)+E116</f>
        <v>161923125</v>
      </c>
      <c r="G116" s="22">
        <f>(F116*0.05)+F116</f>
        <v>170019281.25</v>
      </c>
      <c r="H116" s="109">
        <f>SUM(E116:G116)</f>
        <v>486154906.25</v>
      </c>
    </row>
    <row r="117" spans="1:8" ht="15">
      <c r="A117" s="34"/>
      <c r="B117" s="21" t="s">
        <v>172</v>
      </c>
      <c r="C117" s="25"/>
      <c r="D117" s="20"/>
      <c r="E117" s="30">
        <v>60000000</v>
      </c>
      <c r="F117" s="22">
        <f>(E117*0.05)+E117</f>
        <v>63000000</v>
      </c>
      <c r="G117" s="22">
        <f>(F117*0.05)+F117</f>
        <v>66150000</v>
      </c>
      <c r="H117" s="109">
        <f>SUM(E117:G117)</f>
        <v>189150000</v>
      </c>
    </row>
    <row r="118" spans="1:8" ht="15">
      <c r="A118" s="34"/>
      <c r="B118" s="21" t="s">
        <v>173</v>
      </c>
      <c r="C118" s="25"/>
      <c r="D118" s="20"/>
      <c r="E118" s="30">
        <v>300000000</v>
      </c>
      <c r="F118" s="22">
        <f>(E118*0.05)+E118</f>
        <v>315000000</v>
      </c>
      <c r="G118" s="22">
        <f>(F118*0.05)+F118</f>
        <v>330750000</v>
      </c>
      <c r="H118" s="109">
        <f>SUM(E118:G118)</f>
        <v>945750000</v>
      </c>
    </row>
    <row r="119" spans="1:8" ht="15">
      <c r="A119" s="34"/>
      <c r="B119" s="21" t="s">
        <v>105</v>
      </c>
      <c r="C119" s="25"/>
      <c r="D119" s="20"/>
      <c r="E119" s="30">
        <v>296000000</v>
      </c>
      <c r="F119" s="22">
        <v>320000000</v>
      </c>
      <c r="G119" s="22">
        <v>336000000</v>
      </c>
      <c r="H119" s="109">
        <f>SUM(E119:G119)</f>
        <v>952000000</v>
      </c>
    </row>
    <row r="120" spans="1:8" ht="15">
      <c r="A120" s="34"/>
      <c r="B120" s="21" t="s">
        <v>143</v>
      </c>
      <c r="C120" s="25"/>
      <c r="D120" s="20"/>
      <c r="E120" s="30">
        <v>351000000</v>
      </c>
      <c r="F120" s="22">
        <f>(E120*0.05)+E120</f>
        <v>368550000</v>
      </c>
      <c r="G120" s="22">
        <f>(F120*0.05)+F120</f>
        <v>386977500</v>
      </c>
      <c r="H120" s="109">
        <f>SUM(E120:G120)</f>
        <v>1106527500</v>
      </c>
    </row>
    <row r="121" spans="1:8" ht="15">
      <c r="A121" s="34"/>
      <c r="B121" s="21" t="s">
        <v>30</v>
      </c>
      <c r="C121" s="25"/>
      <c r="D121" s="20"/>
      <c r="E121" s="30">
        <v>16000000</v>
      </c>
      <c r="F121" s="22">
        <f>(E121*0.05)+E121</f>
        <v>16800000</v>
      </c>
      <c r="G121" s="22">
        <f>(F121*0.05)+F121</f>
        <v>17640000</v>
      </c>
      <c r="H121" s="109">
        <f>SUM(E121:G121)</f>
        <v>50440000</v>
      </c>
    </row>
    <row r="122" spans="1:8" ht="15">
      <c r="A122" s="34"/>
      <c r="B122" s="21" t="s">
        <v>31</v>
      </c>
      <c r="C122" s="25"/>
      <c r="D122" s="20"/>
      <c r="E122" s="30">
        <f>10500000+488000+1000000+500000</f>
        <v>12488000</v>
      </c>
      <c r="F122" s="22">
        <f>(E122*0.05)+E122</f>
        <v>13112400</v>
      </c>
      <c r="G122" s="22">
        <f>(F122*0.05)+F122</f>
        <v>13768020</v>
      </c>
      <c r="H122" s="109">
        <f>SUM(E122:G122)</f>
        <v>39368420</v>
      </c>
    </row>
    <row r="123" spans="1:8" ht="15">
      <c r="A123" s="34"/>
      <c r="B123" s="21" t="s">
        <v>212</v>
      </c>
      <c r="C123" s="25"/>
      <c r="D123" s="20"/>
      <c r="E123" s="30">
        <v>4900000</v>
      </c>
      <c r="F123" s="22">
        <f>(E123*0.05)+E123</f>
        <v>5145000</v>
      </c>
      <c r="G123" s="22">
        <f>(F123*0.05)+F123</f>
        <v>5402250</v>
      </c>
      <c r="H123" s="109">
        <f>SUM(E123:G123)</f>
        <v>15447250</v>
      </c>
    </row>
    <row r="124" spans="1:8" ht="15">
      <c r="A124" s="34"/>
      <c r="B124" s="21" t="s">
        <v>32</v>
      </c>
      <c r="C124" s="25"/>
      <c r="D124" s="20"/>
      <c r="E124" s="30">
        <v>53900000</v>
      </c>
      <c r="F124" s="22">
        <v>54000000</v>
      </c>
      <c r="G124" s="22">
        <v>54000000</v>
      </c>
      <c r="H124" s="109">
        <f>SUM(E124:G124)</f>
        <v>161900000</v>
      </c>
    </row>
    <row r="125" spans="1:8" ht="15">
      <c r="A125" s="34"/>
      <c r="B125" s="21" t="s">
        <v>33</v>
      </c>
      <c r="C125" s="25"/>
      <c r="D125" s="20"/>
      <c r="E125" s="30">
        <f>4500000+7000000+50000+50000+3000000</f>
        <v>14600000</v>
      </c>
      <c r="F125" s="22">
        <f>(E125*0.05)+E125</f>
        <v>15330000</v>
      </c>
      <c r="G125" s="22">
        <f>(F125*0.05)+F125</f>
        <v>16096500</v>
      </c>
      <c r="H125" s="109">
        <f>SUM(E125:G125)</f>
        <v>46026500</v>
      </c>
    </row>
    <row r="126" spans="1:8" ht="15">
      <c r="A126" s="34"/>
      <c r="B126" s="21" t="s">
        <v>213</v>
      </c>
      <c r="C126" s="25"/>
      <c r="D126" s="20"/>
      <c r="E126" s="30">
        <f>8300000+700000+4300000+4300000+700000+1000000+2000000</f>
        <v>21300000</v>
      </c>
      <c r="F126" s="22">
        <f>(E126*0.05)+E126</f>
        <v>22365000</v>
      </c>
      <c r="G126" s="22">
        <f>(F126*0.05)+F126</f>
        <v>23483250</v>
      </c>
      <c r="H126" s="109">
        <f>SUM(E126:G126)</f>
        <v>67148250</v>
      </c>
    </row>
    <row r="127" spans="1:8" ht="15">
      <c r="A127" s="34"/>
      <c r="B127" s="53" t="s">
        <v>34</v>
      </c>
      <c r="C127" s="35"/>
      <c r="D127" s="36"/>
      <c r="E127" s="29">
        <v>1250000</v>
      </c>
      <c r="F127" s="22">
        <f>(E127*0.05)+E127</f>
        <v>1312500</v>
      </c>
      <c r="G127" s="22">
        <f>(F127*0.05)+F127</f>
        <v>1378125</v>
      </c>
      <c r="H127" s="109">
        <f>SUM(E127:G127)</f>
        <v>3940625</v>
      </c>
    </row>
    <row r="128" spans="1:8" ht="15">
      <c r="A128" s="34"/>
      <c r="B128" s="21" t="s">
        <v>35</v>
      </c>
      <c r="C128" s="25"/>
      <c r="D128" s="20"/>
      <c r="E128" s="30">
        <v>3200000</v>
      </c>
      <c r="F128" s="22">
        <f>(E128*0.05)+E128</f>
        <v>3360000</v>
      </c>
      <c r="G128" s="22">
        <f>(F128*0.05)+F128</f>
        <v>3528000</v>
      </c>
      <c r="H128" s="109">
        <f>SUM(E128:G128)</f>
        <v>10088000</v>
      </c>
    </row>
    <row r="129" spans="1:8" ht="15">
      <c r="A129" s="34"/>
      <c r="B129" s="21" t="s">
        <v>108</v>
      </c>
      <c r="C129" s="25"/>
      <c r="D129" s="20"/>
      <c r="E129" s="30">
        <f>6000000+500000+1500000+500000</f>
        <v>8500000</v>
      </c>
      <c r="F129" s="22">
        <f>(E129*0.05)+E129</f>
        <v>8925000</v>
      </c>
      <c r="G129" s="22">
        <f>(F129*0.05)+F129</f>
        <v>9371250</v>
      </c>
      <c r="H129" s="109">
        <f>SUM(E129:G129)</f>
        <v>26796250</v>
      </c>
    </row>
    <row r="130" spans="1:8" ht="15">
      <c r="A130" s="32"/>
      <c r="B130" s="53" t="s">
        <v>36</v>
      </c>
      <c r="C130" s="35"/>
      <c r="D130" s="36"/>
      <c r="E130" s="22">
        <v>0</v>
      </c>
      <c r="F130" s="22"/>
      <c r="G130" s="22"/>
      <c r="H130" s="109">
        <f>SUM(E130:G130)</f>
        <v>0</v>
      </c>
    </row>
    <row r="131" spans="1:8" ht="15">
      <c r="A131" s="27" t="s">
        <v>160</v>
      </c>
      <c r="B131" s="15"/>
      <c r="C131" s="16"/>
      <c r="D131" s="17"/>
      <c r="E131" s="17"/>
      <c r="F131" s="17"/>
      <c r="G131" s="17"/>
      <c r="H131" s="132"/>
    </row>
    <row r="132" spans="1:8" ht="15">
      <c r="A132" s="34"/>
      <c r="B132" s="21" t="s">
        <v>37</v>
      </c>
      <c r="C132" s="25"/>
      <c r="D132" s="20"/>
      <c r="E132" s="29">
        <f>25800000+35000000</f>
        <v>60800000</v>
      </c>
      <c r="F132" s="22">
        <f>(E132*0.05)+E132</f>
        <v>63840000</v>
      </c>
      <c r="G132" s="22">
        <f>(F132*0.05)+F132</f>
        <v>67032000</v>
      </c>
      <c r="H132" s="109">
        <f>SUM(E132:G132)</f>
        <v>191672000</v>
      </c>
    </row>
    <row r="133" spans="1:8" ht="15">
      <c r="A133" s="34"/>
      <c r="B133" s="21" t="s">
        <v>38</v>
      </c>
      <c r="C133" s="25"/>
      <c r="D133" s="20"/>
      <c r="E133" s="30">
        <v>6150000</v>
      </c>
      <c r="F133" s="22">
        <f>(E133*0.05)+E133</f>
        <v>6457500</v>
      </c>
      <c r="G133" s="22">
        <f>(F133*0.05)+F133</f>
        <v>6780375</v>
      </c>
      <c r="H133" s="109">
        <f>SUM(E133:G133)</f>
        <v>19387875</v>
      </c>
    </row>
    <row r="134" spans="1:8" ht="15">
      <c r="A134" s="34"/>
      <c r="B134" s="21" t="s">
        <v>214</v>
      </c>
      <c r="C134" s="25"/>
      <c r="D134" s="20"/>
      <c r="E134" s="30">
        <v>117000000</v>
      </c>
      <c r="F134" s="22">
        <f>(E134*0.05)+E134</f>
        <v>122850000</v>
      </c>
      <c r="G134" s="22">
        <f>(F134*0.05)+F134</f>
        <v>128992500</v>
      </c>
      <c r="H134" s="109">
        <f>SUM(E134:G134)</f>
        <v>368842500</v>
      </c>
    </row>
    <row r="135" spans="1:8" ht="15">
      <c r="A135" s="34"/>
      <c r="B135" s="21" t="s">
        <v>10</v>
      </c>
      <c r="C135" s="25"/>
      <c r="D135" s="20"/>
      <c r="E135" s="22">
        <v>0</v>
      </c>
      <c r="F135" s="22"/>
      <c r="G135" s="22"/>
      <c r="H135" s="109">
        <f>SUM(E135:G135)</f>
        <v>0</v>
      </c>
    </row>
    <row r="136" spans="1:8" ht="15">
      <c r="A136" s="27" t="s">
        <v>161</v>
      </c>
      <c r="B136" s="15"/>
      <c r="C136" s="16"/>
      <c r="D136" s="17"/>
      <c r="E136" s="17"/>
      <c r="F136" s="17"/>
      <c r="G136" s="17"/>
      <c r="H136" s="132"/>
    </row>
    <row r="137" spans="1:8" ht="15">
      <c r="A137" s="34"/>
      <c r="B137" s="21" t="s">
        <v>39</v>
      </c>
      <c r="C137" s="25"/>
      <c r="D137" s="20"/>
      <c r="E137" s="29">
        <v>3224020134</v>
      </c>
      <c r="F137" s="22">
        <f>(E137*0.01)+E137</f>
        <v>3256260335.34</v>
      </c>
      <c r="G137" s="22">
        <f>(F137*0.01)+F137</f>
        <v>3288822938.6934004</v>
      </c>
      <c r="H137" s="109">
        <f>SUM(E137:G137)</f>
        <v>9769103408.033401</v>
      </c>
    </row>
    <row r="138" spans="1:8" ht="15">
      <c r="A138" s="34"/>
      <c r="B138" s="21" t="s">
        <v>103</v>
      </c>
      <c r="C138" s="25"/>
      <c r="D138" s="20"/>
      <c r="E138" s="30">
        <f>534801428+74113430+17230558+110000000+6705526+6705526+36000000+73129329+17444064+4096238+4361016+4361016+28523820</f>
        <v>917471951</v>
      </c>
      <c r="F138" s="22">
        <f>(E138*0.01)+E138</f>
        <v>926646670.51</v>
      </c>
      <c r="G138" s="22">
        <f>(F138*0.01)+F138</f>
        <v>935913137.2151</v>
      </c>
      <c r="H138" s="109">
        <f>SUM(E138:G138)</f>
        <v>2780031758.7251</v>
      </c>
    </row>
    <row r="139" spans="1:8" ht="15">
      <c r="A139" s="34"/>
      <c r="B139" s="21" t="s">
        <v>40</v>
      </c>
      <c r="C139" s="25"/>
      <c r="D139" s="20"/>
      <c r="E139" s="30">
        <f>154548305+19946408+4643190+29000000+2018744+2018744+10500000+22880600+5194773+1176268+1298693+1298693+8036297</f>
        <v>262560715</v>
      </c>
      <c r="F139" s="22">
        <f>(E139*0.01)+E139</f>
        <v>265186322.15</v>
      </c>
      <c r="G139" s="22">
        <f>(F139*0.01)+F139</f>
        <v>267838185.37150002</v>
      </c>
      <c r="H139" s="109">
        <f>SUM(E139:G139)</f>
        <v>795585222.5215</v>
      </c>
    </row>
    <row r="140" spans="1:8" ht="15">
      <c r="A140" s="34"/>
      <c r="B140" s="21" t="s">
        <v>41</v>
      </c>
      <c r="C140" s="25"/>
      <c r="D140" s="20"/>
      <c r="E140" s="30">
        <f>9750000+8000000+300000+600000+1500000+500000+375000+375000+1000000</f>
        <v>22400000</v>
      </c>
      <c r="F140" s="22">
        <f>(E140*0.01)+E140</f>
        <v>22624000</v>
      </c>
      <c r="G140" s="22">
        <f>(F140*0.01)+F140</f>
        <v>22850240</v>
      </c>
      <c r="H140" s="109">
        <f>SUM(E140:G140)</f>
        <v>67874240</v>
      </c>
    </row>
    <row r="141" spans="1:8" ht="15">
      <c r="A141" s="34"/>
      <c r="B141" s="21" t="s">
        <v>42</v>
      </c>
      <c r="C141" s="25"/>
      <c r="D141" s="20"/>
      <c r="E141" s="30">
        <f>32571200+17500000+5900000+22000000+5428800+7143000</f>
        <v>90543000</v>
      </c>
      <c r="F141" s="22">
        <f>(E141*0.01)+E141</f>
        <v>91448430</v>
      </c>
      <c r="G141" s="22">
        <f>(F141*0.01)+F141</f>
        <v>92362914.3</v>
      </c>
      <c r="H141" s="109">
        <f>SUM(E141:G141)</f>
        <v>274354344.3</v>
      </c>
    </row>
    <row r="142" spans="1:8" ht="15">
      <c r="A142" s="34"/>
      <c r="B142" s="21" t="s">
        <v>43</v>
      </c>
      <c r="C142" s="25"/>
      <c r="D142" s="20"/>
      <c r="E142" s="30">
        <v>5000000</v>
      </c>
      <c r="F142" s="22">
        <v>5500000</v>
      </c>
      <c r="G142" s="22">
        <v>6500000</v>
      </c>
      <c r="H142" s="109">
        <f>SUM(E142:G142)</f>
        <v>17000000</v>
      </c>
    </row>
    <row r="143" spans="1:8" ht="15">
      <c r="A143" s="27" t="s">
        <v>162</v>
      </c>
      <c r="B143" s="15"/>
      <c r="C143" s="16"/>
      <c r="D143" s="17"/>
      <c r="E143" s="17"/>
      <c r="F143" s="17"/>
      <c r="G143" s="17"/>
      <c r="H143" s="132"/>
    </row>
    <row r="144" spans="1:8" ht="15">
      <c r="A144" s="61"/>
      <c r="B144" s="21" t="s">
        <v>44</v>
      </c>
      <c r="C144" s="25"/>
      <c r="D144" s="20"/>
      <c r="E144" s="29">
        <v>0</v>
      </c>
      <c r="F144" s="29">
        <v>0</v>
      </c>
      <c r="G144" s="29">
        <v>0</v>
      </c>
      <c r="H144" s="109">
        <f>SUM(E144:G144)</f>
        <v>0</v>
      </c>
    </row>
    <row r="145" spans="1:8" ht="15">
      <c r="A145" s="61"/>
      <c r="B145" s="21" t="s">
        <v>45</v>
      </c>
      <c r="C145" s="25"/>
      <c r="D145" s="20"/>
      <c r="E145" s="30">
        <v>122000000</v>
      </c>
      <c r="F145" s="30">
        <f>E145</f>
        <v>122000000</v>
      </c>
      <c r="G145" s="30">
        <f>F145</f>
        <v>122000000</v>
      </c>
      <c r="H145" s="109">
        <f>SUM(E145:G145)</f>
        <v>366000000</v>
      </c>
    </row>
    <row r="146" spans="1:8" ht="15">
      <c r="A146" s="61"/>
      <c r="B146" s="21" t="s">
        <v>46</v>
      </c>
      <c r="C146" s="25"/>
      <c r="D146" s="20"/>
      <c r="E146" s="22">
        <v>0</v>
      </c>
      <c r="F146" s="22"/>
      <c r="G146" s="22"/>
      <c r="H146" s="109">
        <f>SUM(E146:G146)</f>
        <v>0</v>
      </c>
    </row>
    <row r="147" spans="1:8" ht="15">
      <c r="A147" s="61"/>
      <c r="B147" s="21" t="s">
        <v>163</v>
      </c>
      <c r="C147" s="25"/>
      <c r="D147" s="20"/>
      <c r="E147" s="22">
        <v>0</v>
      </c>
      <c r="F147" s="22"/>
      <c r="G147" s="22"/>
      <c r="H147" s="109">
        <f>SUM(E147:G147)</f>
        <v>0</v>
      </c>
    </row>
    <row r="148" spans="1:8" ht="15">
      <c r="A148" s="27" t="s">
        <v>47</v>
      </c>
      <c r="B148" s="15" t="s">
        <v>48</v>
      </c>
      <c r="C148" s="16"/>
      <c r="D148" s="17"/>
      <c r="E148" s="17"/>
      <c r="F148" s="17"/>
      <c r="G148" s="17"/>
      <c r="H148" s="132"/>
    </row>
    <row r="149" spans="1:8" ht="15">
      <c r="A149" s="61"/>
      <c r="B149" s="21" t="s">
        <v>49</v>
      </c>
      <c r="C149" s="25"/>
      <c r="D149" s="20"/>
      <c r="E149" s="29">
        <f>30000000+170000000+200000000</f>
        <v>400000000</v>
      </c>
      <c r="F149" s="29">
        <v>415000000</v>
      </c>
      <c r="G149" s="29">
        <v>415000000</v>
      </c>
      <c r="H149" s="109">
        <f>SUM(E149:G149)</f>
        <v>1230000000</v>
      </c>
    </row>
    <row r="150" spans="1:8" ht="15">
      <c r="A150" s="61"/>
      <c r="B150" s="21" t="s">
        <v>50</v>
      </c>
      <c r="C150" s="25"/>
      <c r="D150" s="20"/>
      <c r="E150" s="30">
        <f>(-45000000)+(-170000000)+(-200000000)</f>
        <v>-415000000</v>
      </c>
      <c r="F150" s="30">
        <v>-415000000</v>
      </c>
      <c r="G150" s="30">
        <v>-415000000</v>
      </c>
      <c r="H150" s="109">
        <f>SUM(E150:G150)</f>
        <v>-1245000000</v>
      </c>
    </row>
    <row r="151" spans="1:8" ht="15">
      <c r="A151" s="27" t="s">
        <v>51</v>
      </c>
      <c r="B151" s="15" t="s">
        <v>52</v>
      </c>
      <c r="C151" s="16"/>
      <c r="D151" s="17"/>
      <c r="E151" s="17"/>
      <c r="F151" s="17"/>
      <c r="G151" s="17"/>
      <c r="H151" s="132"/>
    </row>
    <row r="152" spans="1:8" ht="15">
      <c r="A152" s="61"/>
      <c r="B152" s="21" t="s">
        <v>53</v>
      </c>
      <c r="C152" s="25"/>
      <c r="D152" s="20"/>
      <c r="E152" s="22">
        <v>0</v>
      </c>
      <c r="F152" s="22"/>
      <c r="G152" s="22"/>
      <c r="H152" s="109">
        <f>SUM(E152:G152)</f>
        <v>0</v>
      </c>
    </row>
    <row r="153" spans="1:8" ht="15">
      <c r="A153" s="27" t="s">
        <v>54</v>
      </c>
      <c r="B153" s="15" t="s">
        <v>55</v>
      </c>
      <c r="C153" s="16"/>
      <c r="D153" s="17"/>
      <c r="E153" s="17"/>
      <c r="F153" s="17"/>
      <c r="G153" s="17"/>
      <c r="H153" s="132"/>
    </row>
    <row r="154" spans="1:8" ht="15">
      <c r="A154" s="61"/>
      <c r="B154" s="21" t="s">
        <v>56</v>
      </c>
      <c r="C154" s="25"/>
      <c r="D154" s="135"/>
      <c r="E154" s="22">
        <v>0</v>
      </c>
      <c r="F154" s="22"/>
      <c r="G154" s="22"/>
      <c r="H154" s="109">
        <f>SUM(E154:G154)</f>
        <v>0</v>
      </c>
    </row>
    <row r="155" spans="1:8" ht="15">
      <c r="A155" s="137"/>
      <c r="B155" s="21"/>
      <c r="C155" s="25"/>
      <c r="D155" s="20"/>
      <c r="E155" s="20"/>
      <c r="F155" s="20"/>
      <c r="G155" s="20"/>
      <c r="H155" s="136"/>
    </row>
    <row r="156" spans="1:8" ht="18.75">
      <c r="A156" s="44" t="s">
        <v>11</v>
      </c>
      <c r="B156" s="4" t="s">
        <v>205</v>
      </c>
      <c r="C156" s="45"/>
      <c r="D156" s="134"/>
      <c r="E156" s="96">
        <v>1999</v>
      </c>
      <c r="F156" s="96">
        <v>2000</v>
      </c>
      <c r="G156" s="96">
        <v>2001</v>
      </c>
      <c r="H156" s="96" t="s">
        <v>202</v>
      </c>
    </row>
    <row r="157" spans="1:8" ht="15">
      <c r="A157" s="27" t="s">
        <v>57</v>
      </c>
      <c r="B157" s="15" t="s">
        <v>58</v>
      </c>
      <c r="C157" s="16"/>
      <c r="D157" s="17"/>
      <c r="E157" s="32"/>
      <c r="F157" s="32"/>
      <c r="G157" s="32"/>
      <c r="H157" s="132"/>
    </row>
    <row r="158" spans="1:8" ht="15">
      <c r="A158" s="61"/>
      <c r="B158" s="21" t="s">
        <v>164</v>
      </c>
      <c r="C158" s="25"/>
      <c r="D158" s="20"/>
      <c r="E158" s="22">
        <v>0</v>
      </c>
      <c r="F158" s="22"/>
      <c r="G158" s="22"/>
      <c r="H158" s="109">
        <f>SUM(E158:G158)</f>
        <v>0</v>
      </c>
    </row>
    <row r="159" spans="1:8" ht="15">
      <c r="A159" s="61"/>
      <c r="B159" s="21" t="s">
        <v>59</v>
      </c>
      <c r="C159" s="25"/>
      <c r="D159" s="20"/>
      <c r="E159" s="22">
        <v>0</v>
      </c>
      <c r="F159" s="22"/>
      <c r="G159" s="22"/>
      <c r="H159" s="109">
        <f>SUM(E159:G159)</f>
        <v>0</v>
      </c>
    </row>
    <row r="160" spans="1:8" ht="15">
      <c r="A160" s="61"/>
      <c r="B160" s="21" t="s">
        <v>60</v>
      </c>
      <c r="C160" s="25"/>
      <c r="D160" s="20"/>
      <c r="E160" s="30">
        <f>65000+65000</f>
        <v>130000</v>
      </c>
      <c r="F160" s="64">
        <f>(E160*0.02)+E160</f>
        <v>132600</v>
      </c>
      <c r="G160" s="64">
        <f>(F160*0.02)+F160</f>
        <v>135252</v>
      </c>
      <c r="H160" s="109">
        <f>SUM(E160:G160)</f>
        <v>397852</v>
      </c>
    </row>
    <row r="161" spans="1:8" ht="15">
      <c r="A161" s="61"/>
      <c r="B161" s="21" t="s">
        <v>61</v>
      </c>
      <c r="C161" s="25"/>
      <c r="D161" s="20"/>
      <c r="E161" s="30">
        <f>1081000+1081000</f>
        <v>2162000</v>
      </c>
      <c r="F161" s="22">
        <f>(E161*0.02)+E161</f>
        <v>2205240</v>
      </c>
      <c r="G161" s="22">
        <f>(F161*0.02)+F161</f>
        <v>2249344.8</v>
      </c>
      <c r="H161" s="109">
        <f>SUM(E161:G161)</f>
        <v>6616584.8</v>
      </c>
    </row>
    <row r="162" spans="1:8" ht="15">
      <c r="A162" s="61"/>
      <c r="B162" s="21" t="s">
        <v>62</v>
      </c>
      <c r="C162" s="25"/>
      <c r="D162" s="20"/>
      <c r="E162" s="30">
        <f>260000+385000</f>
        <v>645000</v>
      </c>
      <c r="F162" s="22">
        <f>(E162*0.02)+E162</f>
        <v>657900</v>
      </c>
      <c r="G162" s="22">
        <f>(F162*0.02)+F162</f>
        <v>671058</v>
      </c>
      <c r="H162" s="109">
        <f>SUM(E162:G162)</f>
        <v>1973958</v>
      </c>
    </row>
    <row r="163" spans="1:8" ht="15">
      <c r="A163" s="61"/>
      <c r="B163" s="21" t="s">
        <v>63</v>
      </c>
      <c r="C163" s="25"/>
      <c r="D163" s="20"/>
      <c r="E163" s="22">
        <v>0</v>
      </c>
      <c r="F163" s="22">
        <v>0</v>
      </c>
      <c r="G163" s="22">
        <v>0</v>
      </c>
      <c r="H163" s="109">
        <f>SUM(E163:G163)</f>
        <v>0</v>
      </c>
    </row>
    <row r="164" spans="1:8" ht="15">
      <c r="A164" s="61"/>
      <c r="B164" s="21" t="s">
        <v>126</v>
      </c>
      <c r="C164" s="25"/>
      <c r="D164" s="20"/>
      <c r="E164" s="30">
        <f>30000000+600000+300000</f>
        <v>30900000</v>
      </c>
      <c r="F164" s="64">
        <v>33000000</v>
      </c>
      <c r="G164" s="64">
        <v>35000000</v>
      </c>
      <c r="H164" s="109">
        <f>SUM(E164:G164)</f>
        <v>98900000</v>
      </c>
    </row>
    <row r="165" spans="1:8" ht="15">
      <c r="A165" s="61"/>
      <c r="B165" s="21" t="s">
        <v>107</v>
      </c>
      <c r="C165" s="25"/>
      <c r="D165" s="20"/>
      <c r="E165" s="30">
        <f>5500000+580000</f>
        <v>6080000</v>
      </c>
      <c r="F165" s="22">
        <f>(E165*0.02)+E165</f>
        <v>6201600</v>
      </c>
      <c r="G165" s="22">
        <f>(F165*0.02)+F165</f>
        <v>6325632</v>
      </c>
      <c r="H165" s="109">
        <f>SUM(E165:G165)</f>
        <v>18607232</v>
      </c>
    </row>
    <row r="166" spans="1:8" ht="15">
      <c r="A166" s="61"/>
      <c r="B166" s="21" t="s">
        <v>145</v>
      </c>
      <c r="C166" s="25"/>
      <c r="D166" s="20"/>
      <c r="E166" s="22">
        <v>10000000</v>
      </c>
      <c r="F166" s="22">
        <v>10000000</v>
      </c>
      <c r="G166" s="22">
        <v>1000000</v>
      </c>
      <c r="H166" s="109">
        <f>SUM(E166:G166)</f>
        <v>21000000</v>
      </c>
    </row>
    <row r="167" spans="1:8" ht="15">
      <c r="A167" s="61"/>
      <c r="B167" s="21" t="s">
        <v>64</v>
      </c>
      <c r="C167" s="25"/>
      <c r="D167" s="20"/>
      <c r="E167" s="22">
        <v>0</v>
      </c>
      <c r="F167" s="22">
        <v>100000000</v>
      </c>
      <c r="G167" s="22">
        <v>180000000</v>
      </c>
      <c r="H167" s="109">
        <f>SUM(E167:G167)</f>
        <v>280000000</v>
      </c>
    </row>
    <row r="168" spans="1:8" ht="15">
      <c r="A168" s="61"/>
      <c r="B168" s="21" t="s">
        <v>65</v>
      </c>
      <c r="C168" s="25"/>
      <c r="D168" s="20"/>
      <c r="E168" s="30">
        <f>1000000+750000+750000</f>
        <v>2500000</v>
      </c>
      <c r="F168" s="64">
        <f>(E168*0.02)+E168</f>
        <v>2550000</v>
      </c>
      <c r="G168" s="64">
        <f>(F168*0.02)+F168</f>
        <v>2601000</v>
      </c>
      <c r="H168" s="109">
        <f>SUM(E168:G168)</f>
        <v>7651000</v>
      </c>
    </row>
    <row r="169" spans="1:8" ht="15">
      <c r="A169" s="61"/>
      <c r="B169" s="16" t="s">
        <v>66</v>
      </c>
      <c r="C169" s="6"/>
      <c r="D169" s="17"/>
      <c r="E169" s="22">
        <f>1400000+2300000</f>
        <v>3700000</v>
      </c>
      <c r="F169" s="22">
        <f>(E169*0.02)+E169</f>
        <v>3774000</v>
      </c>
      <c r="G169" s="22">
        <f>(F169*0.02)+F169</f>
        <v>3849480</v>
      </c>
      <c r="H169" s="109">
        <f>SUM(E169:G169)</f>
        <v>11323480</v>
      </c>
    </row>
    <row r="170" spans="1:8" ht="15">
      <c r="A170" s="37"/>
      <c r="B170" s="38" t="s">
        <v>109</v>
      </c>
      <c r="C170" s="38"/>
      <c r="D170" s="36"/>
      <c r="E170" s="108">
        <f>SUM(E80:E154)+SUM(E158:E169)</f>
        <v>11294133300</v>
      </c>
      <c r="F170" s="108">
        <f>SUM(F80:F154)+SUM(F158:F169)</f>
        <v>11837092123</v>
      </c>
      <c r="G170" s="108">
        <f>SUM(G80:G154)+SUM(G158:G169)</f>
        <v>12362469458.63</v>
      </c>
    </row>
    <row r="171" spans="1:7" ht="15">
      <c r="A171" s="31"/>
      <c r="B171" s="16"/>
      <c r="C171" s="6"/>
      <c r="D171" s="17"/>
      <c r="E171" s="17"/>
      <c r="F171" s="17"/>
      <c r="G171" s="17"/>
    </row>
    <row r="172" spans="1:8" ht="18.75">
      <c r="A172" s="7" t="s">
        <v>67</v>
      </c>
      <c r="B172" s="62" t="s">
        <v>68</v>
      </c>
      <c r="C172" s="45"/>
      <c r="D172" s="46"/>
      <c r="E172" s="96">
        <v>1999</v>
      </c>
      <c r="F172" s="96">
        <v>2000</v>
      </c>
      <c r="G172" s="96">
        <v>2001</v>
      </c>
      <c r="H172" s="96" t="s">
        <v>202</v>
      </c>
    </row>
    <row r="173" spans="1:8" ht="15">
      <c r="A173" s="27" t="s">
        <v>69</v>
      </c>
      <c r="B173" s="28" t="s">
        <v>70</v>
      </c>
      <c r="C173" s="21"/>
      <c r="D173" s="20"/>
      <c r="E173" s="22"/>
      <c r="F173" s="22"/>
      <c r="G173" s="22"/>
      <c r="H173" s="114"/>
    </row>
    <row r="174" spans="1:8" ht="15">
      <c r="A174" s="27" t="s">
        <v>71</v>
      </c>
      <c r="B174" s="15" t="s">
        <v>72</v>
      </c>
      <c r="C174" s="16"/>
      <c r="D174" s="17"/>
      <c r="E174" s="17"/>
      <c r="F174" s="17"/>
      <c r="G174" s="17"/>
      <c r="H174" s="133"/>
    </row>
    <row r="175" spans="1:8" ht="15">
      <c r="A175" s="61"/>
      <c r="B175" s="21" t="s">
        <v>73</v>
      </c>
      <c r="C175" s="25"/>
      <c r="D175" s="20"/>
      <c r="E175" s="22">
        <v>30000000</v>
      </c>
      <c r="F175" s="22">
        <v>35000000</v>
      </c>
      <c r="G175" s="22">
        <v>38000000</v>
      </c>
      <c r="H175" s="109">
        <f>SUM(E175:G175)</f>
        <v>103000000</v>
      </c>
    </row>
    <row r="176" spans="1:8" ht="15">
      <c r="A176" s="61"/>
      <c r="B176" s="21" t="s">
        <v>74</v>
      </c>
      <c r="C176" s="25"/>
      <c r="D176" s="20"/>
      <c r="E176" s="22">
        <v>0</v>
      </c>
      <c r="F176" s="22">
        <v>0</v>
      </c>
      <c r="G176" s="22">
        <v>0</v>
      </c>
      <c r="H176" s="114"/>
    </row>
    <row r="177" spans="1:8" ht="15">
      <c r="A177" s="61"/>
      <c r="B177" s="21" t="s">
        <v>75</v>
      </c>
      <c r="C177" s="25"/>
      <c r="D177" s="20"/>
      <c r="E177" s="22">
        <v>0</v>
      </c>
      <c r="F177" s="22">
        <v>0</v>
      </c>
      <c r="G177" s="22">
        <v>0</v>
      </c>
      <c r="H177" s="114"/>
    </row>
    <row r="178" spans="1:8" ht="15">
      <c r="A178" s="27" t="s">
        <v>76</v>
      </c>
      <c r="B178" s="15" t="s">
        <v>77</v>
      </c>
      <c r="C178" s="16"/>
      <c r="D178" s="17"/>
      <c r="E178" s="17"/>
      <c r="F178" s="17"/>
      <c r="G178" s="17"/>
      <c r="H178" s="133"/>
    </row>
    <row r="179" spans="1:8" ht="15">
      <c r="A179" s="61"/>
      <c r="B179" s="21" t="s">
        <v>78</v>
      </c>
      <c r="C179" s="25"/>
      <c r="D179" s="20"/>
      <c r="E179" s="22">
        <v>0</v>
      </c>
      <c r="F179" s="22">
        <v>0</v>
      </c>
      <c r="G179" s="22">
        <v>0</v>
      </c>
      <c r="H179" s="114"/>
    </row>
    <row r="180" spans="1:8" ht="15">
      <c r="A180" s="61"/>
      <c r="B180" s="21" t="s">
        <v>79</v>
      </c>
      <c r="C180" s="25"/>
      <c r="D180" s="20"/>
      <c r="E180" s="22">
        <v>0</v>
      </c>
      <c r="F180" s="22">
        <v>0</v>
      </c>
      <c r="G180" s="22">
        <v>0</v>
      </c>
      <c r="H180" s="114"/>
    </row>
    <row r="181" spans="1:8" ht="15">
      <c r="A181" s="61"/>
      <c r="B181" s="21" t="s">
        <v>80</v>
      </c>
      <c r="C181" s="25"/>
      <c r="D181" s="20"/>
      <c r="E181" s="22">
        <v>0</v>
      </c>
      <c r="F181" s="22">
        <v>0</v>
      </c>
      <c r="G181" s="22">
        <v>0</v>
      </c>
      <c r="H181" s="114"/>
    </row>
    <row r="182" spans="1:8" ht="15">
      <c r="A182" s="65"/>
      <c r="B182" s="21" t="s">
        <v>81</v>
      </c>
      <c r="C182" s="25"/>
      <c r="D182" s="20"/>
      <c r="E182" s="22">
        <v>2000000</v>
      </c>
      <c r="F182" s="22">
        <v>2500000</v>
      </c>
      <c r="G182" s="22">
        <v>3000000</v>
      </c>
      <c r="H182" s="109">
        <f>SUM(E182:G182)</f>
        <v>7500000</v>
      </c>
    </row>
    <row r="183" spans="1:8" ht="15">
      <c r="A183" s="61"/>
      <c r="B183" s="21" t="s">
        <v>82</v>
      </c>
      <c r="C183" s="25"/>
      <c r="D183" s="20"/>
      <c r="E183" s="22">
        <v>0</v>
      </c>
      <c r="F183" s="22">
        <v>0</v>
      </c>
      <c r="G183" s="22">
        <v>0</v>
      </c>
      <c r="H183" s="114"/>
    </row>
    <row r="184" spans="1:8" ht="15">
      <c r="A184" s="37"/>
      <c r="B184" s="38" t="s">
        <v>109</v>
      </c>
      <c r="C184" s="38"/>
      <c r="D184" s="36"/>
      <c r="E184" s="108">
        <f>E175-E182</f>
        <v>28000000</v>
      </c>
      <c r="F184" s="108">
        <f>F175-F182</f>
        <v>32500000</v>
      </c>
      <c r="G184" s="108">
        <f>G175-G182</f>
        <v>35000000</v>
      </c>
      <c r="H184" s="112"/>
    </row>
    <row r="185" spans="1:7" ht="15">
      <c r="A185" s="61"/>
      <c r="B185" s="52"/>
      <c r="C185" s="33"/>
      <c r="D185" s="32"/>
      <c r="E185" s="32"/>
      <c r="F185" s="32"/>
      <c r="G185" s="32"/>
    </row>
    <row r="186" spans="1:8" ht="18.75">
      <c r="A186" s="44" t="s">
        <v>83</v>
      </c>
      <c r="B186" s="4" t="s">
        <v>84</v>
      </c>
      <c r="C186" s="45"/>
      <c r="D186" s="46"/>
      <c r="E186" s="96">
        <v>1999</v>
      </c>
      <c r="F186" s="96">
        <v>2000</v>
      </c>
      <c r="G186" s="96">
        <v>2001</v>
      </c>
      <c r="H186" s="96" t="s">
        <v>202</v>
      </c>
    </row>
    <row r="187" spans="1:8" ht="15">
      <c r="A187" s="68"/>
      <c r="B187" s="69"/>
      <c r="C187" s="70"/>
      <c r="D187" s="71"/>
      <c r="E187" s="113"/>
      <c r="F187" s="113"/>
      <c r="G187" s="113"/>
      <c r="H187" s="108">
        <v>0</v>
      </c>
    </row>
    <row r="188" spans="1:8" ht="15">
      <c r="A188" s="37"/>
      <c r="B188" s="38" t="s">
        <v>109</v>
      </c>
      <c r="C188" s="38"/>
      <c r="D188" s="36"/>
      <c r="E188" s="108">
        <v>0</v>
      </c>
      <c r="F188" s="108">
        <v>0</v>
      </c>
      <c r="G188" s="108">
        <v>0</v>
      </c>
    </row>
    <row r="189" spans="1:7" ht="15">
      <c r="A189" s="34"/>
      <c r="B189" s="74"/>
      <c r="C189" s="16"/>
      <c r="D189" s="17"/>
      <c r="E189" s="17"/>
      <c r="F189" s="17"/>
      <c r="G189" s="17"/>
    </row>
    <row r="190" spans="1:8" ht="18.75">
      <c r="A190" s="7" t="s">
        <v>85</v>
      </c>
      <c r="B190" s="8" t="s">
        <v>86</v>
      </c>
      <c r="C190" s="9"/>
      <c r="D190" s="10"/>
      <c r="E190" s="96">
        <v>1999</v>
      </c>
      <c r="F190" s="96">
        <v>2000</v>
      </c>
      <c r="G190" s="96">
        <v>2001</v>
      </c>
      <c r="H190" s="96" t="s">
        <v>202</v>
      </c>
    </row>
    <row r="191" spans="1:8" ht="15">
      <c r="A191" s="27" t="s">
        <v>87</v>
      </c>
      <c r="B191" s="15" t="s">
        <v>88</v>
      </c>
      <c r="C191" s="16"/>
      <c r="D191" s="17"/>
      <c r="E191" s="17"/>
      <c r="F191" s="17"/>
      <c r="G191" s="17"/>
      <c r="H191" s="131"/>
    </row>
    <row r="192" spans="1:8" ht="15">
      <c r="A192" s="61"/>
      <c r="B192" s="21" t="s">
        <v>89</v>
      </c>
      <c r="C192" s="25"/>
      <c r="D192" s="20"/>
      <c r="E192" s="22"/>
      <c r="F192" s="22"/>
      <c r="G192" s="22"/>
      <c r="H192" s="104"/>
    </row>
    <row r="193" spans="1:8" ht="15">
      <c r="A193" s="34"/>
      <c r="B193" s="21" t="s">
        <v>90</v>
      </c>
      <c r="C193" s="25"/>
      <c r="D193" s="20"/>
      <c r="E193" s="22"/>
      <c r="F193" s="22"/>
      <c r="G193" s="22"/>
      <c r="H193" s="104"/>
    </row>
    <row r="194" spans="1:8" ht="15">
      <c r="A194" s="34"/>
      <c r="B194" s="21" t="s">
        <v>91</v>
      </c>
      <c r="C194" s="25"/>
      <c r="D194" s="20"/>
      <c r="E194" s="22"/>
      <c r="F194" s="22"/>
      <c r="G194" s="22"/>
      <c r="H194" s="104"/>
    </row>
    <row r="195" spans="1:8" ht="15">
      <c r="A195" s="27" t="s">
        <v>92</v>
      </c>
      <c r="B195" s="15" t="s">
        <v>93</v>
      </c>
      <c r="C195" s="16"/>
      <c r="D195" s="17"/>
      <c r="E195" s="17"/>
      <c r="F195" s="17"/>
      <c r="G195" s="17"/>
      <c r="H195" s="132"/>
    </row>
    <row r="196" spans="1:8" ht="15">
      <c r="A196" s="34"/>
      <c r="B196" s="21" t="s">
        <v>94</v>
      </c>
      <c r="C196" s="25"/>
      <c r="D196" s="20"/>
      <c r="E196" s="22"/>
      <c r="F196" s="22"/>
      <c r="G196" s="22"/>
      <c r="H196" s="104"/>
    </row>
    <row r="197" spans="1:8" ht="15">
      <c r="A197" s="34"/>
      <c r="B197" s="21" t="s">
        <v>95</v>
      </c>
      <c r="C197" s="25"/>
      <c r="D197" s="20"/>
      <c r="E197" s="22"/>
      <c r="F197" s="22"/>
      <c r="G197" s="22"/>
      <c r="H197" s="104"/>
    </row>
    <row r="198" spans="1:8" ht="15">
      <c r="A198" s="34"/>
      <c r="B198" s="21" t="s">
        <v>96</v>
      </c>
      <c r="C198" s="25"/>
      <c r="D198" s="20"/>
      <c r="E198" s="22"/>
      <c r="F198" s="22"/>
      <c r="G198" s="22"/>
      <c r="H198" s="104"/>
    </row>
    <row r="199" spans="1:8" ht="15">
      <c r="A199" s="34"/>
      <c r="B199" s="21" t="s">
        <v>91</v>
      </c>
      <c r="C199" s="25"/>
      <c r="D199" s="20"/>
      <c r="E199" s="22"/>
      <c r="F199" s="22"/>
      <c r="G199" s="22"/>
      <c r="H199" s="104"/>
    </row>
    <row r="200" spans="1:8" ht="15">
      <c r="A200" s="27" t="s">
        <v>97</v>
      </c>
      <c r="B200" s="15" t="s">
        <v>98</v>
      </c>
      <c r="C200" s="16"/>
      <c r="D200" s="17"/>
      <c r="E200" s="17"/>
      <c r="F200" s="17"/>
      <c r="G200" s="17"/>
      <c r="H200" s="132"/>
    </row>
    <row r="201" spans="1:8" ht="15">
      <c r="A201" s="34"/>
      <c r="B201" s="21" t="s">
        <v>99</v>
      </c>
      <c r="C201" s="25"/>
      <c r="D201" s="20"/>
      <c r="E201" s="22">
        <v>0</v>
      </c>
      <c r="F201" s="22">
        <v>0</v>
      </c>
      <c r="G201" s="22">
        <v>0</v>
      </c>
      <c r="H201" s="108">
        <v>0</v>
      </c>
    </row>
    <row r="202" spans="1:8" ht="15">
      <c r="A202" s="34"/>
      <c r="B202" s="21" t="s">
        <v>100</v>
      </c>
      <c r="C202" s="25"/>
      <c r="D202" s="20"/>
      <c r="E202" s="22">
        <f>127426172+20000000+1565745+7500000+17000000+3654195+833649+3065745+922678+6369717</f>
        <v>188337901</v>
      </c>
      <c r="F202" s="22">
        <f>(E202*0.02)+E202</f>
        <v>192104659.02</v>
      </c>
      <c r="G202" s="22">
        <f>(F202*0.02)+F202</f>
        <v>195946752.20040002</v>
      </c>
      <c r="H202" s="109">
        <f>SUM(E202:G202)</f>
        <v>576389312.2204</v>
      </c>
    </row>
    <row r="203" spans="1:8" ht="15.75">
      <c r="A203" s="59"/>
      <c r="B203" s="38" t="s">
        <v>109</v>
      </c>
      <c r="C203" s="38"/>
      <c r="D203" s="36"/>
      <c r="E203" s="108">
        <f>SUM(E202)</f>
        <v>188337901</v>
      </c>
      <c r="F203" s="108">
        <f>SUM(F202)</f>
        <v>192104659.02</v>
      </c>
      <c r="G203" s="108">
        <f>SUM(G202)</f>
        <v>195946752.20040002</v>
      </c>
      <c r="H203" s="115"/>
    </row>
    <row r="204" spans="1:7" ht="15.75" thickBot="1">
      <c r="A204" s="33"/>
      <c r="B204" s="75"/>
      <c r="C204" s="75"/>
      <c r="D204" s="75"/>
      <c r="E204" s="33"/>
      <c r="F204" s="33"/>
      <c r="G204" s="33"/>
    </row>
    <row r="205" spans="1:8" ht="15">
      <c r="A205" s="117"/>
      <c r="B205" s="118" t="s">
        <v>141</v>
      </c>
      <c r="C205" s="118"/>
      <c r="D205" s="119"/>
      <c r="E205" s="120">
        <f>E37</f>
        <v>11454471201</v>
      </c>
      <c r="F205" s="120">
        <f>F37</f>
        <v>12125279265.119999</v>
      </c>
      <c r="G205" s="121">
        <f>G37</f>
        <v>12865946136.9344</v>
      </c>
    </row>
    <row r="206" spans="1:7" ht="15">
      <c r="A206" s="122"/>
      <c r="B206" s="33"/>
      <c r="C206" s="78"/>
      <c r="D206" s="33"/>
      <c r="E206" s="33"/>
      <c r="F206" s="33"/>
      <c r="G206" s="123"/>
    </row>
    <row r="207" spans="1:8" ht="15">
      <c r="A207" s="122"/>
      <c r="B207" s="78" t="s">
        <v>180</v>
      </c>
      <c r="C207" s="78"/>
      <c r="D207" s="33"/>
      <c r="E207" s="116">
        <f>E170+E188+E203</f>
        <v>11482471201</v>
      </c>
      <c r="F207" s="116">
        <f>F170+F188+F203</f>
        <v>12029196782.02</v>
      </c>
      <c r="G207" s="124">
        <f>G170+G188+G203</f>
        <v>12558416210.830399</v>
      </c>
    </row>
    <row r="208" spans="1:7" ht="15">
      <c r="A208" s="125"/>
      <c r="B208" s="42"/>
      <c r="C208" s="42"/>
      <c r="D208" s="41"/>
      <c r="E208" s="41"/>
      <c r="F208" s="41"/>
      <c r="G208" s="126"/>
    </row>
    <row r="209" spans="1:7" ht="15">
      <c r="A209" s="122"/>
      <c r="B209" s="78" t="s">
        <v>179</v>
      </c>
      <c r="C209" s="78"/>
      <c r="D209" s="33"/>
      <c r="E209" s="116">
        <f>E184</f>
        <v>28000000</v>
      </c>
      <c r="F209" s="116">
        <f>F184</f>
        <v>32500000</v>
      </c>
      <c r="G209" s="124">
        <f>G184</f>
        <v>35000000</v>
      </c>
    </row>
    <row r="210" spans="1:7" ht="15">
      <c r="A210" s="122"/>
      <c r="B210" s="33"/>
      <c r="C210" s="33"/>
      <c r="D210" s="33"/>
      <c r="E210" s="33"/>
      <c r="F210" s="33"/>
      <c r="G210" s="123"/>
    </row>
    <row r="211" spans="1:7" ht="15.75" thickBot="1">
      <c r="A211" s="127" t="s">
        <v>203</v>
      </c>
      <c r="B211" s="128"/>
      <c r="C211" s="128"/>
      <c r="D211" s="128"/>
      <c r="E211" s="129">
        <f>(E205+E209)-E207</f>
        <v>0</v>
      </c>
      <c r="F211" s="129">
        <f>(F205+F209)-F207</f>
        <v>128582483.09999847</v>
      </c>
      <c r="G211" s="130">
        <f>(G205+G209)-G207</f>
        <v>342529926.104002</v>
      </c>
    </row>
  </sheetData>
  <mergeCells count="3">
    <mergeCell ref="A1:H1"/>
    <mergeCell ref="A2:H2"/>
    <mergeCell ref="A3:H3"/>
  </mergeCells>
  <printOptions horizontalCentered="1" verticalCentered="1"/>
  <pageMargins left="0" right="0" top="0" bottom="0" header="0" footer="0"/>
  <pageSetup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workbookViewId="0" topLeftCell="A65">
      <selection activeCell="B84" sqref="B84"/>
    </sheetView>
  </sheetViews>
  <sheetFormatPr defaultColWidth="8.88671875" defaultRowHeight="15"/>
  <cols>
    <col min="1" max="1" width="5.21484375" style="1" customWidth="1"/>
    <col min="2" max="3" width="8.88671875" style="1" customWidth="1"/>
    <col min="4" max="4" width="11.99609375" style="1" customWidth="1"/>
    <col min="5" max="5" width="9.77734375" style="1" customWidth="1"/>
    <col min="6" max="6" width="11.10546875" style="1" customWidth="1"/>
    <col min="7" max="7" width="10.10546875" style="1" customWidth="1"/>
    <col min="8" max="8" width="8.88671875" style="1" customWidth="1"/>
    <col min="9" max="9" width="9.10546875" style="1" customWidth="1"/>
    <col min="10" max="10" width="10.21484375" style="1" customWidth="1"/>
    <col min="11" max="11" width="9.88671875" style="1" customWidth="1"/>
    <col min="12" max="12" width="10.10546875" style="1" customWidth="1"/>
    <col min="13" max="13" width="9.99609375" style="1" customWidth="1"/>
    <col min="14" max="14" width="9.4453125" style="1" customWidth="1"/>
    <col min="15" max="15" width="11.10546875" style="1" customWidth="1"/>
    <col min="16" max="16" width="9.99609375" style="1" customWidth="1"/>
    <col min="17" max="17" width="10.88671875" style="1" customWidth="1"/>
    <col min="18" max="18" width="12.77734375" style="1" customWidth="1"/>
  </cols>
  <sheetData>
    <row r="1" spans="1:17" ht="23.25">
      <c r="A1" s="93" t="s">
        <v>140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23.25">
      <c r="A2" s="9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3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3.25">
      <c r="A4" s="5" t="s">
        <v>183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ht="18.75">
      <c r="A5" s="6"/>
      <c r="B5" s="6"/>
      <c r="C5" s="6"/>
      <c r="D5" s="6"/>
      <c r="E5" s="96">
        <v>1999</v>
      </c>
      <c r="F5" s="96">
        <v>2000</v>
      </c>
      <c r="G5" s="96">
        <v>2001</v>
      </c>
      <c r="H5"/>
      <c r="I5"/>
      <c r="J5"/>
      <c r="K5"/>
      <c r="L5"/>
      <c r="M5"/>
      <c r="N5"/>
      <c r="O5"/>
      <c r="P5"/>
      <c r="Q5"/>
      <c r="R5"/>
    </row>
    <row r="6" spans="1:18" ht="15">
      <c r="A6" s="7" t="s">
        <v>1</v>
      </c>
      <c r="B6" s="84" t="s">
        <v>2</v>
      </c>
      <c r="C6" s="85"/>
      <c r="D6" s="86"/>
      <c r="E6" s="11"/>
      <c r="F6" s="11"/>
      <c r="G6" s="11"/>
      <c r="H6"/>
      <c r="I6"/>
      <c r="J6"/>
      <c r="K6"/>
      <c r="L6"/>
      <c r="M6"/>
      <c r="N6"/>
      <c r="O6"/>
      <c r="P6"/>
      <c r="Q6"/>
      <c r="R6"/>
    </row>
    <row r="7" spans="1:18" ht="15">
      <c r="A7" s="14" t="s">
        <v>150</v>
      </c>
      <c r="B7" s="83"/>
      <c r="C7" s="52"/>
      <c r="D7" s="32"/>
      <c r="E7" s="11"/>
      <c r="F7" s="11"/>
      <c r="G7" s="11"/>
      <c r="H7"/>
      <c r="I7"/>
      <c r="J7"/>
      <c r="K7"/>
      <c r="L7"/>
      <c r="M7"/>
      <c r="N7"/>
      <c r="O7"/>
      <c r="P7"/>
      <c r="Q7"/>
      <c r="R7"/>
    </row>
    <row r="8" spans="1:18" ht="15">
      <c r="A8" s="23" t="s">
        <v>3</v>
      </c>
      <c r="B8" s="24" t="s">
        <v>147</v>
      </c>
      <c r="C8" s="21"/>
      <c r="D8" s="18"/>
      <c r="E8" s="22"/>
      <c r="F8" s="22"/>
      <c r="G8" s="22"/>
      <c r="H8"/>
      <c r="I8"/>
      <c r="J8"/>
      <c r="K8"/>
      <c r="L8"/>
      <c r="M8"/>
      <c r="N8"/>
      <c r="O8"/>
      <c r="P8"/>
      <c r="Q8"/>
      <c r="R8"/>
    </row>
    <row r="9" spans="1:18" ht="15">
      <c r="A9" s="19"/>
      <c r="B9" s="20" t="s">
        <v>134</v>
      </c>
      <c r="C9" s="21"/>
      <c r="D9" s="18"/>
      <c r="E9" s="22">
        <v>115000000</v>
      </c>
      <c r="F9" s="22">
        <f>(E9*0.12)+E9</f>
        <v>128800000</v>
      </c>
      <c r="G9" s="22">
        <f>(F9*0.12)+F9</f>
        <v>144256000</v>
      </c>
      <c r="H9"/>
      <c r="I9"/>
      <c r="J9"/>
      <c r="K9"/>
      <c r="L9"/>
      <c r="M9"/>
      <c r="N9"/>
      <c r="O9"/>
      <c r="P9"/>
      <c r="Q9"/>
      <c r="R9"/>
    </row>
    <row r="10" spans="1:18" ht="15">
      <c r="A10" s="19"/>
      <c r="B10" s="20" t="s">
        <v>135</v>
      </c>
      <c r="C10" s="21"/>
      <c r="D10" s="81"/>
      <c r="E10" s="22">
        <v>43875000</v>
      </c>
      <c r="F10" s="22">
        <f>(E10*0.12)+E10</f>
        <v>49140000</v>
      </c>
      <c r="G10" s="22">
        <f>(F10*0.12)+F10</f>
        <v>55036800</v>
      </c>
      <c r="H10"/>
      <c r="I10"/>
      <c r="J10"/>
      <c r="K10"/>
      <c r="L10"/>
      <c r="M10"/>
      <c r="N10"/>
      <c r="O10"/>
      <c r="P10"/>
      <c r="Q10"/>
      <c r="R10"/>
    </row>
    <row r="11" spans="1:18" ht="15">
      <c r="A11" s="19"/>
      <c r="B11" s="20" t="s">
        <v>136</v>
      </c>
      <c r="C11" s="21"/>
      <c r="D11" s="81"/>
      <c r="E11" s="22">
        <v>15000000</v>
      </c>
      <c r="F11" s="22">
        <f>(E11*0.12)+E11</f>
        <v>16800000</v>
      </c>
      <c r="G11" s="22">
        <f>(F11*0.12)+F11</f>
        <v>18816000</v>
      </c>
      <c r="H11"/>
      <c r="I11"/>
      <c r="J11"/>
      <c r="K11"/>
      <c r="L11"/>
      <c r="M11"/>
      <c r="N11"/>
      <c r="O11"/>
      <c r="P11"/>
      <c r="Q11"/>
      <c r="R11"/>
    </row>
    <row r="12" spans="1:18" ht="15">
      <c r="A12" s="19"/>
      <c r="B12" s="20" t="s">
        <v>139</v>
      </c>
      <c r="C12" s="21"/>
      <c r="D12" s="81"/>
      <c r="E12" s="22">
        <v>275000000</v>
      </c>
      <c r="F12" s="22">
        <f>(E12*0.12)+E12</f>
        <v>308000000</v>
      </c>
      <c r="G12" s="22">
        <f>(F12*0.12)+F12</f>
        <v>344960000</v>
      </c>
      <c r="H12"/>
      <c r="I12"/>
      <c r="J12"/>
      <c r="K12"/>
      <c r="L12"/>
      <c r="M12"/>
      <c r="N12"/>
      <c r="O12"/>
      <c r="P12"/>
      <c r="Q12"/>
      <c r="R12"/>
    </row>
    <row r="13" spans="1:18" ht="15">
      <c r="A13" s="19" t="s">
        <v>4</v>
      </c>
      <c r="B13" s="21" t="s">
        <v>178</v>
      </c>
      <c r="C13" s="25"/>
      <c r="D13" s="20"/>
      <c r="E13" s="22">
        <v>40000000</v>
      </c>
      <c r="F13" s="22">
        <f>(E13*0.12)+E13</f>
        <v>44800000</v>
      </c>
      <c r="G13" s="22">
        <f>(F13*0.12)+F13</f>
        <v>50176000</v>
      </c>
      <c r="H13"/>
      <c r="I13"/>
      <c r="J13"/>
      <c r="K13"/>
      <c r="L13"/>
      <c r="M13"/>
      <c r="N13"/>
      <c r="O13"/>
      <c r="P13"/>
      <c r="Q13"/>
      <c r="R13"/>
    </row>
    <row r="14" spans="1:18" ht="15">
      <c r="A14" s="27" t="s">
        <v>181</v>
      </c>
      <c r="B14" s="28"/>
      <c r="C14" s="21"/>
      <c r="D14" s="20"/>
      <c r="E14" s="22"/>
      <c r="F14" s="22"/>
      <c r="G14" s="22"/>
      <c r="H14"/>
      <c r="I14"/>
      <c r="J14"/>
      <c r="K14"/>
      <c r="L14"/>
      <c r="M14"/>
      <c r="N14"/>
      <c r="O14"/>
      <c r="P14"/>
      <c r="Q14"/>
      <c r="R14"/>
    </row>
    <row r="15" spans="1:18" ht="15">
      <c r="A15" s="23" t="s">
        <v>3</v>
      </c>
      <c r="B15" s="31" t="s">
        <v>6</v>
      </c>
      <c r="C15" s="16"/>
      <c r="D15" s="17"/>
      <c r="E15" s="32"/>
      <c r="F15" s="32"/>
      <c r="G15" s="32"/>
      <c r="H15"/>
      <c r="I15"/>
      <c r="J15"/>
      <c r="K15"/>
      <c r="L15"/>
      <c r="M15"/>
      <c r="N15"/>
      <c r="O15"/>
      <c r="P15"/>
      <c r="Q15"/>
      <c r="R15"/>
    </row>
    <row r="16" spans="1:18" ht="15">
      <c r="A16" s="19"/>
      <c r="B16" s="21" t="s">
        <v>7</v>
      </c>
      <c r="C16" s="25"/>
      <c r="D16" s="20"/>
      <c r="E16" s="22">
        <v>177000000</v>
      </c>
      <c r="F16" s="22">
        <f>(E16*0.12)+E16</f>
        <v>198240000</v>
      </c>
      <c r="G16" s="22">
        <f>(F16*0.12)+F16</f>
        <v>222028800</v>
      </c>
      <c r="H16"/>
      <c r="I16"/>
      <c r="J16"/>
      <c r="K16"/>
      <c r="L16"/>
      <c r="M16"/>
      <c r="N16"/>
      <c r="O16"/>
      <c r="P16"/>
      <c r="Q16"/>
      <c r="R16"/>
    </row>
    <row r="17" spans="1:18" ht="15">
      <c r="A17" s="19"/>
      <c r="B17" s="21" t="s">
        <v>176</v>
      </c>
      <c r="C17" s="25"/>
      <c r="D17" s="20"/>
      <c r="E17" s="29">
        <v>400000000</v>
      </c>
      <c r="F17" s="22">
        <f>(E17*0.12)+E17</f>
        <v>448000000</v>
      </c>
      <c r="G17" s="22">
        <f>(F17*0.12)+F17</f>
        <v>501760000</v>
      </c>
      <c r="H17"/>
      <c r="I17"/>
      <c r="J17"/>
      <c r="K17"/>
      <c r="L17"/>
      <c r="M17"/>
      <c r="N17"/>
      <c r="O17"/>
      <c r="P17"/>
      <c r="Q17"/>
      <c r="R17"/>
    </row>
    <row r="18" spans="1:18" ht="15">
      <c r="A18" s="37"/>
      <c r="B18" s="38" t="s">
        <v>109</v>
      </c>
      <c r="C18" s="38"/>
      <c r="D18" s="36"/>
      <c r="E18" s="39">
        <f>SUM(E8:E17)</f>
        <v>1065875000</v>
      </c>
      <c r="F18" s="39">
        <f>SUM(F8:F17)</f>
        <v>1193780000</v>
      </c>
      <c r="G18" s="39">
        <f>SUM(G8:G17)</f>
        <v>1337033600</v>
      </c>
      <c r="H18"/>
      <c r="I18"/>
      <c r="J18"/>
      <c r="K18"/>
      <c r="L18"/>
      <c r="M18"/>
      <c r="N18"/>
      <c r="O18"/>
      <c r="P18"/>
      <c r="Q18"/>
      <c r="R18"/>
    </row>
    <row r="19" spans="1:18" ht="15">
      <c r="A19" s="44" t="s">
        <v>11</v>
      </c>
      <c r="B19" s="4" t="s">
        <v>12</v>
      </c>
      <c r="C19" s="45"/>
      <c r="D19" s="46"/>
      <c r="E19" s="47"/>
      <c r="F19" s="47"/>
      <c r="G19" s="47"/>
      <c r="H19"/>
      <c r="I19"/>
      <c r="J19"/>
      <c r="K19"/>
      <c r="L19"/>
      <c r="M19"/>
      <c r="N19"/>
      <c r="O19"/>
      <c r="P19"/>
      <c r="Q19"/>
      <c r="R19"/>
    </row>
    <row r="20" spans="1:18" ht="15">
      <c r="A20" s="27" t="s">
        <v>155</v>
      </c>
      <c r="B20" s="15"/>
      <c r="C20" s="16"/>
      <c r="D20" s="17"/>
      <c r="E20" s="11"/>
      <c r="F20" s="11"/>
      <c r="G20" s="11"/>
      <c r="H20"/>
      <c r="I20"/>
      <c r="J20"/>
      <c r="K20"/>
      <c r="L20"/>
      <c r="M20"/>
      <c r="N20"/>
      <c r="O20"/>
      <c r="P20"/>
      <c r="Q20"/>
      <c r="R20"/>
    </row>
    <row r="21" spans="1:18" ht="15">
      <c r="A21" s="34"/>
      <c r="B21" s="21" t="s">
        <v>117</v>
      </c>
      <c r="C21" s="25"/>
      <c r="D21" s="20"/>
      <c r="E21" s="30">
        <v>2000000</v>
      </c>
      <c r="F21" s="22">
        <f>(E21*0.05)+E21</f>
        <v>2100000</v>
      </c>
      <c r="G21" s="22">
        <f>(F21*0.05)+F21</f>
        <v>2205000</v>
      </c>
      <c r="H21"/>
      <c r="I21"/>
      <c r="J21"/>
      <c r="K21"/>
      <c r="L21"/>
      <c r="M21"/>
      <c r="N21"/>
      <c r="O21"/>
      <c r="P21"/>
      <c r="Q21"/>
      <c r="R21"/>
    </row>
    <row r="22" spans="1:18" ht="15">
      <c r="A22" s="34"/>
      <c r="B22" s="21" t="s">
        <v>15</v>
      </c>
      <c r="C22" s="25"/>
      <c r="D22" s="20"/>
      <c r="E22" s="30">
        <v>3000000</v>
      </c>
      <c r="F22" s="22">
        <f>(E22*0.05)+E22</f>
        <v>3150000</v>
      </c>
      <c r="G22" s="22">
        <f>(F22*0.05)+F22</f>
        <v>3307500</v>
      </c>
      <c r="H22"/>
      <c r="I22"/>
      <c r="J22"/>
      <c r="K22"/>
      <c r="L22"/>
      <c r="M22"/>
      <c r="N22"/>
      <c r="O22"/>
      <c r="P22"/>
      <c r="Q22"/>
      <c r="R22"/>
    </row>
    <row r="23" spans="1:18" ht="15">
      <c r="A23" s="34"/>
      <c r="B23" s="21" t="s">
        <v>16</v>
      </c>
      <c r="C23" s="25"/>
      <c r="D23" s="20"/>
      <c r="E23" s="30">
        <v>2000000</v>
      </c>
      <c r="F23" s="22">
        <f>(E23*0.05)+E23</f>
        <v>2100000</v>
      </c>
      <c r="G23" s="22">
        <f>(F23*0.05)+F23</f>
        <v>2205000</v>
      </c>
      <c r="H23"/>
      <c r="I23"/>
      <c r="J23"/>
      <c r="K23"/>
      <c r="L23"/>
      <c r="M23"/>
      <c r="N23"/>
      <c r="O23"/>
      <c r="P23"/>
      <c r="Q23"/>
      <c r="R23"/>
    </row>
    <row r="24" spans="1:18" ht="15">
      <c r="A24" s="34"/>
      <c r="B24" s="21" t="s">
        <v>17</v>
      </c>
      <c r="C24" s="25"/>
      <c r="D24" s="20"/>
      <c r="E24" s="51">
        <v>13000000</v>
      </c>
      <c r="F24" s="22">
        <f>(E24*0.05)+E24</f>
        <v>13650000</v>
      </c>
      <c r="G24" s="22">
        <f>(F24*0.05)+F24</f>
        <v>14332500</v>
      </c>
      <c r="H24"/>
      <c r="I24"/>
      <c r="J24"/>
      <c r="K24"/>
      <c r="L24"/>
      <c r="M24"/>
      <c r="N24"/>
      <c r="O24"/>
      <c r="P24"/>
      <c r="Q24"/>
      <c r="R24"/>
    </row>
    <row r="25" spans="1:18" ht="14.25" customHeight="1">
      <c r="A25" s="34"/>
      <c r="B25" s="21" t="s">
        <v>10</v>
      </c>
      <c r="C25" s="25"/>
      <c r="D25" s="20"/>
      <c r="E25" s="30"/>
      <c r="F25" s="30"/>
      <c r="G25" s="30"/>
      <c r="H25"/>
      <c r="I25"/>
      <c r="J25"/>
      <c r="K25"/>
      <c r="L25"/>
      <c r="M25"/>
      <c r="N25"/>
      <c r="O25"/>
      <c r="P25"/>
      <c r="Q25"/>
      <c r="R25"/>
    </row>
    <row r="26" spans="1:18" ht="14.25" customHeight="1">
      <c r="A26" s="27" t="s">
        <v>159</v>
      </c>
      <c r="B26" s="15"/>
      <c r="C26" s="16"/>
      <c r="D26" s="17"/>
      <c r="E26" s="11"/>
      <c r="F26" s="11"/>
      <c r="G26" s="11"/>
      <c r="H26"/>
      <c r="I26"/>
      <c r="J26"/>
      <c r="K26"/>
      <c r="L26"/>
      <c r="M26"/>
      <c r="N26"/>
      <c r="O26"/>
      <c r="P26"/>
      <c r="Q26"/>
      <c r="R26"/>
    </row>
    <row r="27" spans="1:18" ht="15">
      <c r="A27" s="34"/>
      <c r="B27" s="21" t="s">
        <v>20</v>
      </c>
      <c r="C27" s="25"/>
      <c r="D27" s="20"/>
      <c r="E27" s="30">
        <v>100000</v>
      </c>
      <c r="F27" s="22">
        <f>(E27*0.05)+E27</f>
        <v>105000</v>
      </c>
      <c r="G27" s="22">
        <f>(F27*0.05)+F27</f>
        <v>110250</v>
      </c>
      <c r="H27"/>
      <c r="I27"/>
      <c r="J27"/>
      <c r="K27"/>
      <c r="L27"/>
      <c r="M27"/>
      <c r="N27"/>
      <c r="O27"/>
      <c r="P27"/>
      <c r="Q27"/>
      <c r="R27"/>
    </row>
    <row r="28" spans="1:18" ht="15">
      <c r="A28" s="34"/>
      <c r="B28" s="21" t="s">
        <v>23</v>
      </c>
      <c r="C28" s="25"/>
      <c r="D28" s="20"/>
      <c r="E28" s="30">
        <v>4851000</v>
      </c>
      <c r="F28" s="22">
        <f>(E28*0.05)+E28</f>
        <v>5093550</v>
      </c>
      <c r="G28" s="22">
        <f>(F28*0.05)+F28</f>
        <v>5348227.5</v>
      </c>
      <c r="H28"/>
      <c r="I28"/>
      <c r="J28"/>
      <c r="K28"/>
      <c r="L28"/>
      <c r="M28"/>
      <c r="N28"/>
      <c r="O28"/>
      <c r="P28"/>
      <c r="Q28"/>
      <c r="R28"/>
    </row>
    <row r="29" spans="1:18" ht="15">
      <c r="A29" s="34"/>
      <c r="B29" s="21" t="s">
        <v>24</v>
      </c>
      <c r="C29" s="25"/>
      <c r="D29" s="20"/>
      <c r="E29" s="30">
        <v>2618000</v>
      </c>
      <c r="F29" s="22">
        <f>(E29*0.05)+E29</f>
        <v>2748900</v>
      </c>
      <c r="G29" s="22">
        <f>(F29*0.05)+F29</f>
        <v>2886345</v>
      </c>
      <c r="H29"/>
      <c r="I29"/>
      <c r="J29"/>
      <c r="K29"/>
      <c r="L29"/>
      <c r="M29"/>
      <c r="N29"/>
      <c r="O29"/>
      <c r="P29"/>
      <c r="Q29"/>
      <c r="R29"/>
    </row>
    <row r="30" spans="1:18" ht="15">
      <c r="A30" s="34"/>
      <c r="B30" s="21" t="s">
        <v>119</v>
      </c>
      <c r="C30" s="25"/>
      <c r="D30" s="20"/>
      <c r="E30" s="30">
        <v>3550000</v>
      </c>
      <c r="F30" s="22">
        <f>(E30*0.05)+E30</f>
        <v>3727500</v>
      </c>
      <c r="G30" s="22">
        <f>(F30*0.05)+F30</f>
        <v>3913875</v>
      </c>
      <c r="H30"/>
      <c r="I30"/>
      <c r="J30"/>
      <c r="K30"/>
      <c r="L30"/>
      <c r="M30"/>
      <c r="N30"/>
      <c r="O30"/>
      <c r="P30"/>
      <c r="Q30"/>
      <c r="R30"/>
    </row>
    <row r="31" spans="1:18" ht="15">
      <c r="A31" s="34"/>
      <c r="B31" s="21" t="s">
        <v>120</v>
      </c>
      <c r="C31" s="25"/>
      <c r="D31" s="20"/>
      <c r="E31" s="56">
        <v>3000000</v>
      </c>
      <c r="F31" s="22">
        <f>(E31*0.05)+E31</f>
        <v>3150000</v>
      </c>
      <c r="G31" s="22">
        <f>(F31*0.05)+F31</f>
        <v>3307500</v>
      </c>
      <c r="H31"/>
      <c r="I31"/>
      <c r="J31"/>
      <c r="K31"/>
      <c r="L31"/>
      <c r="M31"/>
      <c r="N31"/>
      <c r="O31"/>
      <c r="P31"/>
      <c r="Q31"/>
      <c r="R31"/>
    </row>
    <row r="32" spans="1:18" ht="15">
      <c r="A32" s="34"/>
      <c r="B32" s="21" t="s">
        <v>171</v>
      </c>
      <c r="C32" s="25"/>
      <c r="D32" s="20"/>
      <c r="E32" s="30">
        <v>154212500</v>
      </c>
      <c r="F32" s="22">
        <f>(E32*0.05)+E32</f>
        <v>161923125</v>
      </c>
      <c r="G32" s="22">
        <f>(F32*0.05)+F32</f>
        <v>170019281.25</v>
      </c>
      <c r="H32"/>
      <c r="I32"/>
      <c r="J32"/>
      <c r="K32"/>
      <c r="L32"/>
      <c r="M32"/>
      <c r="N32"/>
      <c r="O32"/>
      <c r="P32"/>
      <c r="Q32"/>
      <c r="R32"/>
    </row>
    <row r="33" spans="1:18" ht="15">
      <c r="A33" s="34"/>
      <c r="B33" s="21" t="s">
        <v>172</v>
      </c>
      <c r="C33" s="25"/>
      <c r="D33" s="20"/>
      <c r="E33" s="30">
        <v>60000000</v>
      </c>
      <c r="F33" s="22">
        <f>(E33*0.05)+E33</f>
        <v>63000000</v>
      </c>
      <c r="G33" s="22">
        <f>(F33*0.05)+F33</f>
        <v>66150000</v>
      </c>
      <c r="H33"/>
      <c r="I33"/>
      <c r="J33"/>
      <c r="K33"/>
      <c r="L33"/>
      <c r="M33"/>
      <c r="N33"/>
      <c r="O33"/>
      <c r="P33"/>
      <c r="Q33"/>
      <c r="R33"/>
    </row>
    <row r="34" spans="1:18" ht="15">
      <c r="A34" s="34"/>
      <c r="B34" s="21" t="s">
        <v>105</v>
      </c>
      <c r="C34" s="25"/>
      <c r="D34" s="20"/>
      <c r="E34" s="30">
        <v>296000000</v>
      </c>
      <c r="F34" s="22">
        <f>(E34*0.05)+E34</f>
        <v>310800000</v>
      </c>
      <c r="G34" s="22">
        <f>(F34*0.05)+F34</f>
        <v>326340000</v>
      </c>
      <c r="H34"/>
      <c r="I34"/>
      <c r="J34"/>
      <c r="K34"/>
      <c r="L34"/>
      <c r="M34"/>
      <c r="N34"/>
      <c r="O34"/>
      <c r="P34"/>
      <c r="Q34"/>
      <c r="R34"/>
    </row>
    <row r="35" spans="1:18" ht="15">
      <c r="A35" s="34"/>
      <c r="B35" s="21" t="s">
        <v>30</v>
      </c>
      <c r="C35" s="25"/>
      <c r="D35" s="20"/>
      <c r="E35" s="30">
        <v>10000000</v>
      </c>
      <c r="F35" s="22">
        <f>(E35*0.05)+E35</f>
        <v>10500000</v>
      </c>
      <c r="G35" s="22">
        <f>(F35*0.05)+F35</f>
        <v>11025000</v>
      </c>
      <c r="H35"/>
      <c r="I35"/>
      <c r="J35"/>
      <c r="K35"/>
      <c r="L35"/>
      <c r="M35"/>
      <c r="N35"/>
      <c r="O35"/>
      <c r="P35"/>
      <c r="Q35"/>
      <c r="R35"/>
    </row>
    <row r="36" spans="1:18" ht="15">
      <c r="A36" s="34"/>
      <c r="B36" s="21" t="s">
        <v>31</v>
      </c>
      <c r="C36" s="25"/>
      <c r="D36" s="20"/>
      <c r="E36" s="30">
        <f>600000*15</f>
        <v>9000000</v>
      </c>
      <c r="F36" s="22">
        <f>(E36*0.05)+E36</f>
        <v>9450000</v>
      </c>
      <c r="G36" s="22">
        <f>(F36*0.05)+F36</f>
        <v>9922500</v>
      </c>
      <c r="H36"/>
      <c r="I36"/>
      <c r="J36"/>
      <c r="K36"/>
      <c r="L36"/>
      <c r="M36"/>
      <c r="N36"/>
      <c r="O36"/>
      <c r="P36"/>
      <c r="Q36"/>
      <c r="R36"/>
    </row>
    <row r="37" spans="1:18" ht="15">
      <c r="A37" s="34"/>
      <c r="B37" s="21" t="s">
        <v>121</v>
      </c>
      <c r="C37" s="25"/>
      <c r="D37" s="20"/>
      <c r="E37" s="30">
        <v>3800000</v>
      </c>
      <c r="F37" s="22">
        <f>(E37*0.05)+E37</f>
        <v>3990000</v>
      </c>
      <c r="G37" s="22">
        <f>(F37*0.05)+F37</f>
        <v>4189500</v>
      </c>
      <c r="H37"/>
      <c r="I37"/>
      <c r="J37"/>
      <c r="K37"/>
      <c r="L37"/>
      <c r="M37"/>
      <c r="N37"/>
      <c r="O37"/>
      <c r="P37"/>
      <c r="Q37"/>
      <c r="R37"/>
    </row>
    <row r="38" spans="1:18" ht="15">
      <c r="A38" s="34"/>
      <c r="B38" s="21" t="s">
        <v>32</v>
      </c>
      <c r="C38" s="25"/>
      <c r="D38" s="20"/>
      <c r="E38" s="30">
        <v>6500000</v>
      </c>
      <c r="F38" s="22">
        <f>(E38*0.05)+E38</f>
        <v>6825000</v>
      </c>
      <c r="G38" s="22">
        <f>(F38*0.05)+F38</f>
        <v>7166250</v>
      </c>
      <c r="H38"/>
      <c r="I38"/>
      <c r="J38"/>
      <c r="K38"/>
      <c r="L38"/>
      <c r="M38"/>
      <c r="N38"/>
      <c r="O38"/>
      <c r="P38"/>
      <c r="Q38"/>
      <c r="R38"/>
    </row>
    <row r="39" spans="1:18" ht="15">
      <c r="A39" s="34"/>
      <c r="B39" s="21" t="s">
        <v>33</v>
      </c>
      <c r="C39" s="25"/>
      <c r="D39" s="20"/>
      <c r="E39" s="30">
        <v>7000000</v>
      </c>
      <c r="F39" s="22">
        <f>(E39*0.05)+E39</f>
        <v>7350000</v>
      </c>
      <c r="G39" s="22">
        <f>(F39*0.05)+F39</f>
        <v>7717500</v>
      </c>
      <c r="H39"/>
      <c r="I39"/>
      <c r="J39"/>
      <c r="K39"/>
      <c r="L39"/>
      <c r="M39"/>
      <c r="N39"/>
      <c r="O39"/>
      <c r="P39"/>
      <c r="Q39"/>
      <c r="R39"/>
    </row>
    <row r="40" spans="1:18" ht="15">
      <c r="A40" s="34"/>
      <c r="B40" s="21" t="s">
        <v>122</v>
      </c>
      <c r="C40" s="25"/>
      <c r="D40" s="20"/>
      <c r="E40" s="30">
        <v>2300000</v>
      </c>
      <c r="F40" s="22">
        <f>(E40*0.05)+E40</f>
        <v>2415000</v>
      </c>
      <c r="G40" s="22">
        <f>(F40*0.05)+F40</f>
        <v>2535750</v>
      </c>
      <c r="H40"/>
      <c r="I40"/>
      <c r="J40"/>
      <c r="K40"/>
      <c r="L40"/>
      <c r="M40"/>
      <c r="N40"/>
      <c r="O40"/>
      <c r="P40"/>
      <c r="Q40"/>
      <c r="R40"/>
    </row>
    <row r="41" spans="1:18" ht="15">
      <c r="A41" s="34"/>
      <c r="B41" s="53" t="s">
        <v>34</v>
      </c>
      <c r="C41" s="35"/>
      <c r="D41" s="36"/>
      <c r="E41" s="29">
        <v>500000</v>
      </c>
      <c r="F41" s="22">
        <f>(E41*0.05)+E41</f>
        <v>525000</v>
      </c>
      <c r="G41" s="22">
        <f>(F41*0.05)+F41</f>
        <v>551250</v>
      </c>
      <c r="H41"/>
      <c r="I41"/>
      <c r="J41"/>
      <c r="K41"/>
      <c r="L41"/>
      <c r="M41"/>
      <c r="N41"/>
      <c r="O41"/>
      <c r="P41"/>
      <c r="Q41"/>
      <c r="R41"/>
    </row>
    <row r="42" spans="1:18" ht="15">
      <c r="A42" s="34"/>
      <c r="B42" s="21" t="s">
        <v>35</v>
      </c>
      <c r="C42" s="25"/>
      <c r="D42" s="20"/>
      <c r="E42" s="30">
        <v>500000</v>
      </c>
      <c r="F42" s="22">
        <f>(E42*0.05)+E42</f>
        <v>525000</v>
      </c>
      <c r="G42" s="22">
        <f>(F42*0.05)+F42</f>
        <v>551250</v>
      </c>
      <c r="H42"/>
      <c r="I42"/>
      <c r="J42"/>
      <c r="K42"/>
      <c r="L42"/>
      <c r="M42"/>
      <c r="N42"/>
      <c r="O42"/>
      <c r="P42"/>
      <c r="Q42"/>
      <c r="R42"/>
    </row>
    <row r="43" spans="1:18" ht="15">
      <c r="A43" s="34"/>
      <c r="B43" s="21" t="s">
        <v>108</v>
      </c>
      <c r="C43" s="25"/>
      <c r="D43" s="20"/>
      <c r="E43" s="30">
        <v>500000</v>
      </c>
      <c r="F43" s="22">
        <f>(E43*0.05)+E43</f>
        <v>525000</v>
      </c>
      <c r="G43" s="22">
        <f>(F43*0.05)+F43</f>
        <v>551250</v>
      </c>
      <c r="H43"/>
      <c r="I43"/>
      <c r="J43"/>
      <c r="K43"/>
      <c r="L43"/>
      <c r="M43"/>
      <c r="N43"/>
      <c r="O43"/>
      <c r="P43"/>
      <c r="Q43"/>
      <c r="R43"/>
    </row>
    <row r="44" spans="1:18" ht="15">
      <c r="A44" s="60" t="s">
        <v>160</v>
      </c>
      <c r="B44" s="15"/>
      <c r="C44" s="16"/>
      <c r="D44" s="17"/>
      <c r="E44" s="22"/>
      <c r="F44" s="22"/>
      <c r="G44" s="22"/>
      <c r="H44"/>
      <c r="I44"/>
      <c r="J44"/>
      <c r="K44"/>
      <c r="L44"/>
      <c r="M44"/>
      <c r="N44"/>
      <c r="O44"/>
      <c r="P44"/>
      <c r="Q44"/>
      <c r="R44"/>
    </row>
    <row r="45" spans="1:18" ht="15">
      <c r="A45" s="34"/>
      <c r="B45" s="21" t="s">
        <v>123</v>
      </c>
      <c r="C45" s="25"/>
      <c r="D45" s="20"/>
      <c r="E45" s="30">
        <v>42000000</v>
      </c>
      <c r="F45" s="22">
        <f>(E45*0.05)+E45</f>
        <v>44100000</v>
      </c>
      <c r="G45" s="22">
        <f>(F45*0.05)+F45</f>
        <v>46305000</v>
      </c>
      <c r="H45"/>
      <c r="I45"/>
      <c r="J45"/>
      <c r="K45"/>
      <c r="L45"/>
      <c r="M45"/>
      <c r="N45"/>
      <c r="O45"/>
      <c r="P45"/>
      <c r="Q45"/>
      <c r="R45"/>
    </row>
    <row r="46" spans="1:18" ht="15">
      <c r="A46" s="27" t="s">
        <v>161</v>
      </c>
      <c r="B46" s="15"/>
      <c r="C46" s="16"/>
      <c r="D46" s="17"/>
      <c r="E46" s="11"/>
      <c r="F46" s="11"/>
      <c r="G46" s="11"/>
      <c r="H46"/>
      <c r="I46"/>
      <c r="J46"/>
      <c r="K46"/>
      <c r="L46"/>
      <c r="M46"/>
      <c r="N46"/>
      <c r="O46"/>
      <c r="P46"/>
      <c r="Q46"/>
      <c r="R46"/>
    </row>
    <row r="47" spans="1:18" ht="15">
      <c r="A47" s="34"/>
      <c r="B47" s="21" t="s">
        <v>39</v>
      </c>
      <c r="C47" s="25"/>
      <c r="D47" s="20"/>
      <c r="E47" s="29">
        <v>319000000</v>
      </c>
      <c r="F47" s="22">
        <f>(E47*0.01)+E47</f>
        <v>322190000</v>
      </c>
      <c r="G47" s="22">
        <f>(F47*0.01)+F47</f>
        <v>325411900</v>
      </c>
      <c r="H47"/>
      <c r="I47"/>
      <c r="J47"/>
      <c r="K47"/>
      <c r="L47"/>
      <c r="M47"/>
      <c r="N47"/>
      <c r="O47"/>
      <c r="P47"/>
      <c r="Q47"/>
      <c r="R47"/>
    </row>
    <row r="48" spans="1:18" ht="15">
      <c r="A48" s="34"/>
      <c r="B48" s="21" t="s">
        <v>103</v>
      </c>
      <c r="C48" s="25"/>
      <c r="D48" s="20"/>
      <c r="E48" s="30">
        <v>110000000</v>
      </c>
      <c r="F48" s="22">
        <f>(E48*0.01)+E48</f>
        <v>111100000</v>
      </c>
      <c r="G48" s="22">
        <f>(F48*0.01)+F48</f>
        <v>112211000</v>
      </c>
      <c r="H48"/>
      <c r="I48"/>
      <c r="J48"/>
      <c r="K48"/>
      <c r="L48"/>
      <c r="M48"/>
      <c r="N48"/>
      <c r="O48"/>
      <c r="P48"/>
      <c r="Q48"/>
      <c r="R48"/>
    </row>
    <row r="49" spans="1:18" ht="15">
      <c r="A49" s="34"/>
      <c r="B49" s="21" t="s">
        <v>40</v>
      </c>
      <c r="C49" s="25"/>
      <c r="D49" s="20"/>
      <c r="E49" s="30">
        <v>29000000</v>
      </c>
      <c r="F49" s="22">
        <f>(E49*0.01)+E49</f>
        <v>29290000</v>
      </c>
      <c r="G49" s="22">
        <f>(F49*0.01)+F49</f>
        <v>29582900</v>
      </c>
      <c r="H49"/>
      <c r="I49"/>
      <c r="J49"/>
      <c r="K49"/>
      <c r="L49"/>
      <c r="M49"/>
      <c r="N49"/>
      <c r="O49"/>
      <c r="P49"/>
      <c r="Q49"/>
      <c r="R49"/>
    </row>
    <row r="50" spans="1:18" ht="15">
      <c r="A50" s="34"/>
      <c r="B50" s="21" t="s">
        <v>41</v>
      </c>
      <c r="C50" s="25"/>
      <c r="D50" s="20"/>
      <c r="E50" s="51">
        <v>8000000</v>
      </c>
      <c r="F50" s="22">
        <f>(E50*0.01)+E50</f>
        <v>8080000</v>
      </c>
      <c r="G50" s="22">
        <f>(F50*0.01)+F50</f>
        <v>8160800</v>
      </c>
      <c r="H50"/>
      <c r="I50"/>
      <c r="J50"/>
      <c r="K50"/>
      <c r="L50"/>
      <c r="M50"/>
      <c r="N50"/>
      <c r="O50"/>
      <c r="P50"/>
      <c r="Q50"/>
      <c r="R50"/>
    </row>
    <row r="51" spans="1:18" ht="15">
      <c r="A51" s="34"/>
      <c r="B51" s="21" t="s">
        <v>42</v>
      </c>
      <c r="C51" s="25"/>
      <c r="D51" s="20"/>
      <c r="E51" s="51">
        <v>17500000</v>
      </c>
      <c r="F51" s="22">
        <f>(E51*0.01)+E51</f>
        <v>17675000</v>
      </c>
      <c r="G51" s="22">
        <f>(F51*0.01)+F51</f>
        <v>17851750</v>
      </c>
      <c r="H51"/>
      <c r="I51"/>
      <c r="J51"/>
      <c r="K51"/>
      <c r="L51"/>
      <c r="M51"/>
      <c r="N51"/>
      <c r="O51"/>
      <c r="P51"/>
      <c r="Q51"/>
      <c r="R51"/>
    </row>
    <row r="52" spans="1:18" ht="15">
      <c r="A52" s="34"/>
      <c r="B52" s="21" t="s">
        <v>43</v>
      </c>
      <c r="C52" s="25"/>
      <c r="D52" s="20"/>
      <c r="E52" s="30">
        <v>4000000</v>
      </c>
      <c r="F52" s="22">
        <f>(E52*0.01)+E52</f>
        <v>4040000</v>
      </c>
      <c r="G52" s="22">
        <f>(F52*0.01)+F52</f>
        <v>4080400</v>
      </c>
      <c r="H52"/>
      <c r="I52"/>
      <c r="J52"/>
      <c r="K52"/>
      <c r="L52"/>
      <c r="M52"/>
      <c r="N52"/>
      <c r="O52"/>
      <c r="P52"/>
      <c r="Q52"/>
      <c r="R52"/>
    </row>
    <row r="53" spans="1:18" ht="15">
      <c r="A53" s="27" t="s">
        <v>162</v>
      </c>
      <c r="B53" s="15"/>
      <c r="C53" s="16"/>
      <c r="D53" s="17"/>
      <c r="E53" s="11"/>
      <c r="F53" s="11"/>
      <c r="G53" s="11"/>
      <c r="H53"/>
      <c r="I53"/>
      <c r="J53"/>
      <c r="K53"/>
      <c r="L53"/>
      <c r="M53"/>
      <c r="N53"/>
      <c r="O53"/>
      <c r="P53"/>
      <c r="Q53"/>
      <c r="R53"/>
    </row>
    <row r="54" spans="1:18" ht="15">
      <c r="A54" s="61"/>
      <c r="B54" s="21" t="s">
        <v>44</v>
      </c>
      <c r="C54" s="25"/>
      <c r="D54" s="20"/>
      <c r="E54" s="29"/>
      <c r="F54" s="29"/>
      <c r="G54" s="29"/>
      <c r="H54"/>
      <c r="I54"/>
      <c r="J54"/>
      <c r="K54"/>
      <c r="L54"/>
      <c r="M54"/>
      <c r="N54"/>
      <c r="O54"/>
      <c r="P54"/>
      <c r="Q54"/>
      <c r="R54"/>
    </row>
    <row r="55" spans="1:18" ht="15">
      <c r="A55" s="27" t="s">
        <v>57</v>
      </c>
      <c r="B55" s="15" t="s">
        <v>58</v>
      </c>
      <c r="C55" s="16"/>
      <c r="D55" s="17"/>
      <c r="E55" s="11"/>
      <c r="F55" s="11"/>
      <c r="G55" s="11"/>
      <c r="H55"/>
      <c r="I55"/>
      <c r="J55"/>
      <c r="K55"/>
      <c r="L55"/>
      <c r="M55"/>
      <c r="N55"/>
      <c r="O55"/>
      <c r="P55"/>
      <c r="Q55"/>
      <c r="R55"/>
    </row>
    <row r="56" spans="1:18" ht="15">
      <c r="A56" s="61"/>
      <c r="B56" s="16" t="s">
        <v>66</v>
      </c>
      <c r="C56" s="6"/>
      <c r="D56" s="17"/>
      <c r="E56" s="11">
        <v>2300000</v>
      </c>
      <c r="F56" s="11"/>
      <c r="G56" s="11"/>
      <c r="H56"/>
      <c r="I56"/>
      <c r="J56"/>
      <c r="K56"/>
      <c r="L56"/>
      <c r="M56"/>
      <c r="N56"/>
      <c r="O56"/>
      <c r="P56"/>
      <c r="Q56"/>
      <c r="R56"/>
    </row>
    <row r="57" spans="1:18" ht="15">
      <c r="A57" s="37"/>
      <c r="B57" s="38" t="s">
        <v>109</v>
      </c>
      <c r="C57" s="38"/>
      <c r="D57" s="36"/>
      <c r="E57" s="39">
        <f>SUM(E21:E56)</f>
        <v>1116231500</v>
      </c>
      <c r="F57" s="39">
        <f>SUM(F21:F56)</f>
        <v>1150128075</v>
      </c>
      <c r="G57" s="39">
        <f>SUM(G21:G56)</f>
        <v>1187939478.75</v>
      </c>
      <c r="H57"/>
      <c r="I57"/>
      <c r="J57"/>
      <c r="K57"/>
      <c r="L57"/>
      <c r="M57"/>
      <c r="N57"/>
      <c r="O57"/>
      <c r="P57"/>
      <c r="Q57"/>
      <c r="R57"/>
    </row>
    <row r="58" spans="1:18" ht="15">
      <c r="A58" s="7" t="s">
        <v>67</v>
      </c>
      <c r="B58" s="62" t="s">
        <v>68</v>
      </c>
      <c r="C58" s="45"/>
      <c r="D58" s="46"/>
      <c r="E58" s="40"/>
      <c r="F58" s="40"/>
      <c r="G58" s="40"/>
      <c r="H58"/>
      <c r="I58"/>
      <c r="J58"/>
      <c r="K58"/>
      <c r="L58"/>
      <c r="M58"/>
      <c r="N58"/>
      <c r="O58"/>
      <c r="P58"/>
      <c r="Q58"/>
      <c r="R58"/>
    </row>
    <row r="59" spans="1:18" ht="15">
      <c r="A59" s="27" t="s">
        <v>69</v>
      </c>
      <c r="B59" s="28" t="s">
        <v>70</v>
      </c>
      <c r="C59" s="21"/>
      <c r="D59" s="20"/>
      <c r="E59" s="22"/>
      <c r="F59" s="22"/>
      <c r="G59" s="22"/>
      <c r="H59"/>
      <c r="I59"/>
      <c r="J59"/>
      <c r="K59"/>
      <c r="L59"/>
      <c r="M59"/>
      <c r="N59"/>
      <c r="O59"/>
      <c r="P59"/>
      <c r="Q59"/>
      <c r="R59"/>
    </row>
    <row r="60" spans="1:18" ht="15">
      <c r="A60" s="27" t="s">
        <v>71</v>
      </c>
      <c r="B60" s="15" t="s">
        <v>72</v>
      </c>
      <c r="C60" s="16"/>
      <c r="D60" s="17"/>
      <c r="E60" s="63"/>
      <c r="F60" s="63"/>
      <c r="G60" s="63"/>
      <c r="H60"/>
      <c r="I60"/>
      <c r="J60"/>
      <c r="K60"/>
      <c r="L60"/>
      <c r="M60"/>
      <c r="N60"/>
      <c r="O60"/>
      <c r="P60"/>
      <c r="Q60"/>
      <c r="R60"/>
    </row>
    <row r="61" spans="1:18" ht="15">
      <c r="A61" s="61"/>
      <c r="B61" s="21" t="s">
        <v>73</v>
      </c>
      <c r="C61" s="25"/>
      <c r="D61" s="20"/>
      <c r="E61" s="90">
        <v>-2500000</v>
      </c>
      <c r="F61" s="90"/>
      <c r="G61" s="90"/>
      <c r="H61"/>
      <c r="I61"/>
      <c r="J61"/>
      <c r="K61"/>
      <c r="L61"/>
      <c r="M61"/>
      <c r="N61"/>
      <c r="O61"/>
      <c r="P61"/>
      <c r="Q61"/>
      <c r="R61"/>
    </row>
    <row r="62" spans="1:18" ht="15">
      <c r="A62" s="27" t="s">
        <v>76</v>
      </c>
      <c r="B62" s="15" t="s">
        <v>77</v>
      </c>
      <c r="C62" s="16"/>
      <c r="D62" s="17"/>
      <c r="E62" s="11"/>
      <c r="F62" s="11"/>
      <c r="G62" s="11"/>
      <c r="H62"/>
      <c r="I62"/>
      <c r="J62"/>
      <c r="K62"/>
      <c r="L62"/>
      <c r="M62"/>
      <c r="N62"/>
      <c r="O62"/>
      <c r="P62"/>
      <c r="Q62"/>
      <c r="R62"/>
    </row>
    <row r="63" spans="1:18" ht="15">
      <c r="A63" s="65"/>
      <c r="B63" s="21" t="s">
        <v>81</v>
      </c>
      <c r="C63" s="25"/>
      <c r="D63" s="20"/>
      <c r="E63" s="89">
        <f>2000000/12</f>
        <v>166666.66666666666</v>
      </c>
      <c r="F63" s="89"/>
      <c r="G63" s="89"/>
      <c r="H63"/>
      <c r="I63"/>
      <c r="J63"/>
      <c r="K63"/>
      <c r="L63"/>
      <c r="M63"/>
      <c r="N63"/>
      <c r="O63"/>
      <c r="P63"/>
      <c r="Q63"/>
      <c r="R63"/>
    </row>
    <row r="64" spans="1:18" ht="15">
      <c r="A64" s="37"/>
      <c r="B64" s="38" t="s">
        <v>109</v>
      </c>
      <c r="C64" s="38"/>
      <c r="D64" s="36"/>
      <c r="E64" s="88"/>
      <c r="F64" s="88"/>
      <c r="G64" s="88"/>
      <c r="H64"/>
      <c r="I64"/>
      <c r="J64"/>
      <c r="K64"/>
      <c r="L64"/>
      <c r="M64"/>
      <c r="N64"/>
      <c r="O64"/>
      <c r="P64"/>
      <c r="Q64"/>
      <c r="R64"/>
    </row>
    <row r="65" spans="1:18" ht="15">
      <c r="A65" s="44" t="s">
        <v>83</v>
      </c>
      <c r="B65" s="4" t="s">
        <v>84</v>
      </c>
      <c r="C65" s="45"/>
      <c r="D65" s="46"/>
      <c r="E65" s="67"/>
      <c r="F65" s="67"/>
      <c r="G65" s="67"/>
      <c r="H65"/>
      <c r="I65"/>
      <c r="J65"/>
      <c r="K65"/>
      <c r="L65"/>
      <c r="M65"/>
      <c r="N65"/>
      <c r="O65"/>
      <c r="P65"/>
      <c r="Q65"/>
      <c r="R65"/>
    </row>
    <row r="66" spans="1:18" ht="15">
      <c r="A66" s="68"/>
      <c r="B66" s="69"/>
      <c r="C66" s="70"/>
      <c r="D66" s="71"/>
      <c r="E66" s="73"/>
      <c r="F66" s="73"/>
      <c r="G66" s="73"/>
      <c r="H66"/>
      <c r="I66"/>
      <c r="J66"/>
      <c r="K66"/>
      <c r="L66"/>
      <c r="M66"/>
      <c r="N66"/>
      <c r="O66"/>
      <c r="P66"/>
      <c r="Q66"/>
      <c r="R66"/>
    </row>
    <row r="67" spans="1:18" ht="15">
      <c r="A67" s="37"/>
      <c r="B67" s="38" t="s">
        <v>109</v>
      </c>
      <c r="C67" s="38"/>
      <c r="D67" s="36"/>
      <c r="E67" s="39"/>
      <c r="F67" s="39"/>
      <c r="G67" s="39"/>
      <c r="H67"/>
      <c r="I67"/>
      <c r="J67"/>
      <c r="K67"/>
      <c r="L67"/>
      <c r="M67"/>
      <c r="N67"/>
      <c r="O67"/>
      <c r="P67"/>
      <c r="Q67"/>
      <c r="R67"/>
    </row>
    <row r="68" spans="1:18" ht="15">
      <c r="A68" s="7" t="s">
        <v>85</v>
      </c>
      <c r="B68" s="8" t="s">
        <v>86</v>
      </c>
      <c r="C68" s="9"/>
      <c r="D68" s="10"/>
      <c r="E68" s="67"/>
      <c r="F68" s="67"/>
      <c r="G68" s="67"/>
      <c r="H68"/>
      <c r="I68"/>
      <c r="J68"/>
      <c r="K68"/>
      <c r="L68"/>
      <c r="M68"/>
      <c r="N68"/>
      <c r="O68"/>
      <c r="P68"/>
      <c r="Q68"/>
      <c r="R68"/>
    </row>
    <row r="69" spans="1:18" ht="15">
      <c r="A69" s="27" t="s">
        <v>97</v>
      </c>
      <c r="B69" s="15" t="s">
        <v>98</v>
      </c>
      <c r="C69" s="16"/>
      <c r="D69" s="17"/>
      <c r="E69" s="32"/>
      <c r="F69" s="32"/>
      <c r="G69" s="32"/>
      <c r="H69"/>
      <c r="I69"/>
      <c r="J69"/>
      <c r="K69"/>
      <c r="L69"/>
      <c r="M69"/>
      <c r="N69"/>
      <c r="O69"/>
      <c r="P69"/>
      <c r="Q69"/>
      <c r="R69"/>
    </row>
    <row r="70" spans="1:18" ht="15">
      <c r="A70" s="34"/>
      <c r="B70" s="21" t="s">
        <v>99</v>
      </c>
      <c r="C70" s="25"/>
      <c r="D70" s="20"/>
      <c r="E70" s="29"/>
      <c r="F70" s="29"/>
      <c r="G70" s="29"/>
      <c r="H70"/>
      <c r="I70"/>
      <c r="J70"/>
      <c r="K70"/>
      <c r="L70"/>
      <c r="M70"/>
      <c r="N70"/>
      <c r="O70"/>
      <c r="P70"/>
      <c r="Q70"/>
      <c r="R70"/>
    </row>
    <row r="71" spans="1:18" ht="15">
      <c r="A71" s="59"/>
      <c r="B71" s="21" t="s">
        <v>100</v>
      </c>
      <c r="C71" s="25"/>
      <c r="D71" s="20"/>
      <c r="E71" s="30">
        <v>20000000</v>
      </c>
      <c r="F71" s="22">
        <f>(E71*0.01)+E71</f>
        <v>20200000</v>
      </c>
      <c r="G71" s="22">
        <f>(F71*0.01)+F71</f>
        <v>20402000</v>
      </c>
      <c r="H71"/>
      <c r="I71"/>
      <c r="J71"/>
      <c r="K71"/>
      <c r="L71"/>
      <c r="M71"/>
      <c r="N71"/>
      <c r="O71"/>
      <c r="P71"/>
      <c r="Q71"/>
      <c r="R71"/>
    </row>
    <row r="72" spans="1:18" ht="15">
      <c r="A72" s="37"/>
      <c r="B72" s="38" t="s">
        <v>109</v>
      </c>
      <c r="C72" s="38"/>
      <c r="D72" s="36"/>
      <c r="E72" s="39">
        <f>SUM(E69:E71)</f>
        <v>20000000</v>
      </c>
      <c r="F72" s="39">
        <f>SUM(F69:F71)</f>
        <v>20200000</v>
      </c>
      <c r="G72" s="39">
        <f>SUM(G69:G71)</f>
        <v>20402000</v>
      </c>
      <c r="H72"/>
      <c r="I72"/>
      <c r="J72"/>
      <c r="K72"/>
      <c r="L72"/>
      <c r="M72"/>
      <c r="N72"/>
      <c r="O72"/>
      <c r="P72"/>
      <c r="Q72"/>
      <c r="R72"/>
    </row>
    <row r="73" spans="1:18" ht="15">
      <c r="A73" s="13"/>
      <c r="B73" s="75"/>
      <c r="C73" s="75"/>
      <c r="D73" s="75"/>
      <c r="E73" s="75"/>
      <c r="F73" s="75"/>
      <c r="G73" s="75"/>
      <c r="H73"/>
      <c r="I73"/>
      <c r="J73"/>
      <c r="K73"/>
      <c r="L73"/>
      <c r="M73"/>
      <c r="N73"/>
      <c r="O73"/>
      <c r="P73"/>
      <c r="Q73"/>
      <c r="R73"/>
    </row>
    <row r="74" spans="1:18" ht="15">
      <c r="A74" s="13"/>
      <c r="B74" s="76" t="s">
        <v>141</v>
      </c>
      <c r="C74" s="76"/>
      <c r="D74" s="75"/>
      <c r="E74" s="39">
        <f>E18</f>
        <v>1065875000</v>
      </c>
      <c r="F74" s="39">
        <f>F18</f>
        <v>1193780000</v>
      </c>
      <c r="G74" s="39">
        <f>G18</f>
        <v>1337033600</v>
      </c>
      <c r="H74"/>
      <c r="I74"/>
      <c r="J74"/>
      <c r="K74"/>
      <c r="L74"/>
      <c r="M74"/>
      <c r="N74"/>
      <c r="O74"/>
      <c r="P74"/>
      <c r="Q74"/>
      <c r="R74"/>
    </row>
    <row r="75" spans="1:18" ht="15">
      <c r="A75" s="49"/>
      <c r="B75" s="33"/>
      <c r="C75" s="78"/>
      <c r="D75" s="33"/>
      <c r="E75" s="33"/>
      <c r="F75" s="33"/>
      <c r="G75" s="33"/>
      <c r="H75"/>
      <c r="I75"/>
      <c r="J75"/>
      <c r="K75"/>
      <c r="L75"/>
      <c r="M75"/>
      <c r="N75"/>
      <c r="O75"/>
      <c r="P75"/>
      <c r="Q75"/>
      <c r="R75"/>
    </row>
    <row r="76" spans="1:18" ht="15">
      <c r="A76" s="49"/>
      <c r="B76" s="78" t="s">
        <v>180</v>
      </c>
      <c r="C76" s="78"/>
      <c r="D76" s="33"/>
      <c r="E76" s="77">
        <f>E57+E64+E67+E72</f>
        <v>1136231500</v>
      </c>
      <c r="F76" s="77">
        <f>F57+F64+F67+F72</f>
        <v>1170328075</v>
      </c>
      <c r="G76" s="77">
        <f>G57+G64+G67+G72</f>
        <v>1208341478.75</v>
      </c>
      <c r="H76"/>
      <c r="I76"/>
      <c r="J76"/>
      <c r="K76"/>
      <c r="L76"/>
      <c r="M76"/>
      <c r="N76"/>
      <c r="O76"/>
      <c r="P76"/>
      <c r="Q76"/>
      <c r="R76"/>
    </row>
    <row r="77" spans="1:18" ht="15">
      <c r="A77" s="91"/>
      <c r="B77" s="42"/>
      <c r="C77" s="42"/>
      <c r="D77" s="41"/>
      <c r="E77" s="92"/>
      <c r="F77" s="92"/>
      <c r="G77" s="92"/>
      <c r="H77"/>
      <c r="I77"/>
      <c r="J77"/>
      <c r="K77"/>
      <c r="L77"/>
      <c r="M77"/>
      <c r="N77"/>
      <c r="O77"/>
      <c r="P77"/>
      <c r="Q77"/>
      <c r="R77"/>
    </row>
    <row r="78" spans="1:18" ht="15">
      <c r="A78" s="49"/>
      <c r="B78" s="76" t="s">
        <v>179</v>
      </c>
      <c r="C78" s="78"/>
      <c r="D78" s="33"/>
      <c r="E78" s="77"/>
      <c r="F78" s="77"/>
      <c r="G78" s="77"/>
      <c r="H78"/>
      <c r="I78"/>
      <c r="J78"/>
      <c r="K78"/>
      <c r="L78"/>
      <c r="M78"/>
      <c r="N78"/>
      <c r="O78"/>
      <c r="P78"/>
      <c r="Q78"/>
      <c r="R78"/>
    </row>
    <row r="79" spans="1:18" ht="15">
      <c r="A79" s="49"/>
      <c r="B79" s="33"/>
      <c r="C79" s="33"/>
      <c r="D79" s="33"/>
      <c r="E79" s="33"/>
      <c r="F79" s="33"/>
      <c r="G79" s="33"/>
      <c r="H79"/>
      <c r="I79"/>
      <c r="J79"/>
      <c r="K79"/>
      <c r="L79"/>
      <c r="M79"/>
      <c r="N79"/>
      <c r="O79"/>
      <c r="P79"/>
      <c r="Q79"/>
      <c r="R79"/>
    </row>
    <row r="80" spans="1:18" ht="15">
      <c r="A80" s="79" t="s">
        <v>142</v>
      </c>
      <c r="B80" s="25"/>
      <c r="C80" s="25"/>
      <c r="D80" s="25"/>
      <c r="E80" s="80">
        <f>E74-E76</f>
        <v>-70356500</v>
      </c>
      <c r="F80" s="80">
        <f>F74-F76</f>
        <v>23451925</v>
      </c>
      <c r="G80" s="80">
        <f>G74-G76</f>
        <v>128692121.25</v>
      </c>
      <c r="H80"/>
      <c r="I80"/>
      <c r="J80"/>
      <c r="K80"/>
      <c r="L80"/>
      <c r="M80"/>
      <c r="N80"/>
      <c r="O80"/>
      <c r="P80"/>
      <c r="Q80"/>
      <c r="R80"/>
    </row>
  </sheetData>
  <printOptions horizontalCentered="1" verticalCentered="1"/>
  <pageMargins left="0.78" right="0" top="0" bottom="0" header="0" footer="0"/>
  <pageSetup fitToHeight="2" fitToWidth="1" orientation="portrait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workbookViewId="0" topLeftCell="A53">
      <selection activeCell="E72" sqref="E72"/>
    </sheetView>
  </sheetViews>
  <sheetFormatPr defaultColWidth="8.88671875" defaultRowHeight="15"/>
  <cols>
    <col min="1" max="1" width="5.21484375" style="1" customWidth="1"/>
    <col min="2" max="3" width="8.88671875" style="1" customWidth="1"/>
    <col min="4" max="4" width="11.99609375" style="1" customWidth="1"/>
    <col min="5" max="5" width="9.77734375" style="1" customWidth="1"/>
    <col min="6" max="6" width="11.10546875" style="1" customWidth="1"/>
    <col min="7" max="7" width="10.10546875" style="1" customWidth="1"/>
    <col min="8" max="8" width="8.88671875" style="1" customWidth="1"/>
    <col min="9" max="9" width="9.10546875" style="1" customWidth="1"/>
    <col min="10" max="10" width="10.21484375" style="1" customWidth="1"/>
    <col min="11" max="11" width="9.88671875" style="1" customWidth="1"/>
    <col min="12" max="12" width="10.10546875" style="1" customWidth="1"/>
    <col min="13" max="13" width="9.99609375" style="1" customWidth="1"/>
    <col min="14" max="14" width="9.4453125" style="1" customWidth="1"/>
    <col min="15" max="15" width="11.10546875" style="1" customWidth="1"/>
    <col min="16" max="16" width="9.99609375" style="1" customWidth="1"/>
    <col min="17" max="17" width="10.88671875" style="1" customWidth="1"/>
    <col min="18" max="18" width="12.77734375" style="1" customWidth="1"/>
  </cols>
  <sheetData>
    <row r="1" spans="1:17" ht="23.25">
      <c r="A1" s="93" t="s">
        <v>140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23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23.25">
      <c r="A3" s="5" t="s">
        <v>184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8.75">
      <c r="A4" s="6"/>
      <c r="B4" s="6"/>
      <c r="C4" s="6"/>
      <c r="D4" s="6"/>
      <c r="E4" s="96">
        <v>1999</v>
      </c>
      <c r="F4" s="96">
        <v>2000</v>
      </c>
      <c r="G4" s="96">
        <v>2001</v>
      </c>
      <c r="H4"/>
      <c r="I4"/>
      <c r="J4"/>
      <c r="K4"/>
      <c r="L4"/>
      <c r="M4"/>
      <c r="N4"/>
      <c r="O4"/>
      <c r="P4"/>
      <c r="Q4"/>
      <c r="R4"/>
    </row>
    <row r="5" spans="1:18" ht="15">
      <c r="A5" s="7" t="s">
        <v>1</v>
      </c>
      <c r="B5" s="84" t="s">
        <v>2</v>
      </c>
      <c r="C5" s="85"/>
      <c r="D5" s="86"/>
      <c r="E5" s="11"/>
      <c r="F5" s="11"/>
      <c r="G5" s="11"/>
      <c r="H5"/>
      <c r="I5"/>
      <c r="J5"/>
      <c r="K5"/>
      <c r="L5"/>
      <c r="M5"/>
      <c r="N5"/>
      <c r="O5"/>
      <c r="P5"/>
      <c r="Q5"/>
      <c r="R5"/>
    </row>
    <row r="6" spans="1:18" ht="15">
      <c r="A6" s="14" t="s">
        <v>150</v>
      </c>
      <c r="B6" s="83"/>
      <c r="C6" s="52"/>
      <c r="D6" s="32"/>
      <c r="E6" s="11"/>
      <c r="F6" s="11"/>
      <c r="G6" s="11"/>
      <c r="H6"/>
      <c r="I6"/>
      <c r="J6"/>
      <c r="K6"/>
      <c r="L6"/>
      <c r="M6"/>
      <c r="N6"/>
      <c r="O6"/>
      <c r="P6"/>
      <c r="Q6"/>
      <c r="R6"/>
    </row>
    <row r="7" spans="1:18" ht="15">
      <c r="A7" s="19" t="s">
        <v>5</v>
      </c>
      <c r="B7" s="21" t="s">
        <v>146</v>
      </c>
      <c r="C7" s="25"/>
      <c r="D7" s="81"/>
      <c r="E7" s="22">
        <v>109400000</v>
      </c>
      <c r="F7" s="22">
        <f>(E7*0.12)+E7</f>
        <v>122528000</v>
      </c>
      <c r="G7" s="22">
        <f>(F7*0.12)+F7</f>
        <v>137231360</v>
      </c>
      <c r="H7"/>
      <c r="I7"/>
      <c r="J7"/>
      <c r="K7"/>
      <c r="L7"/>
      <c r="M7"/>
      <c r="N7"/>
      <c r="O7"/>
      <c r="P7"/>
      <c r="Q7"/>
      <c r="R7"/>
    </row>
    <row r="8" spans="1:18" ht="15">
      <c r="A8" s="19" t="s">
        <v>177</v>
      </c>
      <c r="B8" s="21" t="s">
        <v>178</v>
      </c>
      <c r="C8" s="25"/>
      <c r="D8" s="20"/>
      <c r="E8" s="22"/>
      <c r="F8" s="22"/>
      <c r="G8" s="22"/>
      <c r="H8"/>
      <c r="I8"/>
      <c r="J8"/>
      <c r="K8"/>
      <c r="L8"/>
      <c r="M8"/>
      <c r="N8"/>
      <c r="O8"/>
      <c r="P8"/>
      <c r="Q8"/>
      <c r="R8"/>
    </row>
    <row r="9" spans="1:18" ht="15">
      <c r="A9" s="27" t="s">
        <v>154</v>
      </c>
      <c r="B9" s="28"/>
      <c r="C9" s="21"/>
      <c r="D9" s="20"/>
      <c r="E9" s="22"/>
      <c r="F9" s="22"/>
      <c r="G9" s="22"/>
      <c r="H9"/>
      <c r="I9"/>
      <c r="J9"/>
      <c r="K9"/>
      <c r="L9"/>
      <c r="M9"/>
      <c r="N9"/>
      <c r="O9"/>
      <c r="P9"/>
      <c r="Q9"/>
      <c r="R9"/>
    </row>
    <row r="10" spans="1:18" ht="15">
      <c r="A10" s="23" t="s">
        <v>3</v>
      </c>
      <c r="B10" s="31" t="s">
        <v>6</v>
      </c>
      <c r="C10" s="16"/>
      <c r="D10" s="17"/>
      <c r="E10" s="32"/>
      <c r="F10" s="32"/>
      <c r="G10" s="32"/>
      <c r="H10"/>
      <c r="I10"/>
      <c r="J10"/>
      <c r="K10"/>
      <c r="L10"/>
      <c r="M10"/>
      <c r="N10"/>
      <c r="O10"/>
      <c r="P10"/>
      <c r="Q10"/>
      <c r="R10"/>
    </row>
    <row r="11" spans="1:18" ht="15">
      <c r="A11" s="19"/>
      <c r="B11" s="21" t="s">
        <v>7</v>
      </c>
      <c r="C11" s="25"/>
      <c r="D11" s="20"/>
      <c r="E11" s="22"/>
      <c r="F11" s="22"/>
      <c r="G11" s="22"/>
      <c r="H11"/>
      <c r="I11"/>
      <c r="J11"/>
      <c r="K11"/>
      <c r="L11"/>
      <c r="M11"/>
      <c r="N11"/>
      <c r="O11"/>
      <c r="P11"/>
      <c r="Q11"/>
      <c r="R11"/>
    </row>
    <row r="12" spans="1:18" ht="15">
      <c r="A12" s="19"/>
      <c r="B12" s="21" t="s">
        <v>8</v>
      </c>
      <c r="C12" s="25"/>
      <c r="D12" s="20"/>
      <c r="E12" s="30"/>
      <c r="F12" s="30"/>
      <c r="G12" s="30"/>
      <c r="H12"/>
      <c r="I12"/>
      <c r="J12"/>
      <c r="K12"/>
      <c r="L12"/>
      <c r="M12"/>
      <c r="N12"/>
      <c r="O12"/>
      <c r="P12"/>
      <c r="Q12"/>
      <c r="R12"/>
    </row>
    <row r="13" spans="1:18" ht="15">
      <c r="A13" s="19"/>
      <c r="B13" s="21" t="s">
        <v>176</v>
      </c>
      <c r="C13" s="25"/>
      <c r="D13" s="20"/>
      <c r="E13" s="29">
        <v>177888000</v>
      </c>
      <c r="F13" s="22">
        <f>(E13*0.12)+E13</f>
        <v>199234560</v>
      </c>
      <c r="G13" s="22">
        <f>(F13*0.12)+F13</f>
        <v>223142707.2</v>
      </c>
      <c r="H13"/>
      <c r="I13"/>
      <c r="J13"/>
      <c r="K13"/>
      <c r="L13"/>
      <c r="M13"/>
      <c r="N13"/>
      <c r="O13"/>
      <c r="P13"/>
      <c r="Q13"/>
      <c r="R13"/>
    </row>
    <row r="14" spans="1:18" ht="15">
      <c r="A14" s="37"/>
      <c r="B14" s="38" t="s">
        <v>109</v>
      </c>
      <c r="C14" s="38"/>
      <c r="D14" s="36"/>
      <c r="E14" s="39">
        <f>SUM(E7:E13)</f>
        <v>287288000</v>
      </c>
      <c r="F14" s="39">
        <f>SUM(F7:F13)</f>
        <v>321762560</v>
      </c>
      <c r="G14" s="39">
        <f>SUM(G7:G13)</f>
        <v>360374067.2</v>
      </c>
      <c r="H14"/>
      <c r="I14"/>
      <c r="J14"/>
      <c r="K14"/>
      <c r="L14"/>
      <c r="M14"/>
      <c r="N14"/>
      <c r="O14"/>
      <c r="P14"/>
      <c r="Q14"/>
      <c r="R14"/>
    </row>
    <row r="15" spans="1:18" ht="15">
      <c r="A15" s="44" t="s">
        <v>11</v>
      </c>
      <c r="B15" s="4" t="s">
        <v>12</v>
      </c>
      <c r="C15" s="45"/>
      <c r="D15" s="46"/>
      <c r="E15" s="47"/>
      <c r="F15" s="47"/>
      <c r="G15" s="47"/>
      <c r="H15"/>
      <c r="I15"/>
      <c r="J15"/>
      <c r="K15"/>
      <c r="L15"/>
      <c r="M15"/>
      <c r="N15"/>
      <c r="O15"/>
      <c r="P15"/>
      <c r="Q15"/>
      <c r="R15"/>
    </row>
    <row r="16" spans="1:18" ht="15">
      <c r="A16" s="27" t="s">
        <v>155</v>
      </c>
      <c r="B16" s="15"/>
      <c r="C16" s="16"/>
      <c r="D16" s="17"/>
      <c r="E16" s="11"/>
      <c r="F16" s="11"/>
      <c r="G16" s="11"/>
      <c r="H16"/>
      <c r="I16"/>
      <c r="J16"/>
      <c r="K16"/>
      <c r="L16"/>
      <c r="M16"/>
      <c r="N16"/>
      <c r="O16"/>
      <c r="P16"/>
      <c r="Q16"/>
      <c r="R16"/>
    </row>
    <row r="17" spans="1:18" ht="15">
      <c r="A17" s="34"/>
      <c r="B17" s="21" t="s">
        <v>167</v>
      </c>
      <c r="C17" s="25"/>
      <c r="D17" s="20"/>
      <c r="E17" s="22">
        <v>18000000</v>
      </c>
      <c r="F17" s="22">
        <f>(E17*0.05)+E17</f>
        <v>18900000</v>
      </c>
      <c r="G17" s="22">
        <f>(F17*0.05)+F17</f>
        <v>19845000</v>
      </c>
      <c r="H17"/>
      <c r="I17"/>
      <c r="J17"/>
      <c r="K17"/>
      <c r="L17"/>
      <c r="M17"/>
      <c r="N17"/>
      <c r="O17"/>
      <c r="P17"/>
      <c r="Q17"/>
      <c r="R17"/>
    </row>
    <row r="18" spans="1:18" ht="15">
      <c r="A18" s="34"/>
      <c r="B18" s="21" t="s">
        <v>156</v>
      </c>
      <c r="C18" s="25"/>
      <c r="D18" s="20"/>
      <c r="E18" s="30"/>
      <c r="F18" s="22">
        <f>(E18*0.05)+E18</f>
        <v>0</v>
      </c>
      <c r="G18" s="22">
        <f>(F18*0.05)+F18</f>
        <v>0</v>
      </c>
      <c r="H18"/>
      <c r="I18"/>
      <c r="J18"/>
      <c r="K18"/>
      <c r="L18"/>
      <c r="M18"/>
      <c r="N18"/>
      <c r="O18"/>
      <c r="P18"/>
      <c r="Q18"/>
      <c r="R18"/>
    </row>
    <row r="19" spans="1:18" ht="15">
      <c r="A19" s="34"/>
      <c r="B19" s="21" t="s">
        <v>174</v>
      </c>
      <c r="C19" s="25"/>
      <c r="D19" s="20"/>
      <c r="E19" s="30">
        <v>9000000</v>
      </c>
      <c r="F19" s="22">
        <f>(E19*0.05)+E19</f>
        <v>9450000</v>
      </c>
      <c r="G19" s="22">
        <f>(F19*0.05)+F19</f>
        <v>9922500</v>
      </c>
      <c r="H19"/>
      <c r="I19"/>
      <c r="J19"/>
      <c r="K19"/>
      <c r="L19"/>
      <c r="M19"/>
      <c r="N19"/>
      <c r="O19"/>
      <c r="P19"/>
      <c r="Q19"/>
      <c r="R19"/>
    </row>
    <row r="20" spans="1:18" ht="15">
      <c r="A20" s="34"/>
      <c r="B20" s="21" t="s">
        <v>117</v>
      </c>
      <c r="C20" s="25"/>
      <c r="D20" s="20"/>
      <c r="E20" s="30">
        <v>4000000</v>
      </c>
      <c r="F20" s="22">
        <f>(E20*0.05)+E20</f>
        <v>4200000</v>
      </c>
      <c r="G20" s="22">
        <f>(F20*0.05)+F20</f>
        <v>4410000</v>
      </c>
      <c r="H20"/>
      <c r="I20"/>
      <c r="J20"/>
      <c r="K20"/>
      <c r="L20"/>
      <c r="M20"/>
      <c r="N20"/>
      <c r="O20"/>
      <c r="P20"/>
      <c r="Q20"/>
      <c r="R20"/>
    </row>
    <row r="21" spans="1:18" ht="15">
      <c r="A21" s="34"/>
      <c r="B21" s="21" t="s">
        <v>15</v>
      </c>
      <c r="C21" s="25"/>
      <c r="D21" s="20"/>
      <c r="E21" s="30"/>
      <c r="F21" s="22">
        <f>(E21*0.05)+E21</f>
        <v>0</v>
      </c>
      <c r="G21" s="22">
        <f>(F21*0.05)+F21</f>
        <v>0</v>
      </c>
      <c r="H21"/>
      <c r="I21"/>
      <c r="J21"/>
      <c r="K21"/>
      <c r="L21"/>
      <c r="M21"/>
      <c r="N21"/>
      <c r="O21"/>
      <c r="P21"/>
      <c r="Q21"/>
      <c r="R21"/>
    </row>
    <row r="22" spans="1:18" ht="15">
      <c r="A22" s="34"/>
      <c r="B22" s="21" t="s">
        <v>17</v>
      </c>
      <c r="C22" s="25"/>
      <c r="D22" s="20"/>
      <c r="E22" s="30">
        <v>1500000</v>
      </c>
      <c r="F22" s="22">
        <f>(E22*0.05)+E22</f>
        <v>1575000</v>
      </c>
      <c r="G22" s="22">
        <f>(F22*0.05)+F22</f>
        <v>1653750</v>
      </c>
      <c r="H22"/>
      <c r="I22"/>
      <c r="J22"/>
      <c r="K22"/>
      <c r="L22"/>
      <c r="M22"/>
      <c r="N22"/>
      <c r="O22"/>
      <c r="P22"/>
      <c r="Q22"/>
      <c r="R22"/>
    </row>
    <row r="23" spans="1:18" ht="15">
      <c r="A23" s="34"/>
      <c r="B23" s="21" t="s">
        <v>18</v>
      </c>
      <c r="C23" s="25"/>
      <c r="D23" s="20"/>
      <c r="E23" s="30">
        <v>5000000</v>
      </c>
      <c r="F23" s="22">
        <f>(E23*0.05)+E23</f>
        <v>5250000</v>
      </c>
      <c r="G23" s="22">
        <f>(F23*0.05)+F23</f>
        <v>5512500</v>
      </c>
      <c r="H23"/>
      <c r="I23"/>
      <c r="J23"/>
      <c r="K23"/>
      <c r="L23"/>
      <c r="M23"/>
      <c r="N23"/>
      <c r="O23"/>
      <c r="P23"/>
      <c r="Q23"/>
      <c r="R23"/>
    </row>
    <row r="24" spans="1:18" ht="15">
      <c r="A24" s="34"/>
      <c r="B24" s="21" t="s">
        <v>10</v>
      </c>
      <c r="C24" s="25"/>
      <c r="D24" s="20"/>
      <c r="E24" s="30"/>
      <c r="F24" s="30"/>
      <c r="G24" s="30"/>
      <c r="H24"/>
      <c r="I24"/>
      <c r="J24"/>
      <c r="K24"/>
      <c r="L24"/>
      <c r="M24"/>
      <c r="N24"/>
      <c r="O24"/>
      <c r="P24"/>
      <c r="Q24"/>
      <c r="R24"/>
    </row>
    <row r="25" spans="1:18" ht="15">
      <c r="A25" s="27" t="s">
        <v>159</v>
      </c>
      <c r="B25" s="15"/>
      <c r="C25" s="16"/>
      <c r="D25" s="17"/>
      <c r="E25" s="11"/>
      <c r="F25" s="11"/>
      <c r="G25" s="11"/>
      <c r="H25"/>
      <c r="I25"/>
      <c r="J25"/>
      <c r="K25"/>
      <c r="L25"/>
      <c r="M25"/>
      <c r="N25"/>
      <c r="O25"/>
      <c r="P25"/>
      <c r="Q25"/>
      <c r="R25"/>
    </row>
    <row r="26" spans="1:18" ht="15">
      <c r="A26" s="34"/>
      <c r="B26" s="21" t="s">
        <v>20</v>
      </c>
      <c r="C26" s="25"/>
      <c r="D26" s="20"/>
      <c r="E26" s="30">
        <v>2600000</v>
      </c>
      <c r="F26" s="22">
        <f>(E26*0.05)+E26</f>
        <v>2730000</v>
      </c>
      <c r="G26" s="22">
        <f>(F26*0.05)+F26</f>
        <v>2866500</v>
      </c>
      <c r="H26"/>
      <c r="I26"/>
      <c r="J26"/>
      <c r="K26"/>
      <c r="L26"/>
      <c r="M26"/>
      <c r="N26"/>
      <c r="O26"/>
      <c r="P26"/>
      <c r="Q26"/>
      <c r="R26"/>
    </row>
    <row r="27" spans="1:18" ht="15">
      <c r="A27" s="34"/>
      <c r="B27" s="21" t="s">
        <v>102</v>
      </c>
      <c r="C27" s="25"/>
      <c r="D27" s="20"/>
      <c r="E27" s="30">
        <v>2000000</v>
      </c>
      <c r="F27" s="22">
        <f>(E27*0.05)+E27</f>
        <v>2100000</v>
      </c>
      <c r="G27" s="22">
        <f>(F27*0.05)+F27</f>
        <v>2205000</v>
      </c>
      <c r="H27"/>
      <c r="I27"/>
      <c r="J27"/>
      <c r="K27"/>
      <c r="L27"/>
      <c r="M27"/>
      <c r="N27"/>
      <c r="O27"/>
      <c r="P27"/>
      <c r="Q27"/>
      <c r="R27"/>
    </row>
    <row r="28" spans="1:18" ht="15">
      <c r="A28" s="34"/>
      <c r="B28" s="53" t="s">
        <v>22</v>
      </c>
      <c r="C28" s="35"/>
      <c r="D28" s="36"/>
      <c r="E28" s="29">
        <v>1000000</v>
      </c>
      <c r="F28" s="22">
        <f>(E28*0.05)+E28</f>
        <v>1050000</v>
      </c>
      <c r="G28" s="22">
        <f>(F28*0.05)+F28</f>
        <v>1102500</v>
      </c>
      <c r="H28"/>
      <c r="I28"/>
      <c r="J28"/>
      <c r="K28"/>
      <c r="L28"/>
      <c r="M28"/>
      <c r="N28"/>
      <c r="O28"/>
      <c r="P28"/>
      <c r="Q28"/>
      <c r="R28"/>
    </row>
    <row r="29" spans="1:18" ht="15">
      <c r="A29" s="34"/>
      <c r="B29" s="21" t="s">
        <v>23</v>
      </c>
      <c r="C29" s="25"/>
      <c r="D29" s="20"/>
      <c r="E29" s="30">
        <v>2079000</v>
      </c>
      <c r="F29" s="22">
        <f>(E29*0.05)+E29</f>
        <v>2182950</v>
      </c>
      <c r="G29" s="22">
        <f>(F29*0.05)+F29</f>
        <v>2292097.5</v>
      </c>
      <c r="H29"/>
      <c r="I29"/>
      <c r="J29"/>
      <c r="K29"/>
      <c r="L29"/>
      <c r="M29"/>
      <c r="N29"/>
      <c r="O29"/>
      <c r="P29"/>
      <c r="Q29"/>
      <c r="R29"/>
    </row>
    <row r="30" spans="1:18" ht="15">
      <c r="A30" s="34"/>
      <c r="B30" s="21" t="s">
        <v>24</v>
      </c>
      <c r="C30" s="25"/>
      <c r="D30" s="20"/>
      <c r="E30" s="30">
        <v>1121000</v>
      </c>
      <c r="F30" s="22">
        <f>(E30*0.05)+E30</f>
        <v>1177050</v>
      </c>
      <c r="G30" s="22">
        <f>(F30*0.05)+F30</f>
        <v>1235902.5</v>
      </c>
      <c r="H30"/>
      <c r="I30"/>
      <c r="J30"/>
      <c r="K30"/>
      <c r="L30"/>
      <c r="M30"/>
      <c r="N30"/>
      <c r="O30"/>
      <c r="P30"/>
      <c r="Q30"/>
      <c r="R30"/>
    </row>
    <row r="31" spans="1:18" ht="15">
      <c r="A31" s="34"/>
      <c r="B31" s="21" t="s">
        <v>119</v>
      </c>
      <c r="C31" s="25"/>
      <c r="D31" s="20"/>
      <c r="E31" s="30">
        <v>1000000</v>
      </c>
      <c r="F31" s="22">
        <f>(E31*0.05)+E31</f>
        <v>1050000</v>
      </c>
      <c r="G31" s="22">
        <f>(F31*0.05)+F31</f>
        <v>1102500</v>
      </c>
      <c r="H31"/>
      <c r="I31"/>
      <c r="J31"/>
      <c r="K31"/>
      <c r="L31"/>
      <c r="M31"/>
      <c r="N31"/>
      <c r="O31"/>
      <c r="P31"/>
      <c r="Q31"/>
      <c r="R31"/>
    </row>
    <row r="32" spans="1:18" ht="15">
      <c r="A32" s="34"/>
      <c r="B32" s="21" t="s">
        <v>26</v>
      </c>
      <c r="C32" s="25"/>
      <c r="D32" s="20"/>
      <c r="E32" s="30">
        <v>2000000</v>
      </c>
      <c r="F32" s="22">
        <f>(E32*0.05)+E32</f>
        <v>2100000</v>
      </c>
      <c r="G32" s="22">
        <f>(F32*0.05)+F32</f>
        <v>2205000</v>
      </c>
      <c r="H32"/>
      <c r="I32"/>
      <c r="J32"/>
      <c r="K32"/>
      <c r="L32"/>
      <c r="M32"/>
      <c r="N32"/>
      <c r="O32"/>
      <c r="P32"/>
      <c r="Q32"/>
      <c r="R32"/>
    </row>
    <row r="33" spans="1:18" ht="15">
      <c r="A33" s="34"/>
      <c r="B33" s="21" t="s">
        <v>27</v>
      </c>
      <c r="C33" s="25"/>
      <c r="D33" s="20"/>
      <c r="E33" s="30">
        <v>23000000</v>
      </c>
      <c r="F33" s="22">
        <f>(E33*0.05)+E33</f>
        <v>24150000</v>
      </c>
      <c r="G33" s="22">
        <f>(F33*0.05)+F33</f>
        <v>25357500</v>
      </c>
      <c r="H33"/>
      <c r="I33"/>
      <c r="J33"/>
      <c r="K33"/>
      <c r="L33"/>
      <c r="M33"/>
      <c r="N33"/>
      <c r="O33"/>
      <c r="P33"/>
      <c r="Q33"/>
      <c r="R33"/>
    </row>
    <row r="34" spans="1:18" ht="15">
      <c r="A34" s="34"/>
      <c r="B34" s="21" t="s">
        <v>28</v>
      </c>
      <c r="C34" s="25"/>
      <c r="D34" s="20"/>
      <c r="E34" s="30">
        <v>32000000</v>
      </c>
      <c r="F34" s="22">
        <f>(E34*0.05)+E34</f>
        <v>33600000</v>
      </c>
      <c r="G34" s="22">
        <f>(F34*0.05)+F34</f>
        <v>35280000</v>
      </c>
      <c r="H34"/>
      <c r="I34"/>
      <c r="J34"/>
      <c r="K34"/>
      <c r="L34"/>
      <c r="M34"/>
      <c r="N34"/>
      <c r="O34"/>
      <c r="P34"/>
      <c r="Q34"/>
      <c r="R34"/>
    </row>
    <row r="35" spans="1:18" ht="15">
      <c r="A35" s="34"/>
      <c r="B35" s="21" t="s">
        <v>144</v>
      </c>
      <c r="C35" s="25"/>
      <c r="D35" s="20"/>
      <c r="E35" s="30">
        <v>11000000</v>
      </c>
      <c r="F35" s="22">
        <f>(E35*0.05)+E35</f>
        <v>11550000</v>
      </c>
      <c r="G35" s="22">
        <f>(F35*0.05)+F35</f>
        <v>12127500</v>
      </c>
      <c r="H35"/>
      <c r="I35"/>
      <c r="J35"/>
      <c r="K35"/>
      <c r="L35"/>
      <c r="M35"/>
      <c r="N35"/>
      <c r="O35"/>
      <c r="P35"/>
      <c r="Q35"/>
      <c r="R35"/>
    </row>
    <row r="36" spans="1:18" ht="15">
      <c r="A36" s="34"/>
      <c r="B36" s="21" t="s">
        <v>29</v>
      </c>
      <c r="C36" s="25"/>
      <c r="D36" s="20"/>
      <c r="E36" s="30">
        <v>11000000</v>
      </c>
      <c r="F36" s="22">
        <f>(E36*0.05)+E36</f>
        <v>11550000</v>
      </c>
      <c r="G36" s="22">
        <f>(F36*0.05)+F36</f>
        <v>12127500</v>
      </c>
      <c r="H36"/>
      <c r="I36"/>
      <c r="J36"/>
      <c r="K36"/>
      <c r="L36"/>
      <c r="M36"/>
      <c r="N36"/>
      <c r="O36"/>
      <c r="P36"/>
      <c r="Q36"/>
      <c r="R36"/>
    </row>
    <row r="37" spans="1:18" ht="15">
      <c r="A37" s="34"/>
      <c r="B37" s="21" t="s">
        <v>143</v>
      </c>
      <c r="C37" s="25"/>
      <c r="D37" s="20"/>
      <c r="E37" s="30">
        <v>103000000</v>
      </c>
      <c r="F37" s="22">
        <f>(E37*0.05)+E37</f>
        <v>108150000</v>
      </c>
      <c r="G37" s="22">
        <f>(F37*0.05)+F37</f>
        <v>113557500</v>
      </c>
      <c r="H37"/>
      <c r="I37"/>
      <c r="J37"/>
      <c r="K37"/>
      <c r="L37"/>
      <c r="M37"/>
      <c r="N37"/>
      <c r="O37"/>
      <c r="P37"/>
      <c r="Q37"/>
      <c r="R37"/>
    </row>
    <row r="38" spans="1:18" ht="15">
      <c r="A38" s="34"/>
      <c r="B38" s="21" t="s">
        <v>30</v>
      </c>
      <c r="C38" s="25"/>
      <c r="D38" s="20"/>
      <c r="E38" s="30">
        <v>500000</v>
      </c>
      <c r="F38" s="22">
        <f>(E38*0.05)+E38</f>
        <v>525000</v>
      </c>
      <c r="G38" s="22">
        <f>(F38*0.05)+F38</f>
        <v>551250</v>
      </c>
      <c r="H38"/>
      <c r="I38"/>
      <c r="J38"/>
      <c r="K38"/>
      <c r="L38"/>
      <c r="M38"/>
      <c r="N38"/>
      <c r="O38"/>
      <c r="P38"/>
      <c r="Q38"/>
      <c r="R38"/>
    </row>
    <row r="39" spans="1:18" ht="15">
      <c r="A39" s="34"/>
      <c r="B39" s="21" t="s">
        <v>31</v>
      </c>
      <c r="C39" s="25"/>
      <c r="D39" s="20"/>
      <c r="E39" s="30">
        <v>488000</v>
      </c>
      <c r="F39" s="22">
        <f>(E39*0.05)+E39</f>
        <v>512400</v>
      </c>
      <c r="G39" s="22">
        <f>(F39*0.05)+F39</f>
        <v>538020</v>
      </c>
      <c r="H39"/>
      <c r="I39"/>
      <c r="J39"/>
      <c r="K39"/>
      <c r="L39"/>
      <c r="M39"/>
      <c r="N39"/>
      <c r="O39"/>
      <c r="P39"/>
      <c r="Q39"/>
      <c r="R39"/>
    </row>
    <row r="40" spans="1:18" ht="15">
      <c r="A40" s="34"/>
      <c r="B40" s="21" t="s">
        <v>32</v>
      </c>
      <c r="C40" s="25"/>
      <c r="D40" s="20"/>
      <c r="E40" s="30">
        <v>1500000</v>
      </c>
      <c r="F40" s="22">
        <f>(E40*0.05)+E40</f>
        <v>1575000</v>
      </c>
      <c r="G40" s="22">
        <f>(F40*0.05)+F40</f>
        <v>1653750</v>
      </c>
      <c r="H40"/>
      <c r="I40"/>
      <c r="J40"/>
      <c r="K40"/>
      <c r="L40"/>
      <c r="M40"/>
      <c r="N40"/>
      <c r="O40"/>
      <c r="P40"/>
      <c r="Q40"/>
      <c r="R40"/>
    </row>
    <row r="41" spans="1:18" ht="15">
      <c r="A41" s="27" t="s">
        <v>161</v>
      </c>
      <c r="B41" s="15"/>
      <c r="C41" s="16"/>
      <c r="D41" s="17"/>
      <c r="E41" s="11"/>
      <c r="F41" s="11"/>
      <c r="G41" s="11"/>
      <c r="H41"/>
      <c r="I41"/>
      <c r="J41"/>
      <c r="K41"/>
      <c r="L41"/>
      <c r="M41"/>
      <c r="N41"/>
      <c r="O41"/>
      <c r="P41"/>
      <c r="Q41"/>
      <c r="R41"/>
    </row>
    <row r="42" spans="1:18" ht="15">
      <c r="A42" s="34"/>
      <c r="B42" s="21" t="s">
        <v>39</v>
      </c>
      <c r="C42" s="25"/>
      <c r="D42" s="20"/>
      <c r="E42" s="29">
        <v>25389309</v>
      </c>
      <c r="F42" s="22">
        <f>(E42*0.01)+E42</f>
        <v>25643202.09</v>
      </c>
      <c r="G42" s="22">
        <f>(F42*0.01)+F42</f>
        <v>25899634.1109</v>
      </c>
      <c r="H42"/>
      <c r="I42"/>
      <c r="J42"/>
      <c r="K42"/>
      <c r="L42"/>
      <c r="M42"/>
      <c r="N42"/>
      <c r="O42"/>
      <c r="P42"/>
      <c r="Q42"/>
      <c r="R42"/>
    </row>
    <row r="43" spans="1:18" ht="15">
      <c r="A43" s="34"/>
      <c r="B43" s="21" t="s">
        <v>103</v>
      </c>
      <c r="C43" s="25"/>
      <c r="D43" s="20"/>
      <c r="E43" s="30">
        <v>6705526</v>
      </c>
      <c r="F43" s="22">
        <f>(E43*0.01)+E43</f>
        <v>6772581.26</v>
      </c>
      <c r="G43" s="22">
        <f>(F43*0.01)+F43</f>
        <v>6840307.0726</v>
      </c>
      <c r="H43"/>
      <c r="I43"/>
      <c r="J43"/>
      <c r="K43"/>
      <c r="L43"/>
      <c r="M43"/>
      <c r="N43"/>
      <c r="O43"/>
      <c r="P43"/>
      <c r="Q43"/>
      <c r="R43"/>
    </row>
    <row r="44" spans="1:18" ht="15">
      <c r="A44" s="34"/>
      <c r="B44" s="21" t="s">
        <v>40</v>
      </c>
      <c r="C44" s="25"/>
      <c r="D44" s="20"/>
      <c r="E44" s="30">
        <v>2018744</v>
      </c>
      <c r="F44" s="22">
        <f>(E44*0.01)+E44</f>
        <v>2038931.44</v>
      </c>
      <c r="G44" s="22">
        <f>(F44*0.01)+F44</f>
        <v>2059320.7544</v>
      </c>
      <c r="H44"/>
      <c r="I44"/>
      <c r="J44"/>
      <c r="K44"/>
      <c r="L44"/>
      <c r="M44"/>
      <c r="N44"/>
      <c r="O44"/>
      <c r="P44"/>
      <c r="Q44"/>
      <c r="R44"/>
    </row>
    <row r="45" spans="1:18" ht="15">
      <c r="A45" s="34"/>
      <c r="B45" s="21" t="s">
        <v>41</v>
      </c>
      <c r="C45" s="25"/>
      <c r="D45" s="20"/>
      <c r="E45" s="51"/>
      <c r="F45" s="51"/>
      <c r="G45" s="51"/>
      <c r="H45"/>
      <c r="I45"/>
      <c r="J45"/>
      <c r="K45"/>
      <c r="L45"/>
      <c r="M45"/>
      <c r="N45"/>
      <c r="O45"/>
      <c r="P45"/>
      <c r="Q45"/>
      <c r="R45"/>
    </row>
    <row r="46" spans="1:18" ht="15">
      <c r="A46" s="34"/>
      <c r="B46" s="21" t="s">
        <v>42</v>
      </c>
      <c r="C46" s="25"/>
      <c r="D46" s="20"/>
      <c r="E46" s="51"/>
      <c r="F46" s="51"/>
      <c r="G46" s="51"/>
      <c r="H46"/>
      <c r="I46"/>
      <c r="J46"/>
      <c r="K46"/>
      <c r="L46"/>
      <c r="M46"/>
      <c r="N46"/>
      <c r="O46"/>
      <c r="P46"/>
      <c r="Q46"/>
      <c r="R46"/>
    </row>
    <row r="47" spans="1:18" ht="15">
      <c r="A47" s="34"/>
      <c r="B47" s="21" t="s">
        <v>43</v>
      </c>
      <c r="C47" s="25"/>
      <c r="D47" s="20"/>
      <c r="E47" s="30"/>
      <c r="F47" s="30"/>
      <c r="G47" s="30"/>
      <c r="H47"/>
      <c r="I47"/>
      <c r="J47"/>
      <c r="K47"/>
      <c r="L47"/>
      <c r="M47"/>
      <c r="N47"/>
      <c r="O47"/>
      <c r="P47"/>
      <c r="Q47"/>
      <c r="R47"/>
    </row>
    <row r="48" spans="1:18" ht="15">
      <c r="A48" s="27" t="s">
        <v>162</v>
      </c>
      <c r="B48" s="15"/>
      <c r="C48" s="16"/>
      <c r="D48" s="17"/>
      <c r="E48" s="11"/>
      <c r="F48" s="11"/>
      <c r="G48" s="11"/>
      <c r="H48"/>
      <c r="I48"/>
      <c r="J48"/>
      <c r="K48"/>
      <c r="L48"/>
      <c r="M48"/>
      <c r="N48"/>
      <c r="O48"/>
      <c r="P48"/>
      <c r="Q48"/>
      <c r="R48"/>
    </row>
    <row r="49" spans="1:18" ht="15">
      <c r="A49" s="61"/>
      <c r="B49" s="21" t="s">
        <v>45</v>
      </c>
      <c r="C49" s="25"/>
      <c r="D49" s="20"/>
      <c r="E49" s="30">
        <v>10000000</v>
      </c>
      <c r="F49" s="30">
        <v>16000000</v>
      </c>
      <c r="G49" s="30">
        <v>16000000</v>
      </c>
      <c r="H49"/>
      <c r="I49"/>
      <c r="J49"/>
      <c r="K49"/>
      <c r="L49"/>
      <c r="M49"/>
      <c r="N49"/>
      <c r="O49"/>
      <c r="P49"/>
      <c r="Q49"/>
      <c r="R49"/>
    </row>
    <row r="50" spans="1:18" ht="15">
      <c r="A50" s="37"/>
      <c r="B50" s="38" t="s">
        <v>109</v>
      </c>
      <c r="C50" s="38"/>
      <c r="D50" s="36"/>
      <c r="E50" s="39">
        <f>SUM(E17:E49)</f>
        <v>275901579</v>
      </c>
      <c r="F50" s="39">
        <f>SUM(F17:F49)</f>
        <v>293832114.78999996</v>
      </c>
      <c r="G50" s="39">
        <f>SUM(G17:G49)</f>
        <v>306345531.9379</v>
      </c>
      <c r="H50"/>
      <c r="I50"/>
      <c r="J50"/>
      <c r="K50"/>
      <c r="L50"/>
      <c r="M50"/>
      <c r="N50"/>
      <c r="O50"/>
      <c r="P50"/>
      <c r="Q50"/>
      <c r="R50"/>
    </row>
    <row r="51" spans="1:18" ht="15">
      <c r="A51" s="7" t="s">
        <v>67</v>
      </c>
      <c r="B51" s="62" t="s">
        <v>68</v>
      </c>
      <c r="C51" s="45"/>
      <c r="D51" s="46"/>
      <c r="E51" s="46"/>
      <c r="F51" s="46"/>
      <c r="G51" s="46"/>
      <c r="H51"/>
      <c r="I51"/>
      <c r="J51"/>
      <c r="K51"/>
      <c r="L51"/>
      <c r="M51"/>
      <c r="N51"/>
      <c r="O51"/>
      <c r="P51"/>
      <c r="Q51"/>
      <c r="R51"/>
    </row>
    <row r="52" spans="1:18" ht="15">
      <c r="A52" s="27" t="s">
        <v>71</v>
      </c>
      <c r="B52" s="15" t="s">
        <v>72</v>
      </c>
      <c r="C52" s="16"/>
      <c r="D52" s="17"/>
      <c r="E52" s="63"/>
      <c r="F52" s="63"/>
      <c r="G52" s="63"/>
      <c r="H52"/>
      <c r="I52"/>
      <c r="J52"/>
      <c r="K52"/>
      <c r="L52"/>
      <c r="M52"/>
      <c r="N52"/>
      <c r="O52"/>
      <c r="P52"/>
      <c r="Q52"/>
      <c r="R52"/>
    </row>
    <row r="53" spans="1:18" ht="15">
      <c r="A53" s="61"/>
      <c r="B53" s="21" t="s">
        <v>73</v>
      </c>
      <c r="C53" s="25"/>
      <c r="D53" s="20"/>
      <c r="E53" s="90">
        <v>-2500000</v>
      </c>
      <c r="F53" s="90"/>
      <c r="G53" s="90"/>
      <c r="H53"/>
      <c r="I53"/>
      <c r="J53"/>
      <c r="K53"/>
      <c r="L53"/>
      <c r="M53"/>
      <c r="N53"/>
      <c r="O53"/>
      <c r="P53"/>
      <c r="Q53"/>
      <c r="R53"/>
    </row>
    <row r="54" spans="1:18" ht="15">
      <c r="A54" s="27" t="s">
        <v>76</v>
      </c>
      <c r="B54" s="15" t="s">
        <v>77</v>
      </c>
      <c r="C54" s="16"/>
      <c r="D54" s="17"/>
      <c r="E54" s="11"/>
      <c r="F54" s="11"/>
      <c r="G54" s="11"/>
      <c r="H54"/>
      <c r="I54"/>
      <c r="J54"/>
      <c r="K54"/>
      <c r="L54"/>
      <c r="M54"/>
      <c r="N54"/>
      <c r="O54"/>
      <c r="P54"/>
      <c r="Q54"/>
      <c r="R54"/>
    </row>
    <row r="55" spans="1:18" ht="15">
      <c r="A55" s="65"/>
      <c r="B55" s="21" t="s">
        <v>81</v>
      </c>
      <c r="C55" s="25"/>
      <c r="D55" s="20"/>
      <c r="E55" s="89">
        <f>2000000/12</f>
        <v>166666.66666666666</v>
      </c>
      <c r="F55" s="89"/>
      <c r="G55" s="89"/>
      <c r="H55"/>
      <c r="I55"/>
      <c r="J55"/>
      <c r="K55"/>
      <c r="L55"/>
      <c r="M55"/>
      <c r="N55"/>
      <c r="O55"/>
      <c r="P55"/>
      <c r="Q55"/>
      <c r="R55"/>
    </row>
    <row r="56" spans="1:18" ht="15">
      <c r="A56" s="37"/>
      <c r="B56" s="38" t="s">
        <v>109</v>
      </c>
      <c r="C56" s="38"/>
      <c r="D56" s="36"/>
      <c r="E56" s="88"/>
      <c r="F56" s="88"/>
      <c r="G56" s="88"/>
      <c r="H56"/>
      <c r="I56"/>
      <c r="J56"/>
      <c r="K56"/>
      <c r="L56"/>
      <c r="M56"/>
      <c r="N56"/>
      <c r="O56"/>
      <c r="P56"/>
      <c r="Q56"/>
      <c r="R56"/>
    </row>
    <row r="57" spans="1:18" ht="15">
      <c r="A57" s="44" t="s">
        <v>83</v>
      </c>
      <c r="B57" s="4" t="s">
        <v>84</v>
      </c>
      <c r="C57" s="45"/>
      <c r="D57" s="46"/>
      <c r="E57" s="67"/>
      <c r="F57" s="67"/>
      <c r="G57" s="67"/>
      <c r="H57"/>
      <c r="I57"/>
      <c r="J57"/>
      <c r="K57"/>
      <c r="L57"/>
      <c r="M57"/>
      <c r="N57"/>
      <c r="O57"/>
      <c r="P57"/>
      <c r="Q57"/>
      <c r="R57"/>
    </row>
    <row r="58" spans="1:18" ht="15">
      <c r="A58" s="68"/>
      <c r="B58" s="69"/>
      <c r="C58" s="70"/>
      <c r="D58" s="71"/>
      <c r="E58" s="73"/>
      <c r="F58" s="73"/>
      <c r="G58" s="73"/>
      <c r="H58"/>
      <c r="I58"/>
      <c r="J58"/>
      <c r="K58"/>
      <c r="L58"/>
      <c r="M58"/>
      <c r="N58"/>
      <c r="O58"/>
      <c r="P58"/>
      <c r="Q58"/>
      <c r="R58"/>
    </row>
    <row r="59" spans="1:18" ht="15">
      <c r="A59" s="37"/>
      <c r="B59" s="38" t="s">
        <v>109</v>
      </c>
      <c r="C59" s="38"/>
      <c r="D59" s="36"/>
      <c r="E59" s="39"/>
      <c r="F59" s="39"/>
      <c r="G59" s="39"/>
      <c r="H59"/>
      <c r="I59"/>
      <c r="J59"/>
      <c r="K59"/>
      <c r="L59"/>
      <c r="M59"/>
      <c r="N59"/>
      <c r="O59"/>
      <c r="P59"/>
      <c r="Q59"/>
      <c r="R59"/>
    </row>
    <row r="60" spans="1:18" ht="15">
      <c r="A60" s="7" t="s">
        <v>85</v>
      </c>
      <c r="B60" s="8" t="s">
        <v>86</v>
      </c>
      <c r="C60" s="9"/>
      <c r="D60" s="10"/>
      <c r="E60" s="67"/>
      <c r="F60" s="67"/>
      <c r="G60" s="67"/>
      <c r="H60"/>
      <c r="I60"/>
      <c r="J60"/>
      <c r="K60"/>
      <c r="L60"/>
      <c r="M60"/>
      <c r="N60"/>
      <c r="O60"/>
      <c r="P60"/>
      <c r="Q60"/>
      <c r="R60"/>
    </row>
    <row r="61" spans="1:18" ht="15">
      <c r="A61" s="27" t="s">
        <v>97</v>
      </c>
      <c r="B61" s="15" t="s">
        <v>98</v>
      </c>
      <c r="C61" s="16"/>
      <c r="D61" s="17"/>
      <c r="E61" s="32"/>
      <c r="F61" s="32"/>
      <c r="G61" s="32"/>
      <c r="H61"/>
      <c r="I61"/>
      <c r="J61"/>
      <c r="K61"/>
      <c r="L61"/>
      <c r="M61"/>
      <c r="N61"/>
      <c r="O61"/>
      <c r="P61"/>
      <c r="Q61"/>
      <c r="R61"/>
    </row>
    <row r="62" spans="1:18" ht="15">
      <c r="A62" s="34"/>
      <c r="B62" s="21" t="s">
        <v>99</v>
      </c>
      <c r="C62" s="25"/>
      <c r="D62" s="20"/>
      <c r="E62" s="29"/>
      <c r="F62" s="29"/>
      <c r="G62" s="29"/>
      <c r="H62"/>
      <c r="I62"/>
      <c r="J62"/>
      <c r="K62"/>
      <c r="L62"/>
      <c r="M62"/>
      <c r="N62"/>
      <c r="O62"/>
      <c r="P62"/>
      <c r="Q62"/>
      <c r="R62"/>
    </row>
    <row r="63" spans="1:18" ht="15">
      <c r="A63" s="59"/>
      <c r="B63" s="21" t="s">
        <v>100</v>
      </c>
      <c r="C63" s="25"/>
      <c r="D63" s="20"/>
      <c r="E63" s="30">
        <v>1565745</v>
      </c>
      <c r="F63" s="22">
        <f>(E63*0.01)+E63</f>
        <v>1581402.45</v>
      </c>
      <c r="G63" s="22">
        <f>(F63*0.01)+F63</f>
        <v>1597216.4745</v>
      </c>
      <c r="H63"/>
      <c r="I63"/>
      <c r="J63"/>
      <c r="K63"/>
      <c r="L63"/>
      <c r="M63"/>
      <c r="N63"/>
      <c r="O63"/>
      <c r="P63"/>
      <c r="Q63"/>
      <c r="R63"/>
    </row>
    <row r="64" spans="1:18" ht="15">
      <c r="A64" s="37"/>
      <c r="B64" s="38" t="s">
        <v>109</v>
      </c>
      <c r="C64" s="38"/>
      <c r="D64" s="36"/>
      <c r="E64" s="39">
        <f>SUM(E61:E63)</f>
        <v>1565745</v>
      </c>
      <c r="F64" s="39">
        <f>SUM(F61:F63)</f>
        <v>1581402.45</v>
      </c>
      <c r="G64" s="39">
        <f>SUM(G61:G63)</f>
        <v>1597216.4745</v>
      </c>
      <c r="H64"/>
      <c r="I64"/>
      <c r="J64"/>
      <c r="K64"/>
      <c r="L64"/>
      <c r="M64"/>
      <c r="N64"/>
      <c r="O64"/>
      <c r="P64"/>
      <c r="Q64"/>
      <c r="R64"/>
    </row>
    <row r="65" spans="1:18" ht="15">
      <c r="A65" s="13"/>
      <c r="B65" s="75"/>
      <c r="C65" s="75"/>
      <c r="D65" s="75"/>
      <c r="E65" s="75"/>
      <c r="F65" s="75"/>
      <c r="G65" s="75"/>
      <c r="H65"/>
      <c r="I65"/>
      <c r="J65"/>
      <c r="K65"/>
      <c r="L65"/>
      <c r="M65"/>
      <c r="N65"/>
      <c r="O65"/>
      <c r="P65"/>
      <c r="Q65"/>
      <c r="R65"/>
    </row>
    <row r="66" spans="1:18" ht="15">
      <c r="A66" s="13"/>
      <c r="B66" s="76" t="s">
        <v>141</v>
      </c>
      <c r="C66" s="76"/>
      <c r="D66" s="75"/>
      <c r="E66" s="39">
        <f>E14</f>
        <v>287288000</v>
      </c>
      <c r="F66" s="39">
        <f>F14</f>
        <v>321762560</v>
      </c>
      <c r="G66" s="39">
        <f>G14</f>
        <v>360374067.2</v>
      </c>
      <c r="H66"/>
      <c r="I66"/>
      <c r="J66"/>
      <c r="K66"/>
      <c r="L66"/>
      <c r="M66"/>
      <c r="N66"/>
      <c r="O66"/>
      <c r="P66"/>
      <c r="Q66"/>
      <c r="R66"/>
    </row>
    <row r="67" spans="1:18" ht="15">
      <c r="A67" s="49"/>
      <c r="B67" s="33"/>
      <c r="C67" s="78"/>
      <c r="D67" s="33"/>
      <c r="E67" s="33"/>
      <c r="F67" s="33"/>
      <c r="G67" s="33"/>
      <c r="H67"/>
      <c r="I67"/>
      <c r="J67"/>
      <c r="K67"/>
      <c r="L67"/>
      <c r="M67"/>
      <c r="N67"/>
      <c r="O67"/>
      <c r="P67"/>
      <c r="Q67"/>
      <c r="R67"/>
    </row>
    <row r="68" spans="1:18" ht="15">
      <c r="A68" s="49"/>
      <c r="B68" s="78" t="s">
        <v>180</v>
      </c>
      <c r="C68" s="78"/>
      <c r="D68" s="33"/>
      <c r="E68" s="77">
        <f>E50+E64</f>
        <v>277467324</v>
      </c>
      <c r="F68" s="77">
        <f>F50+F64</f>
        <v>295413517.23999995</v>
      </c>
      <c r="G68" s="77">
        <f>G50+G64</f>
        <v>307942748.4124</v>
      </c>
      <c r="H68"/>
      <c r="I68"/>
      <c r="J68"/>
      <c r="K68"/>
      <c r="L68"/>
      <c r="M68"/>
      <c r="N68"/>
      <c r="O68"/>
      <c r="P68"/>
      <c r="Q68"/>
      <c r="R68"/>
    </row>
    <row r="69" spans="1:18" ht="15">
      <c r="A69" s="91"/>
      <c r="B69" s="42"/>
      <c r="C69" s="42"/>
      <c r="D69" s="41"/>
      <c r="E69" s="92"/>
      <c r="F69" s="92"/>
      <c r="G69" s="92"/>
      <c r="H69"/>
      <c r="I69"/>
      <c r="J69"/>
      <c r="K69"/>
      <c r="L69"/>
      <c r="M69"/>
      <c r="N69"/>
      <c r="O69"/>
      <c r="P69"/>
      <c r="Q69"/>
      <c r="R69"/>
    </row>
    <row r="70" spans="1:18" ht="15">
      <c r="A70" s="49"/>
      <c r="B70" s="76" t="s">
        <v>179</v>
      </c>
      <c r="C70" s="78"/>
      <c r="D70" s="33"/>
      <c r="E70" s="77"/>
      <c r="F70" s="77"/>
      <c r="G70" s="77"/>
      <c r="H70"/>
      <c r="I70"/>
      <c r="J70"/>
      <c r="K70"/>
      <c r="L70"/>
      <c r="M70"/>
      <c r="N70"/>
      <c r="O70"/>
      <c r="P70"/>
      <c r="Q70"/>
      <c r="R70"/>
    </row>
    <row r="71" spans="1:18" ht="15">
      <c r="A71" s="49"/>
      <c r="B71" s="33"/>
      <c r="C71" s="33"/>
      <c r="D71" s="33"/>
      <c r="E71" s="33"/>
      <c r="F71" s="33"/>
      <c r="G71" s="33"/>
      <c r="H71"/>
      <c r="I71"/>
      <c r="J71"/>
      <c r="K71"/>
      <c r="L71"/>
      <c r="M71"/>
      <c r="N71"/>
      <c r="O71"/>
      <c r="P71"/>
      <c r="Q71"/>
      <c r="R71"/>
    </row>
    <row r="72" spans="1:18" ht="15">
      <c r="A72" s="79" t="s">
        <v>142</v>
      </c>
      <c r="B72" s="25"/>
      <c r="C72" s="25"/>
      <c r="D72" s="25"/>
      <c r="E72" s="80">
        <f>E66-E68</f>
        <v>9820676</v>
      </c>
      <c r="F72" s="80">
        <f>F66-F68</f>
        <v>26349042.76000005</v>
      </c>
      <c r="G72" s="80">
        <f>G66-G68</f>
        <v>52431318.78759998</v>
      </c>
      <c r="H72"/>
      <c r="I72"/>
      <c r="J72"/>
      <c r="K72"/>
      <c r="L72"/>
      <c r="M72"/>
      <c r="N72"/>
      <c r="O72"/>
      <c r="P72"/>
      <c r="Q72"/>
      <c r="R72"/>
    </row>
  </sheetData>
  <printOptions horizontalCentered="1" verticalCentered="1"/>
  <pageMargins left="0.76" right="0" top="0" bottom="0" header="0" footer="0"/>
  <pageSetup fitToHeight="2" fitToWidth="1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workbookViewId="0" topLeftCell="A12">
      <selection activeCell="G12" sqref="G12"/>
    </sheetView>
  </sheetViews>
  <sheetFormatPr defaultColWidth="8.88671875" defaultRowHeight="15"/>
  <cols>
    <col min="1" max="1" width="5.21484375" style="1" customWidth="1"/>
    <col min="2" max="3" width="8.88671875" style="1" customWidth="1"/>
    <col min="4" max="4" width="11.99609375" style="1" customWidth="1"/>
    <col min="5" max="5" width="9.77734375" style="1" customWidth="1"/>
    <col min="6" max="6" width="11.10546875" style="1" customWidth="1"/>
    <col min="7" max="7" width="10.10546875" style="1" customWidth="1"/>
    <col min="8" max="8" width="8.88671875" style="1" customWidth="1"/>
    <col min="9" max="9" width="9.10546875" style="1" customWidth="1"/>
    <col min="10" max="10" width="10.21484375" style="1" customWidth="1"/>
    <col min="11" max="11" width="9.88671875" style="1" customWidth="1"/>
    <col min="12" max="12" width="10.10546875" style="1" customWidth="1"/>
    <col min="13" max="13" width="9.99609375" style="1" customWidth="1"/>
    <col min="14" max="14" width="9.4453125" style="1" customWidth="1"/>
    <col min="15" max="15" width="11.10546875" style="1" customWidth="1"/>
    <col min="16" max="16" width="9.99609375" style="1" customWidth="1"/>
    <col min="17" max="17" width="10.88671875" style="1" customWidth="1"/>
    <col min="18" max="18" width="12.77734375" style="1" customWidth="1"/>
  </cols>
  <sheetData>
    <row r="1" spans="1:17" ht="23.25">
      <c r="A1" s="93" t="s">
        <v>140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23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23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23.25">
      <c r="A4" s="5" t="s">
        <v>185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ht="18.75">
      <c r="A5" s="6"/>
      <c r="B5" s="6"/>
      <c r="C5" s="6"/>
      <c r="D5" s="6"/>
      <c r="E5" s="96">
        <v>1999</v>
      </c>
      <c r="F5" s="96">
        <v>2000</v>
      </c>
      <c r="G5" s="96">
        <v>2001</v>
      </c>
      <c r="H5"/>
      <c r="I5"/>
      <c r="J5"/>
      <c r="K5"/>
      <c r="L5"/>
      <c r="M5"/>
      <c r="N5"/>
      <c r="O5"/>
      <c r="P5"/>
      <c r="Q5"/>
      <c r="R5"/>
    </row>
    <row r="6" spans="1:18" ht="15">
      <c r="A6" s="7" t="s">
        <v>1</v>
      </c>
      <c r="B6" s="84" t="s">
        <v>2</v>
      </c>
      <c r="C6" s="85"/>
      <c r="D6" s="86"/>
      <c r="E6" s="11"/>
      <c r="F6" s="11"/>
      <c r="G6" s="11"/>
      <c r="H6"/>
      <c r="I6"/>
      <c r="J6"/>
      <c r="K6"/>
      <c r="L6"/>
      <c r="M6"/>
      <c r="N6"/>
      <c r="O6"/>
      <c r="P6"/>
      <c r="Q6"/>
      <c r="R6"/>
    </row>
    <row r="7" spans="1:18" ht="15">
      <c r="A7" s="14" t="s">
        <v>150</v>
      </c>
      <c r="B7" s="83"/>
      <c r="C7" s="52"/>
      <c r="D7" s="32"/>
      <c r="E7" s="11"/>
      <c r="F7" s="11"/>
      <c r="G7" s="11"/>
      <c r="H7"/>
      <c r="I7"/>
      <c r="J7"/>
      <c r="K7"/>
      <c r="L7"/>
      <c r="M7"/>
      <c r="N7"/>
      <c r="O7"/>
      <c r="P7"/>
      <c r="Q7"/>
      <c r="R7"/>
    </row>
    <row r="8" spans="1:18" ht="15">
      <c r="A8" s="19" t="s">
        <v>111</v>
      </c>
      <c r="B8" s="21" t="s">
        <v>115</v>
      </c>
      <c r="C8" s="25"/>
      <c r="D8" s="81"/>
      <c r="E8" s="22"/>
      <c r="F8" s="22">
        <f>(E8*0.12)+E8</f>
        <v>0</v>
      </c>
      <c r="G8" s="22">
        <f>(F8*0.12)+F8</f>
        <v>0</v>
      </c>
      <c r="H8"/>
      <c r="I8"/>
      <c r="J8"/>
      <c r="K8"/>
      <c r="L8"/>
      <c r="M8"/>
      <c r="N8"/>
      <c r="O8"/>
      <c r="P8"/>
      <c r="Q8"/>
      <c r="R8"/>
    </row>
    <row r="9" spans="1:18" ht="15">
      <c r="A9" s="27" t="s">
        <v>154</v>
      </c>
      <c r="B9" s="28"/>
      <c r="C9" s="21"/>
      <c r="D9" s="20"/>
      <c r="E9" s="22"/>
      <c r="F9" s="22"/>
      <c r="G9" s="22"/>
      <c r="H9"/>
      <c r="I9"/>
      <c r="J9"/>
      <c r="K9"/>
      <c r="L9"/>
      <c r="M9"/>
      <c r="N9"/>
      <c r="O9"/>
      <c r="P9"/>
      <c r="Q9"/>
      <c r="R9"/>
    </row>
    <row r="10" spans="1:18" ht="15">
      <c r="A10" s="23" t="s">
        <v>3</v>
      </c>
      <c r="B10" s="31" t="s">
        <v>6</v>
      </c>
      <c r="C10" s="16"/>
      <c r="D10" s="17"/>
      <c r="E10" s="32"/>
      <c r="F10" s="32"/>
      <c r="G10" s="32"/>
      <c r="H10"/>
      <c r="I10"/>
      <c r="J10"/>
      <c r="K10"/>
      <c r="L10"/>
      <c r="M10"/>
      <c r="N10"/>
      <c r="O10"/>
      <c r="P10"/>
      <c r="Q10"/>
      <c r="R10"/>
    </row>
    <row r="11" spans="1:18" ht="15">
      <c r="A11" s="19"/>
      <c r="B11" s="21" t="s">
        <v>7</v>
      </c>
      <c r="C11" s="25"/>
      <c r="D11" s="20"/>
      <c r="E11" s="22">
        <v>200000000</v>
      </c>
      <c r="F11" s="22">
        <f>E11+(E11*0.12)</f>
        <v>224000000</v>
      </c>
      <c r="G11" s="22">
        <f>(F11*0.12)+F11</f>
        <v>250880000</v>
      </c>
      <c r="H11"/>
      <c r="I11"/>
      <c r="J11"/>
      <c r="K11"/>
      <c r="L11"/>
      <c r="M11"/>
      <c r="N11"/>
      <c r="O11"/>
      <c r="P11"/>
      <c r="Q11"/>
      <c r="R11"/>
    </row>
    <row r="12" spans="1:18" ht="15">
      <c r="A12" s="23" t="s">
        <v>4</v>
      </c>
      <c r="B12" s="31" t="s">
        <v>9</v>
      </c>
      <c r="C12" s="16"/>
      <c r="D12" s="17"/>
      <c r="E12" s="32"/>
      <c r="F12" s="32"/>
      <c r="G12" s="32"/>
      <c r="H12"/>
      <c r="I12"/>
      <c r="J12"/>
      <c r="K12"/>
      <c r="L12"/>
      <c r="M12"/>
      <c r="N12"/>
      <c r="O12"/>
      <c r="P12"/>
      <c r="Q12"/>
      <c r="R12"/>
    </row>
    <row r="13" spans="1:18" ht="15">
      <c r="A13" s="34"/>
      <c r="B13" s="21" t="s">
        <v>133</v>
      </c>
      <c r="C13" s="35"/>
      <c r="D13" s="36"/>
      <c r="E13" s="29">
        <v>5800000</v>
      </c>
      <c r="F13" s="22">
        <f>(E13*0.12)+E13</f>
        <v>6496000</v>
      </c>
      <c r="G13" s="22">
        <f>(F13*0.12)+F13</f>
        <v>7275520</v>
      </c>
      <c r="H13"/>
      <c r="I13"/>
      <c r="J13"/>
      <c r="K13"/>
      <c r="L13"/>
      <c r="M13"/>
      <c r="N13"/>
      <c r="O13"/>
      <c r="P13"/>
      <c r="Q13"/>
      <c r="R13"/>
    </row>
    <row r="14" spans="1:18" ht="15">
      <c r="A14" s="37"/>
      <c r="B14" s="38" t="s">
        <v>109</v>
      </c>
      <c r="C14" s="38"/>
      <c r="D14" s="36"/>
      <c r="E14" s="39">
        <f>SUM(E8:E13)</f>
        <v>205800000</v>
      </c>
      <c r="F14" s="39">
        <f>SUM(F8:F13)</f>
        <v>230496000</v>
      </c>
      <c r="G14" s="39">
        <f>SUM(G8:G13)</f>
        <v>258155520</v>
      </c>
      <c r="H14"/>
      <c r="I14"/>
      <c r="J14"/>
      <c r="K14"/>
      <c r="L14"/>
      <c r="M14"/>
      <c r="N14"/>
      <c r="O14"/>
      <c r="P14"/>
      <c r="Q14"/>
      <c r="R14"/>
    </row>
    <row r="15" spans="1:18" ht="15">
      <c r="A15" s="44" t="s">
        <v>11</v>
      </c>
      <c r="B15" s="4" t="s">
        <v>12</v>
      </c>
      <c r="C15" s="45"/>
      <c r="D15" s="46"/>
      <c r="E15" s="47"/>
      <c r="F15" s="47"/>
      <c r="G15" s="47"/>
      <c r="H15"/>
      <c r="I15"/>
      <c r="J15"/>
      <c r="K15"/>
      <c r="L15"/>
      <c r="M15"/>
      <c r="N15"/>
      <c r="O15"/>
      <c r="P15"/>
      <c r="Q15"/>
      <c r="R15"/>
    </row>
    <row r="16" spans="1:18" ht="15">
      <c r="A16" s="27" t="s">
        <v>155</v>
      </c>
      <c r="B16" s="15"/>
      <c r="C16" s="16"/>
      <c r="D16" s="17"/>
      <c r="E16" s="11"/>
      <c r="F16" s="11"/>
      <c r="G16" s="11"/>
      <c r="H16"/>
      <c r="I16"/>
      <c r="J16"/>
      <c r="K16"/>
      <c r="L16"/>
      <c r="M16"/>
      <c r="N16"/>
      <c r="O16"/>
      <c r="P16"/>
      <c r="Q16"/>
      <c r="R16"/>
    </row>
    <row r="17" spans="1:18" ht="15">
      <c r="A17" s="34"/>
      <c r="B17" s="21" t="s">
        <v>16</v>
      </c>
      <c r="C17" s="25"/>
      <c r="D17" s="20"/>
      <c r="E17" s="30">
        <v>500000</v>
      </c>
      <c r="F17" s="22">
        <f>(E17*0.05)+E17</f>
        <v>525000</v>
      </c>
      <c r="G17" s="22">
        <f>(F17*0.05)+F17</f>
        <v>551250</v>
      </c>
      <c r="H17"/>
      <c r="I17"/>
      <c r="J17"/>
      <c r="K17"/>
      <c r="L17"/>
      <c r="M17"/>
      <c r="N17"/>
      <c r="O17"/>
      <c r="P17"/>
      <c r="Q17"/>
      <c r="R17"/>
    </row>
    <row r="18" spans="1:18" ht="15.75" customHeight="1">
      <c r="A18" s="34"/>
      <c r="B18" s="21" t="s">
        <v>18</v>
      </c>
      <c r="C18" s="25"/>
      <c r="D18" s="20"/>
      <c r="E18" s="30">
        <v>30000000</v>
      </c>
      <c r="F18" s="22">
        <f>(E18*0.05)+E18</f>
        <v>31500000</v>
      </c>
      <c r="G18" s="22">
        <f>(F18*0.05)+F18</f>
        <v>33075000</v>
      </c>
      <c r="H18"/>
      <c r="I18"/>
      <c r="J18"/>
      <c r="K18"/>
      <c r="L18"/>
      <c r="M18"/>
      <c r="N18"/>
      <c r="O18"/>
      <c r="P18"/>
      <c r="Q18"/>
      <c r="R18"/>
    </row>
    <row r="19" spans="1:18" ht="15">
      <c r="A19" s="27" t="s">
        <v>159</v>
      </c>
      <c r="B19" s="15"/>
      <c r="C19" s="16"/>
      <c r="D19" s="17"/>
      <c r="E19" s="11"/>
      <c r="F19" s="11"/>
      <c r="G19" s="11"/>
      <c r="H19"/>
      <c r="I19"/>
      <c r="J19"/>
      <c r="K19"/>
      <c r="L19"/>
      <c r="M19"/>
      <c r="N19"/>
      <c r="O19"/>
      <c r="P19"/>
      <c r="Q19"/>
      <c r="R19"/>
    </row>
    <row r="20" spans="1:18" ht="15">
      <c r="A20" s="34"/>
      <c r="B20" s="21" t="s">
        <v>20</v>
      </c>
      <c r="C20" s="25"/>
      <c r="D20" s="20"/>
      <c r="E20" s="30">
        <v>7200000</v>
      </c>
      <c r="F20" s="22">
        <f>(E20*0.05)+E20</f>
        <v>7560000</v>
      </c>
      <c r="G20" s="22">
        <f>(F20*0.05)+F20</f>
        <v>7938000</v>
      </c>
      <c r="H20"/>
      <c r="I20"/>
      <c r="J20"/>
      <c r="K20"/>
      <c r="L20"/>
      <c r="M20"/>
      <c r="N20"/>
      <c r="O20"/>
      <c r="P20"/>
      <c r="Q20"/>
      <c r="R20"/>
    </row>
    <row r="21" spans="1:18" ht="15">
      <c r="A21" s="34"/>
      <c r="B21" s="21" t="s">
        <v>102</v>
      </c>
      <c r="C21" s="25"/>
      <c r="D21" s="20"/>
      <c r="E21" s="30">
        <v>4000000</v>
      </c>
      <c r="F21" s="22">
        <f>(E21*0.05)+E21</f>
        <v>4200000</v>
      </c>
      <c r="G21" s="22">
        <f>(F21*0.05)+F21</f>
        <v>4410000</v>
      </c>
      <c r="H21"/>
      <c r="I21"/>
      <c r="J21"/>
      <c r="K21"/>
      <c r="L21"/>
      <c r="M21"/>
      <c r="N21"/>
      <c r="O21"/>
      <c r="P21"/>
      <c r="Q21"/>
      <c r="R21"/>
    </row>
    <row r="22" spans="1:18" ht="15">
      <c r="A22" s="34"/>
      <c r="B22" s="53" t="s">
        <v>22</v>
      </c>
      <c r="C22" s="35"/>
      <c r="D22" s="36"/>
      <c r="E22" s="29">
        <v>10000000</v>
      </c>
      <c r="F22" s="22">
        <f>(14700000*0.05)+14700000</f>
        <v>15435000</v>
      </c>
      <c r="G22" s="22">
        <f>(F22*0.05)+F22</f>
        <v>16206750</v>
      </c>
      <c r="H22"/>
      <c r="I22"/>
      <c r="J22"/>
      <c r="K22"/>
      <c r="L22"/>
      <c r="M22"/>
      <c r="N22"/>
      <c r="O22"/>
      <c r="P22"/>
      <c r="Q22"/>
      <c r="R22"/>
    </row>
    <row r="23" spans="1:18" ht="15">
      <c r="A23" s="34"/>
      <c r="B23" s="21" t="s">
        <v>23</v>
      </c>
      <c r="C23" s="25"/>
      <c r="D23" s="20"/>
      <c r="E23" s="30">
        <v>2028000</v>
      </c>
      <c r="F23" s="22">
        <f>(E23*0.05)+E23</f>
        <v>2129400</v>
      </c>
      <c r="G23" s="22">
        <f>(F23*0.05)+F23</f>
        <v>2235870</v>
      </c>
      <c r="H23"/>
      <c r="I23"/>
      <c r="J23"/>
      <c r="K23"/>
      <c r="L23"/>
      <c r="M23"/>
      <c r="N23"/>
      <c r="O23"/>
      <c r="P23"/>
      <c r="Q23"/>
      <c r="R23"/>
    </row>
    <row r="24" spans="1:18" ht="15">
      <c r="A24" s="34"/>
      <c r="B24" s="21" t="s">
        <v>24</v>
      </c>
      <c r="C24" s="25"/>
      <c r="D24" s="20"/>
      <c r="E24" s="30">
        <v>1122000</v>
      </c>
      <c r="F24" s="22">
        <f>(E24*0.05)+E24</f>
        <v>1178100</v>
      </c>
      <c r="G24" s="22">
        <f>(F24*0.05)+F24</f>
        <v>1237005</v>
      </c>
      <c r="H24"/>
      <c r="I24"/>
      <c r="J24"/>
      <c r="K24"/>
      <c r="L24"/>
      <c r="M24"/>
      <c r="N24"/>
      <c r="O24"/>
      <c r="P24"/>
      <c r="Q24"/>
      <c r="R24"/>
    </row>
    <row r="25" spans="1:18" ht="15">
      <c r="A25" s="34"/>
      <c r="B25" s="21" t="s">
        <v>120</v>
      </c>
      <c r="C25" s="25"/>
      <c r="D25" s="20"/>
      <c r="E25" s="30">
        <v>4000000</v>
      </c>
      <c r="F25" s="22">
        <f>(E25*0.05)+E25</f>
        <v>4200000</v>
      </c>
      <c r="G25" s="22">
        <f>(F25*0.05)+F25</f>
        <v>4410000</v>
      </c>
      <c r="H25"/>
      <c r="I25"/>
      <c r="J25"/>
      <c r="K25"/>
      <c r="L25"/>
      <c r="M25"/>
      <c r="N25"/>
      <c r="O25"/>
      <c r="P25"/>
      <c r="Q25"/>
      <c r="R25"/>
    </row>
    <row r="26" spans="1:18" ht="15">
      <c r="A26" s="34"/>
      <c r="B26" s="21" t="s">
        <v>27</v>
      </c>
      <c r="C26" s="25"/>
      <c r="D26" s="20"/>
      <c r="E26" s="30">
        <v>43000000</v>
      </c>
      <c r="F26" s="22">
        <f>(E26*0.05)+E26</f>
        <v>45150000</v>
      </c>
      <c r="G26" s="22">
        <f>(F26*0.05)+F26</f>
        <v>47407500</v>
      </c>
      <c r="H26"/>
      <c r="I26"/>
      <c r="J26"/>
      <c r="K26"/>
      <c r="L26"/>
      <c r="M26"/>
      <c r="N26"/>
      <c r="O26"/>
      <c r="P26"/>
      <c r="Q26"/>
      <c r="R26"/>
    </row>
    <row r="27" spans="1:18" ht="15">
      <c r="A27" s="34"/>
      <c r="B27" s="21" t="s">
        <v>158</v>
      </c>
      <c r="C27" s="25"/>
      <c r="D27" s="20"/>
      <c r="E27" s="30">
        <v>102000000</v>
      </c>
      <c r="F27" s="22">
        <f>(E27*0.05)+E27</f>
        <v>107100000</v>
      </c>
      <c r="G27" s="22">
        <f>(F27*0.05)+F27</f>
        <v>112455000</v>
      </c>
      <c r="H27"/>
      <c r="I27"/>
      <c r="J27"/>
      <c r="K27"/>
      <c r="L27"/>
      <c r="M27"/>
      <c r="N27"/>
      <c r="O27"/>
      <c r="P27"/>
      <c r="Q27"/>
      <c r="R27"/>
    </row>
    <row r="28" spans="1:18" ht="15">
      <c r="A28" s="34"/>
      <c r="B28" s="21" t="s">
        <v>125</v>
      </c>
      <c r="C28" s="25"/>
      <c r="D28" s="20"/>
      <c r="E28" s="30"/>
      <c r="F28" s="22">
        <f>(E28*0.05)+E28</f>
        <v>0</v>
      </c>
      <c r="G28" s="22">
        <f>(F28*0.05)+F28</f>
        <v>0</v>
      </c>
      <c r="H28"/>
      <c r="I28"/>
      <c r="J28"/>
      <c r="K28"/>
      <c r="L28"/>
      <c r="M28"/>
      <c r="N28"/>
      <c r="O28"/>
      <c r="P28"/>
      <c r="Q28"/>
      <c r="R28"/>
    </row>
    <row r="29" spans="1:18" ht="15">
      <c r="A29" s="34"/>
      <c r="B29" s="21" t="s">
        <v>143</v>
      </c>
      <c r="C29" s="25"/>
      <c r="D29" s="20"/>
      <c r="E29" s="30"/>
      <c r="F29" s="22">
        <f>(E29*0.05)+E29</f>
        <v>0</v>
      </c>
      <c r="G29" s="22">
        <f>(F29*0.05)+F29</f>
        <v>0</v>
      </c>
      <c r="H29"/>
      <c r="I29"/>
      <c r="J29"/>
      <c r="K29"/>
      <c r="L29"/>
      <c r="M29"/>
      <c r="N29"/>
      <c r="O29"/>
      <c r="P29"/>
      <c r="Q29"/>
      <c r="R29"/>
    </row>
    <row r="30" spans="1:18" ht="15">
      <c r="A30" s="34"/>
      <c r="B30" s="21" t="s">
        <v>32</v>
      </c>
      <c r="C30" s="25"/>
      <c r="D30" s="20"/>
      <c r="E30" s="30">
        <v>2000000</v>
      </c>
      <c r="F30" s="22">
        <f>(E30*0.05)+E30</f>
        <v>2100000</v>
      </c>
      <c r="G30" s="22">
        <f>(F30*0.05)+F30</f>
        <v>2205000</v>
      </c>
      <c r="H30"/>
      <c r="I30"/>
      <c r="J30"/>
      <c r="K30"/>
      <c r="L30"/>
      <c r="M30"/>
      <c r="N30"/>
      <c r="O30"/>
      <c r="P30"/>
      <c r="Q30"/>
      <c r="R30"/>
    </row>
    <row r="31" spans="1:18" ht="15">
      <c r="A31" s="34"/>
      <c r="B31" s="21" t="s">
        <v>122</v>
      </c>
      <c r="C31" s="25"/>
      <c r="D31" s="20"/>
      <c r="E31" s="30">
        <v>700000</v>
      </c>
      <c r="F31" s="22">
        <f>(E31*0.05)+E31</f>
        <v>735000</v>
      </c>
      <c r="G31" s="22">
        <f>(F31*0.05)+F31</f>
        <v>771750</v>
      </c>
      <c r="H31"/>
      <c r="I31"/>
      <c r="J31"/>
      <c r="K31"/>
      <c r="L31"/>
      <c r="M31"/>
      <c r="N31"/>
      <c r="O31"/>
      <c r="P31"/>
      <c r="Q31"/>
      <c r="R31"/>
    </row>
    <row r="32" spans="1:18" ht="15">
      <c r="A32" s="34"/>
      <c r="B32" s="53" t="s">
        <v>34</v>
      </c>
      <c r="C32" s="35"/>
      <c r="D32" s="36"/>
      <c r="E32" s="29"/>
      <c r="F32" s="22">
        <f>(E32*0.05)+E32</f>
        <v>0</v>
      </c>
      <c r="G32" s="22">
        <f>(F32*0.05)+F32</f>
        <v>0</v>
      </c>
      <c r="H32"/>
      <c r="I32"/>
      <c r="J32"/>
      <c r="K32"/>
      <c r="L32"/>
      <c r="M32"/>
      <c r="N32"/>
      <c r="O32"/>
      <c r="P32"/>
      <c r="Q32"/>
      <c r="R32"/>
    </row>
    <row r="33" spans="1:18" ht="15">
      <c r="A33" s="34"/>
      <c r="B33" s="21" t="s">
        <v>35</v>
      </c>
      <c r="C33" s="25"/>
      <c r="D33" s="20"/>
      <c r="E33" s="30"/>
      <c r="F33" s="22">
        <f>(E33*0.05)+E33</f>
        <v>0</v>
      </c>
      <c r="G33" s="22">
        <f>(F33*0.05)+F33</f>
        <v>0</v>
      </c>
      <c r="H33"/>
      <c r="I33"/>
      <c r="J33"/>
      <c r="K33"/>
      <c r="L33"/>
      <c r="M33"/>
      <c r="N33"/>
      <c r="O33"/>
      <c r="P33"/>
      <c r="Q33"/>
      <c r="R33"/>
    </row>
    <row r="34" spans="1:18" ht="15">
      <c r="A34" s="34"/>
      <c r="B34" s="21" t="s">
        <v>108</v>
      </c>
      <c r="C34" s="25"/>
      <c r="D34" s="20"/>
      <c r="E34" s="30">
        <v>500000</v>
      </c>
      <c r="F34" s="22">
        <f>(E34*0.05)+E34</f>
        <v>525000</v>
      </c>
      <c r="G34" s="22">
        <f>(F34*0.05)+F34</f>
        <v>551250</v>
      </c>
      <c r="H34"/>
      <c r="I34"/>
      <c r="J34"/>
      <c r="K34"/>
      <c r="L34"/>
      <c r="M34"/>
      <c r="N34"/>
      <c r="O34"/>
      <c r="P34"/>
      <c r="Q34"/>
      <c r="R34"/>
    </row>
    <row r="35" spans="1:18" ht="15">
      <c r="A35" s="60" t="s">
        <v>160</v>
      </c>
      <c r="B35" s="15"/>
      <c r="C35" s="16"/>
      <c r="D35" s="17"/>
      <c r="E35" s="22"/>
      <c r="F35" s="22"/>
      <c r="G35" s="22"/>
      <c r="H35"/>
      <c r="I35"/>
      <c r="J35"/>
      <c r="K35"/>
      <c r="L35"/>
      <c r="M35"/>
      <c r="N35"/>
      <c r="O35"/>
      <c r="P35"/>
      <c r="Q35"/>
      <c r="R35"/>
    </row>
    <row r="36" spans="1:18" ht="15">
      <c r="A36" s="27"/>
      <c r="B36" s="20" t="s">
        <v>199</v>
      </c>
      <c r="C36" s="21"/>
      <c r="D36" s="20"/>
      <c r="E36" s="22">
        <v>2000000</v>
      </c>
      <c r="F36" s="22"/>
      <c r="G36" s="22"/>
      <c r="H36"/>
      <c r="I36"/>
      <c r="J36"/>
      <c r="K36"/>
      <c r="L36"/>
      <c r="M36"/>
      <c r="N36"/>
      <c r="O36"/>
      <c r="P36"/>
      <c r="Q36"/>
      <c r="R36"/>
    </row>
    <row r="37" spans="1:18" ht="15">
      <c r="A37" s="34"/>
      <c r="B37" s="21" t="s">
        <v>123</v>
      </c>
      <c r="C37" s="25"/>
      <c r="D37" s="20"/>
      <c r="E37" s="30"/>
      <c r="F37" s="22">
        <f>(E37*0.05)+E37</f>
        <v>0</v>
      </c>
      <c r="G37" s="22">
        <f>(F37*0.05)+F37</f>
        <v>0</v>
      </c>
      <c r="H37"/>
      <c r="I37"/>
      <c r="J37"/>
      <c r="K37"/>
      <c r="L37"/>
      <c r="M37"/>
      <c r="N37"/>
      <c r="O37"/>
      <c r="P37"/>
      <c r="Q37"/>
      <c r="R37"/>
    </row>
    <row r="38" spans="1:18" ht="15">
      <c r="A38" s="27" t="s">
        <v>161</v>
      </c>
      <c r="B38" s="15"/>
      <c r="C38" s="16"/>
      <c r="D38" s="17"/>
      <c r="E38" s="11"/>
      <c r="F38" s="11"/>
      <c r="G38" s="11"/>
      <c r="H38"/>
      <c r="I38"/>
      <c r="J38"/>
      <c r="K38"/>
      <c r="L38"/>
      <c r="M38"/>
      <c r="N38"/>
      <c r="O38"/>
      <c r="P38"/>
      <c r="Q38"/>
      <c r="R38"/>
    </row>
    <row r="39" spans="1:18" ht="15">
      <c r="A39" s="34"/>
      <c r="B39" s="21" t="s">
        <v>39</v>
      </c>
      <c r="C39" s="25"/>
      <c r="D39" s="20"/>
      <c r="E39" s="29"/>
      <c r="F39" s="22">
        <f>(E39*0.01)+E39</f>
        <v>0</v>
      </c>
      <c r="G39" s="22">
        <f>(F39*0.01)+F39</f>
        <v>0</v>
      </c>
      <c r="H39"/>
      <c r="I39"/>
      <c r="J39"/>
      <c r="K39"/>
      <c r="L39"/>
      <c r="M39"/>
      <c r="N39"/>
      <c r="O39"/>
      <c r="P39"/>
      <c r="Q39"/>
      <c r="R39"/>
    </row>
    <row r="40" spans="1:18" ht="15">
      <c r="A40" s="34"/>
      <c r="B40" s="21" t="s">
        <v>103</v>
      </c>
      <c r="C40" s="25"/>
      <c r="D40" s="20"/>
      <c r="E40" s="30"/>
      <c r="F40" s="22">
        <f>(E40*0.01)+E40</f>
        <v>0</v>
      </c>
      <c r="G40" s="22">
        <f>(F40*0.01)+F40</f>
        <v>0</v>
      </c>
      <c r="H40"/>
      <c r="I40"/>
      <c r="J40"/>
      <c r="K40"/>
      <c r="L40"/>
      <c r="M40"/>
      <c r="N40"/>
      <c r="O40"/>
      <c r="P40"/>
      <c r="Q40"/>
      <c r="R40"/>
    </row>
    <row r="41" spans="1:18" ht="15">
      <c r="A41" s="34"/>
      <c r="B41" s="21" t="s">
        <v>40</v>
      </c>
      <c r="C41" s="25"/>
      <c r="D41" s="20"/>
      <c r="E41" s="30"/>
      <c r="F41" s="22">
        <f>(E41*0.01)+E41</f>
        <v>0</v>
      </c>
      <c r="G41" s="22">
        <f>(F41*0.01)+F41</f>
        <v>0</v>
      </c>
      <c r="H41"/>
      <c r="I41"/>
      <c r="J41"/>
      <c r="K41"/>
      <c r="L41"/>
      <c r="M41"/>
      <c r="N41"/>
      <c r="O41"/>
      <c r="P41"/>
      <c r="Q41"/>
      <c r="R41"/>
    </row>
    <row r="42" spans="1:18" ht="15">
      <c r="A42" s="34"/>
      <c r="B42" s="21" t="s">
        <v>41</v>
      </c>
      <c r="C42" s="25"/>
      <c r="D42" s="20"/>
      <c r="E42" s="30"/>
      <c r="F42" s="30"/>
      <c r="G42" s="30"/>
      <c r="H42"/>
      <c r="I42"/>
      <c r="J42"/>
      <c r="K42"/>
      <c r="L42"/>
      <c r="M42"/>
      <c r="N42"/>
      <c r="O42"/>
      <c r="P42"/>
      <c r="Q42"/>
      <c r="R42"/>
    </row>
    <row r="43" spans="1:18" ht="15">
      <c r="A43" s="34"/>
      <c r="B43" s="21" t="s">
        <v>42</v>
      </c>
      <c r="C43" s="25"/>
      <c r="D43" s="20"/>
      <c r="E43" s="30"/>
      <c r="F43" s="30"/>
      <c r="G43" s="30"/>
      <c r="H43"/>
      <c r="I43"/>
      <c r="J43"/>
      <c r="K43"/>
      <c r="L43"/>
      <c r="M43"/>
      <c r="N43"/>
      <c r="O43"/>
      <c r="P43"/>
      <c r="Q43"/>
      <c r="R43"/>
    </row>
    <row r="44" spans="1:18" ht="15">
      <c r="A44" s="34"/>
      <c r="B44" s="21" t="s">
        <v>43</v>
      </c>
      <c r="C44" s="25"/>
      <c r="D44" s="20"/>
      <c r="E44" s="30"/>
      <c r="F44" s="30"/>
      <c r="G44" s="30"/>
      <c r="H44"/>
      <c r="I44"/>
      <c r="J44"/>
      <c r="K44"/>
      <c r="L44"/>
      <c r="M44"/>
      <c r="N44"/>
      <c r="O44"/>
      <c r="P44"/>
      <c r="Q44"/>
      <c r="R44"/>
    </row>
    <row r="45" spans="1:18" ht="15">
      <c r="A45" s="27" t="s">
        <v>162</v>
      </c>
      <c r="B45" s="15"/>
      <c r="C45" s="16"/>
      <c r="D45" s="17"/>
      <c r="E45" s="11"/>
      <c r="F45" s="11"/>
      <c r="G45" s="11"/>
      <c r="H45"/>
      <c r="I45"/>
      <c r="J45"/>
      <c r="K45"/>
      <c r="L45"/>
      <c r="M45"/>
      <c r="N45"/>
      <c r="O45"/>
      <c r="P45"/>
      <c r="Q45"/>
      <c r="R45"/>
    </row>
    <row r="46" spans="1:18" ht="15">
      <c r="A46" s="61"/>
      <c r="B46" s="21" t="s">
        <v>45</v>
      </c>
      <c r="C46" s="25"/>
      <c r="D46" s="20"/>
      <c r="E46" s="30">
        <v>15000000</v>
      </c>
      <c r="F46" s="30">
        <v>20000000</v>
      </c>
      <c r="G46" s="30">
        <v>20000000</v>
      </c>
      <c r="H46"/>
      <c r="I46"/>
      <c r="J46"/>
      <c r="K46"/>
      <c r="L46"/>
      <c r="M46"/>
      <c r="N46"/>
      <c r="O46"/>
      <c r="P46"/>
      <c r="Q46"/>
      <c r="R46"/>
    </row>
    <row r="47" spans="1:18" ht="15">
      <c r="A47" s="27" t="s">
        <v>57</v>
      </c>
      <c r="B47" s="15" t="s">
        <v>58</v>
      </c>
      <c r="C47" s="16"/>
      <c r="D47" s="17"/>
      <c r="E47" s="11"/>
      <c r="F47" s="11"/>
      <c r="G47" s="11"/>
      <c r="H47"/>
      <c r="I47"/>
      <c r="J47"/>
      <c r="K47"/>
      <c r="L47"/>
      <c r="M47"/>
      <c r="N47"/>
      <c r="O47"/>
      <c r="P47"/>
      <c r="Q47"/>
      <c r="R47"/>
    </row>
    <row r="48" spans="1:18" ht="15">
      <c r="A48" s="61"/>
      <c r="B48" s="21" t="s">
        <v>107</v>
      </c>
      <c r="C48" s="25"/>
      <c r="D48" s="20"/>
      <c r="E48" s="30">
        <v>500000</v>
      </c>
      <c r="F48" s="22">
        <f>(E48*0.05)+E48</f>
        <v>525000</v>
      </c>
      <c r="G48" s="22">
        <f>(F48*0.05)+F48</f>
        <v>551250</v>
      </c>
      <c r="H48"/>
      <c r="I48"/>
      <c r="J48"/>
      <c r="K48"/>
      <c r="L48"/>
      <c r="M48"/>
      <c r="N48"/>
      <c r="O48"/>
      <c r="P48"/>
      <c r="Q48"/>
      <c r="R48"/>
    </row>
    <row r="49" spans="1:18" ht="15">
      <c r="A49" s="37"/>
      <c r="B49" s="38" t="s">
        <v>109</v>
      </c>
      <c r="C49" s="38"/>
      <c r="D49" s="36"/>
      <c r="E49" s="39">
        <f>SUM(E17:E48)</f>
        <v>224550000</v>
      </c>
      <c r="F49" s="39">
        <f>SUM(F17:F48)</f>
        <v>242862500</v>
      </c>
      <c r="G49" s="39">
        <f>SUM(G17:G48)</f>
        <v>254005625</v>
      </c>
      <c r="H49"/>
      <c r="I49"/>
      <c r="J49"/>
      <c r="K49"/>
      <c r="L49"/>
      <c r="M49"/>
      <c r="N49"/>
      <c r="O49"/>
      <c r="P49"/>
      <c r="Q49"/>
      <c r="R49"/>
    </row>
    <row r="50" spans="1:18" ht="15">
      <c r="A50" s="7" t="s">
        <v>67</v>
      </c>
      <c r="B50" s="62" t="s">
        <v>68</v>
      </c>
      <c r="C50" s="45"/>
      <c r="D50" s="46"/>
      <c r="E50" s="40"/>
      <c r="F50" s="40"/>
      <c r="G50" s="40"/>
      <c r="H50"/>
      <c r="I50"/>
      <c r="J50"/>
      <c r="K50"/>
      <c r="L50"/>
      <c r="M50"/>
      <c r="N50"/>
      <c r="O50"/>
      <c r="P50"/>
      <c r="Q50"/>
      <c r="R50"/>
    </row>
    <row r="51" spans="1:18" ht="15">
      <c r="A51" s="27" t="s">
        <v>71</v>
      </c>
      <c r="B51" s="15" t="s">
        <v>72</v>
      </c>
      <c r="C51" s="16"/>
      <c r="D51" s="17"/>
      <c r="E51" s="63"/>
      <c r="F51" s="63"/>
      <c r="G51" s="63"/>
      <c r="H51"/>
      <c r="I51"/>
      <c r="J51"/>
      <c r="K51"/>
      <c r="L51"/>
      <c r="M51"/>
      <c r="N51"/>
      <c r="O51"/>
      <c r="P51"/>
      <c r="Q51"/>
      <c r="R51"/>
    </row>
    <row r="52" spans="1:18" ht="15">
      <c r="A52" s="61"/>
      <c r="B52" s="21" t="s">
        <v>73</v>
      </c>
      <c r="C52" s="25"/>
      <c r="D52" s="20"/>
      <c r="E52" s="90">
        <v>-2500000</v>
      </c>
      <c r="F52" s="90">
        <v>-2499999</v>
      </c>
      <c r="G52" s="90">
        <v>-2499998</v>
      </c>
      <c r="H52"/>
      <c r="I52"/>
      <c r="J52"/>
      <c r="K52"/>
      <c r="L52"/>
      <c r="M52"/>
      <c r="N52"/>
      <c r="O52"/>
      <c r="P52"/>
      <c r="Q52"/>
      <c r="R52"/>
    </row>
    <row r="53" spans="1:18" ht="15">
      <c r="A53" s="27" t="s">
        <v>76</v>
      </c>
      <c r="B53" s="15" t="s">
        <v>77</v>
      </c>
      <c r="C53" s="16"/>
      <c r="D53" s="17"/>
      <c r="E53" s="11"/>
      <c r="F53" s="11"/>
      <c r="G53" s="11"/>
      <c r="H53"/>
      <c r="I53"/>
      <c r="J53"/>
      <c r="K53"/>
      <c r="L53"/>
      <c r="M53"/>
      <c r="N53"/>
      <c r="O53"/>
      <c r="P53"/>
      <c r="Q53"/>
      <c r="R53"/>
    </row>
    <row r="54" spans="1:18" ht="15">
      <c r="A54" s="65"/>
      <c r="B54" s="21" t="s">
        <v>81</v>
      </c>
      <c r="C54" s="25"/>
      <c r="D54" s="20"/>
      <c r="E54" s="89">
        <f>2000000/12</f>
        <v>166666.66666666666</v>
      </c>
      <c r="F54" s="89">
        <f>2000000/12</f>
        <v>166666.66666666666</v>
      </c>
      <c r="G54" s="89">
        <f>2000000/12</f>
        <v>166666.66666666666</v>
      </c>
      <c r="H54"/>
      <c r="I54"/>
      <c r="J54"/>
      <c r="K54"/>
      <c r="L54"/>
      <c r="M54"/>
      <c r="N54"/>
      <c r="O54"/>
      <c r="P54"/>
      <c r="Q54"/>
      <c r="R54"/>
    </row>
    <row r="55" spans="1:18" ht="15">
      <c r="A55" s="37"/>
      <c r="B55" s="38" t="s">
        <v>109</v>
      </c>
      <c r="C55" s="38"/>
      <c r="D55" s="36"/>
      <c r="E55" s="88"/>
      <c r="F55" s="88"/>
      <c r="G55" s="88"/>
      <c r="H55"/>
      <c r="I55"/>
      <c r="J55"/>
      <c r="K55"/>
      <c r="L55"/>
      <c r="M55"/>
      <c r="N55"/>
      <c r="O55"/>
      <c r="P55"/>
      <c r="Q55"/>
      <c r="R55"/>
    </row>
    <row r="56" spans="1:18" ht="15">
      <c r="A56" s="44" t="s">
        <v>83</v>
      </c>
      <c r="B56" s="4" t="s">
        <v>84</v>
      </c>
      <c r="C56" s="45"/>
      <c r="D56" s="46"/>
      <c r="E56" s="67"/>
      <c r="F56" s="67"/>
      <c r="G56" s="67"/>
      <c r="H56"/>
      <c r="I56"/>
      <c r="J56"/>
      <c r="K56"/>
      <c r="L56"/>
      <c r="M56"/>
      <c r="N56"/>
      <c r="O56"/>
      <c r="P56"/>
      <c r="Q56"/>
      <c r="R56"/>
    </row>
    <row r="57" spans="1:18" ht="15">
      <c r="A57" s="68"/>
      <c r="B57" s="69"/>
      <c r="C57" s="70"/>
      <c r="D57" s="71"/>
      <c r="E57" s="73"/>
      <c r="F57" s="73"/>
      <c r="G57" s="73"/>
      <c r="H57"/>
      <c r="I57"/>
      <c r="J57"/>
      <c r="K57"/>
      <c r="L57"/>
      <c r="M57"/>
      <c r="N57"/>
      <c r="O57"/>
      <c r="P57"/>
      <c r="Q57"/>
      <c r="R57"/>
    </row>
    <row r="58" spans="1:18" ht="15">
      <c r="A58" s="37"/>
      <c r="B58" s="38" t="s">
        <v>109</v>
      </c>
      <c r="C58" s="38"/>
      <c r="D58" s="36"/>
      <c r="E58" s="39"/>
      <c r="F58" s="39"/>
      <c r="G58" s="39"/>
      <c r="H58"/>
      <c r="I58"/>
      <c r="J58"/>
      <c r="K58"/>
      <c r="L58"/>
      <c r="M58"/>
      <c r="N58"/>
      <c r="O58"/>
      <c r="P58"/>
      <c r="Q58"/>
      <c r="R58"/>
    </row>
    <row r="59" spans="1:18" ht="15">
      <c r="A59" s="7" t="s">
        <v>85</v>
      </c>
      <c r="B59" s="8" t="s">
        <v>86</v>
      </c>
      <c r="C59" s="9"/>
      <c r="D59" s="10"/>
      <c r="E59" s="67"/>
      <c r="F59" s="67"/>
      <c r="G59" s="67"/>
      <c r="H59"/>
      <c r="I59"/>
      <c r="J59"/>
      <c r="K59"/>
      <c r="L59"/>
      <c r="M59"/>
      <c r="N59"/>
      <c r="O59"/>
      <c r="P59"/>
      <c r="Q59"/>
      <c r="R59"/>
    </row>
    <row r="60" spans="1:18" ht="15">
      <c r="A60" s="27" t="s">
        <v>97</v>
      </c>
      <c r="B60" s="15" t="s">
        <v>98</v>
      </c>
      <c r="C60" s="16"/>
      <c r="D60" s="17"/>
      <c r="E60" s="32"/>
      <c r="F60" s="32"/>
      <c r="G60" s="32"/>
      <c r="H60"/>
      <c r="I60"/>
      <c r="J60"/>
      <c r="K60"/>
      <c r="L60"/>
      <c r="M60"/>
      <c r="N60"/>
      <c r="O60"/>
      <c r="P60"/>
      <c r="Q60"/>
      <c r="R60"/>
    </row>
    <row r="61" spans="1:18" ht="15">
      <c r="A61" s="34"/>
      <c r="B61" s="21" t="s">
        <v>99</v>
      </c>
      <c r="C61" s="25"/>
      <c r="D61" s="20"/>
      <c r="E61" s="29"/>
      <c r="F61" s="29"/>
      <c r="G61" s="29"/>
      <c r="H61"/>
      <c r="I61"/>
      <c r="J61"/>
      <c r="K61"/>
      <c r="L61"/>
      <c r="M61"/>
      <c r="N61"/>
      <c r="O61"/>
      <c r="P61"/>
      <c r="Q61"/>
      <c r="R61"/>
    </row>
    <row r="62" spans="1:18" ht="15">
      <c r="A62" s="59"/>
      <c r="B62" s="21" t="s">
        <v>100</v>
      </c>
      <c r="C62" s="25"/>
      <c r="D62" s="20"/>
      <c r="E62" s="30">
        <v>1565745</v>
      </c>
      <c r="F62" s="22">
        <f>(E62*0.01)+E62</f>
        <v>1581402.45</v>
      </c>
      <c r="G62" s="22">
        <f>(F62*0.01)+F62</f>
        <v>1597216.4745</v>
      </c>
      <c r="H62"/>
      <c r="I62"/>
      <c r="J62"/>
      <c r="K62"/>
      <c r="L62"/>
      <c r="M62"/>
      <c r="N62"/>
      <c r="O62"/>
      <c r="P62"/>
      <c r="Q62"/>
      <c r="R62"/>
    </row>
    <row r="63" spans="1:18" ht="15">
      <c r="A63" s="37"/>
      <c r="B63" s="38" t="s">
        <v>109</v>
      </c>
      <c r="C63" s="38"/>
      <c r="D63" s="36"/>
      <c r="E63" s="39">
        <f>SUM(E60:E62)</f>
        <v>1565745</v>
      </c>
      <c r="F63" s="39">
        <f>SUM(F60:F62)</f>
        <v>1581402.45</v>
      </c>
      <c r="G63" s="39">
        <f>SUM(G60:G62)</f>
        <v>1597216.4745</v>
      </c>
      <c r="H63"/>
      <c r="I63"/>
      <c r="J63"/>
      <c r="K63"/>
      <c r="L63"/>
      <c r="M63"/>
      <c r="N63"/>
      <c r="O63"/>
      <c r="P63"/>
      <c r="Q63"/>
      <c r="R63"/>
    </row>
    <row r="64" spans="1:18" ht="15">
      <c r="A64" s="13"/>
      <c r="B64" s="75"/>
      <c r="C64" s="75"/>
      <c r="D64" s="75"/>
      <c r="E64" s="75"/>
      <c r="F64" s="75"/>
      <c r="G64" s="75"/>
      <c r="H64"/>
      <c r="I64"/>
      <c r="J64"/>
      <c r="K64"/>
      <c r="L64"/>
      <c r="M64"/>
      <c r="N64"/>
      <c r="O64"/>
      <c r="P64"/>
      <c r="Q64"/>
      <c r="R64"/>
    </row>
    <row r="65" spans="1:18" ht="15">
      <c r="A65" s="13"/>
      <c r="B65" s="76" t="s">
        <v>141</v>
      </c>
      <c r="C65" s="76"/>
      <c r="D65" s="75"/>
      <c r="E65" s="39">
        <f>E14</f>
        <v>205800000</v>
      </c>
      <c r="F65" s="39">
        <f>F14</f>
        <v>230496000</v>
      </c>
      <c r="G65" s="39">
        <f>G14</f>
        <v>258155520</v>
      </c>
      <c r="H65"/>
      <c r="I65"/>
      <c r="J65"/>
      <c r="K65"/>
      <c r="L65"/>
      <c r="M65"/>
      <c r="N65"/>
      <c r="O65"/>
      <c r="P65"/>
      <c r="Q65"/>
      <c r="R65"/>
    </row>
    <row r="66" spans="1:18" ht="15">
      <c r="A66" s="49"/>
      <c r="B66" s="33"/>
      <c r="C66" s="78"/>
      <c r="D66" s="33"/>
      <c r="E66" s="33"/>
      <c r="F66" s="33"/>
      <c r="G66" s="33"/>
      <c r="H66"/>
      <c r="I66"/>
      <c r="J66"/>
      <c r="K66"/>
      <c r="L66"/>
      <c r="M66"/>
      <c r="N66"/>
      <c r="O66"/>
      <c r="P66"/>
      <c r="Q66"/>
      <c r="R66"/>
    </row>
    <row r="67" spans="1:18" ht="15">
      <c r="A67" s="49"/>
      <c r="B67" s="78" t="s">
        <v>180</v>
      </c>
      <c r="C67" s="78"/>
      <c r="D67" s="33"/>
      <c r="E67" s="77">
        <f>E49</f>
        <v>224550000</v>
      </c>
      <c r="F67" s="77">
        <f>F49</f>
        <v>242862500</v>
      </c>
      <c r="G67" s="77">
        <f>G49</f>
        <v>254005625</v>
      </c>
      <c r="H67"/>
      <c r="I67"/>
      <c r="J67"/>
      <c r="K67"/>
      <c r="L67"/>
      <c r="M67"/>
      <c r="N67"/>
      <c r="O67"/>
      <c r="P67"/>
      <c r="Q67"/>
      <c r="R67"/>
    </row>
    <row r="68" spans="1:18" ht="15">
      <c r="A68" s="91"/>
      <c r="B68" s="42"/>
      <c r="C68" s="42"/>
      <c r="D68" s="41"/>
      <c r="E68" s="92"/>
      <c r="F68" s="92"/>
      <c r="G68" s="92"/>
      <c r="H68"/>
      <c r="I68"/>
      <c r="J68"/>
      <c r="K68"/>
      <c r="L68"/>
      <c r="M68"/>
      <c r="N68"/>
      <c r="O68"/>
      <c r="P68"/>
      <c r="Q68"/>
      <c r="R68"/>
    </row>
    <row r="69" spans="1:18" ht="15">
      <c r="A69" s="49"/>
      <c r="B69" s="76" t="s">
        <v>179</v>
      </c>
      <c r="C69" s="78"/>
      <c r="D69" s="33"/>
      <c r="E69" s="77"/>
      <c r="F69" s="77"/>
      <c r="G69" s="77"/>
      <c r="H69"/>
      <c r="I69"/>
      <c r="J69"/>
      <c r="K69"/>
      <c r="L69"/>
      <c r="M69"/>
      <c r="N69"/>
      <c r="O69"/>
      <c r="P69"/>
      <c r="Q69"/>
      <c r="R69"/>
    </row>
    <row r="70" spans="1:18" ht="15">
      <c r="A70" s="49"/>
      <c r="B70" s="33"/>
      <c r="C70" s="33"/>
      <c r="D70" s="33"/>
      <c r="E70" s="33"/>
      <c r="F70" s="33"/>
      <c r="G70" s="33"/>
      <c r="H70"/>
      <c r="I70"/>
      <c r="J70"/>
      <c r="K70"/>
      <c r="L70"/>
      <c r="M70"/>
      <c r="N70"/>
      <c r="O70"/>
      <c r="P70"/>
      <c r="Q70"/>
      <c r="R70"/>
    </row>
    <row r="71" spans="1:18" ht="15">
      <c r="A71" s="79" t="s">
        <v>142</v>
      </c>
      <c r="B71" s="25"/>
      <c r="C71" s="25"/>
      <c r="D71" s="25"/>
      <c r="E71" s="80">
        <f>E65-E67</f>
        <v>-18750000</v>
      </c>
      <c r="F71" s="80">
        <f>F65-F67</f>
        <v>-12366500</v>
      </c>
      <c r="G71" s="80">
        <f>G65-G67</f>
        <v>4149895</v>
      </c>
      <c r="H71"/>
      <c r="I71"/>
      <c r="J71"/>
      <c r="K71"/>
      <c r="L71"/>
      <c r="M71"/>
      <c r="N71"/>
      <c r="O71"/>
      <c r="P71"/>
      <c r="Q71"/>
      <c r="R71"/>
    </row>
  </sheetData>
  <printOptions/>
  <pageMargins left="0.78" right="0" top="0" bottom="0" header="0" footer="0"/>
  <pageSetup fitToHeight="2" fitToWidth="1" orientation="portrait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workbookViewId="0" topLeftCell="A57">
      <selection activeCell="E76" sqref="E76"/>
    </sheetView>
  </sheetViews>
  <sheetFormatPr defaultColWidth="8.88671875" defaultRowHeight="15"/>
  <cols>
    <col min="1" max="1" width="5.21484375" style="1" customWidth="1"/>
    <col min="2" max="3" width="8.88671875" style="1" customWidth="1"/>
    <col min="4" max="4" width="11.99609375" style="1" customWidth="1"/>
    <col min="5" max="5" width="9.77734375" style="1" customWidth="1"/>
    <col min="6" max="6" width="11.10546875" style="1" customWidth="1"/>
    <col min="7" max="7" width="10.10546875" style="1" customWidth="1"/>
    <col min="8" max="8" width="8.88671875" style="1" customWidth="1"/>
    <col min="9" max="9" width="9.10546875" style="1" customWidth="1"/>
    <col min="10" max="10" width="10.21484375" style="1" customWidth="1"/>
    <col min="11" max="11" width="9.88671875" style="1" customWidth="1"/>
    <col min="12" max="12" width="10.10546875" style="1" customWidth="1"/>
    <col min="13" max="13" width="9.99609375" style="1" customWidth="1"/>
    <col min="14" max="14" width="9.4453125" style="1" customWidth="1"/>
    <col min="15" max="15" width="11.10546875" style="1" customWidth="1"/>
    <col min="16" max="16" width="9.99609375" style="1" customWidth="1"/>
    <col min="17" max="17" width="10.88671875" style="1" customWidth="1"/>
    <col min="18" max="18" width="12.77734375" style="1" customWidth="1"/>
  </cols>
  <sheetData>
    <row r="1" spans="1:17" ht="23.25">
      <c r="A1" s="93" t="s">
        <v>140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23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23.25">
      <c r="A3" s="5" t="s">
        <v>186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8.75">
      <c r="A4" s="6"/>
      <c r="B4" s="6"/>
      <c r="C4" s="6"/>
      <c r="D4" s="6"/>
      <c r="E4" s="96">
        <v>1999</v>
      </c>
      <c r="F4" s="96">
        <v>2000</v>
      </c>
      <c r="G4" s="96">
        <v>2001</v>
      </c>
      <c r="H4"/>
      <c r="I4"/>
      <c r="J4"/>
      <c r="K4"/>
      <c r="L4"/>
      <c r="M4"/>
      <c r="N4"/>
      <c r="O4"/>
      <c r="P4"/>
      <c r="Q4"/>
      <c r="R4"/>
    </row>
    <row r="5" spans="1:18" ht="15">
      <c r="A5" s="7" t="s">
        <v>1</v>
      </c>
      <c r="B5" s="84" t="s">
        <v>2</v>
      </c>
      <c r="C5" s="85"/>
      <c r="D5" s="86"/>
      <c r="E5" s="11"/>
      <c r="F5" s="11"/>
      <c r="G5" s="11"/>
      <c r="H5"/>
      <c r="I5"/>
      <c r="J5"/>
      <c r="K5"/>
      <c r="L5"/>
      <c r="M5"/>
      <c r="N5"/>
      <c r="O5"/>
      <c r="P5"/>
      <c r="Q5"/>
      <c r="R5"/>
    </row>
    <row r="6" spans="1:18" ht="15">
      <c r="A6" s="14" t="s">
        <v>150</v>
      </c>
      <c r="B6" s="83"/>
      <c r="C6" s="52"/>
      <c r="D6" s="32"/>
      <c r="E6" s="11"/>
      <c r="F6" s="11"/>
      <c r="G6" s="11"/>
      <c r="H6"/>
      <c r="I6"/>
      <c r="J6"/>
      <c r="K6"/>
      <c r="L6"/>
      <c r="M6"/>
      <c r="N6"/>
      <c r="O6"/>
      <c r="P6"/>
      <c r="Q6"/>
      <c r="R6"/>
    </row>
    <row r="7" spans="1:18" ht="15">
      <c r="A7" s="19" t="s">
        <v>165</v>
      </c>
      <c r="B7" s="20" t="s">
        <v>101</v>
      </c>
      <c r="C7" s="21"/>
      <c r="D7" s="81"/>
      <c r="E7" s="22">
        <v>1600000000</v>
      </c>
      <c r="F7" s="22">
        <f>(E7*0.06)+E7</f>
        <v>1696000000</v>
      </c>
      <c r="G7" s="22">
        <f>(F7*0.06)+F7</f>
        <v>1797760000</v>
      </c>
      <c r="H7"/>
      <c r="I7"/>
      <c r="J7"/>
      <c r="K7"/>
      <c r="L7"/>
      <c r="M7"/>
      <c r="N7"/>
      <c r="O7"/>
      <c r="P7"/>
      <c r="Q7"/>
      <c r="R7"/>
    </row>
    <row r="8" spans="1:18" ht="15">
      <c r="A8" s="37"/>
      <c r="B8" s="38" t="s">
        <v>109</v>
      </c>
      <c r="C8" s="38"/>
      <c r="D8" s="36"/>
      <c r="E8" s="39">
        <f>SUM(E7:E7)</f>
        <v>1600000000</v>
      </c>
      <c r="F8" s="39">
        <f>SUM(F7:F7)</f>
        <v>1696000000</v>
      </c>
      <c r="G8" s="39">
        <f>SUM(G7:G7)</f>
        <v>1797760000</v>
      </c>
      <c r="H8"/>
      <c r="I8"/>
      <c r="J8"/>
      <c r="K8"/>
      <c r="L8"/>
      <c r="M8"/>
      <c r="N8"/>
      <c r="O8"/>
      <c r="P8"/>
      <c r="Q8"/>
      <c r="R8"/>
    </row>
    <row r="9" spans="1:18" ht="15">
      <c r="A9" s="44" t="s">
        <v>11</v>
      </c>
      <c r="B9" s="4" t="s">
        <v>12</v>
      </c>
      <c r="C9" s="45"/>
      <c r="D9" s="46"/>
      <c r="E9" s="48"/>
      <c r="F9" s="48"/>
      <c r="G9" s="48"/>
      <c r="H9"/>
      <c r="I9"/>
      <c r="J9"/>
      <c r="K9"/>
      <c r="L9"/>
      <c r="M9"/>
      <c r="N9"/>
      <c r="O9"/>
      <c r="P9"/>
      <c r="Q9"/>
      <c r="R9"/>
    </row>
    <row r="10" spans="1:18" ht="15">
      <c r="A10" s="27" t="s">
        <v>155</v>
      </c>
      <c r="B10" s="15"/>
      <c r="C10" s="16"/>
      <c r="D10" s="17"/>
      <c r="E10" s="11"/>
      <c r="F10" s="11"/>
      <c r="G10" s="11"/>
      <c r="H10"/>
      <c r="I10"/>
      <c r="J10"/>
      <c r="K10"/>
      <c r="L10"/>
      <c r="M10"/>
      <c r="N10"/>
      <c r="O10"/>
      <c r="P10"/>
      <c r="Q10"/>
      <c r="R10"/>
    </row>
    <row r="11" spans="1:18" ht="15">
      <c r="A11" s="34"/>
      <c r="B11" s="21" t="s">
        <v>13</v>
      </c>
      <c r="C11" s="25"/>
      <c r="D11" s="20"/>
      <c r="E11" s="30">
        <v>1200000000</v>
      </c>
      <c r="F11" s="22">
        <f>(E11*0.05)+E11</f>
        <v>1260000000</v>
      </c>
      <c r="G11" s="22">
        <f>(F11*0.05)+F11</f>
        <v>1323000000</v>
      </c>
      <c r="H11"/>
      <c r="I11"/>
      <c r="J11"/>
      <c r="K11"/>
      <c r="L11"/>
      <c r="M11"/>
      <c r="N11"/>
      <c r="O11"/>
      <c r="P11"/>
      <c r="Q11"/>
      <c r="R11"/>
    </row>
    <row r="12" spans="1:18" ht="15">
      <c r="A12" s="34"/>
      <c r="B12" s="21" t="s">
        <v>117</v>
      </c>
      <c r="C12" s="25"/>
      <c r="D12" s="20"/>
      <c r="E12" s="30">
        <v>2000000</v>
      </c>
      <c r="F12" s="22">
        <f>(E12*0.05)+E12</f>
        <v>2100000</v>
      </c>
      <c r="G12" s="22">
        <f>(F12*0.05)+F12</f>
        <v>2205000</v>
      </c>
      <c r="H12"/>
      <c r="I12"/>
      <c r="J12"/>
      <c r="K12"/>
      <c r="L12"/>
      <c r="M12"/>
      <c r="N12"/>
      <c r="O12"/>
      <c r="P12"/>
      <c r="Q12"/>
      <c r="R12"/>
    </row>
    <row r="13" spans="1:18" ht="15">
      <c r="A13" s="34"/>
      <c r="B13" s="21" t="s">
        <v>15</v>
      </c>
      <c r="C13" s="25"/>
      <c r="D13" s="20"/>
      <c r="E13" s="30">
        <v>200000</v>
      </c>
      <c r="F13" s="22">
        <f>(E13*0.05)+E13</f>
        <v>210000</v>
      </c>
      <c r="G13" s="22">
        <f>(F13*0.05)+F13</f>
        <v>220500</v>
      </c>
      <c r="H13"/>
      <c r="I13"/>
      <c r="J13"/>
      <c r="K13"/>
      <c r="L13"/>
      <c r="M13"/>
      <c r="N13"/>
      <c r="O13"/>
      <c r="P13"/>
      <c r="Q13"/>
      <c r="R13"/>
    </row>
    <row r="14" spans="1:18" ht="15">
      <c r="A14" s="34"/>
      <c r="B14" s="21" t="s">
        <v>16</v>
      </c>
      <c r="C14" s="25"/>
      <c r="D14" s="20"/>
      <c r="E14" s="30">
        <v>3000000</v>
      </c>
      <c r="F14" s="22">
        <f>(E14*0.05)+E14</f>
        <v>3150000</v>
      </c>
      <c r="G14" s="22">
        <f>(F14*0.05)+F14</f>
        <v>3307500</v>
      </c>
      <c r="H14"/>
      <c r="I14"/>
      <c r="J14"/>
      <c r="K14"/>
      <c r="L14"/>
      <c r="M14"/>
      <c r="N14"/>
      <c r="O14"/>
      <c r="P14"/>
      <c r="Q14"/>
      <c r="R14"/>
    </row>
    <row r="15" spans="1:18" ht="15">
      <c r="A15" s="27" t="s">
        <v>159</v>
      </c>
      <c r="B15" s="15"/>
      <c r="C15" s="16"/>
      <c r="D15" s="17"/>
      <c r="E15" s="11"/>
      <c r="F15" s="11"/>
      <c r="G15" s="11"/>
      <c r="H15"/>
      <c r="I15"/>
      <c r="J15"/>
      <c r="K15"/>
      <c r="L15"/>
      <c r="M15"/>
      <c r="N15"/>
      <c r="O15"/>
      <c r="P15"/>
      <c r="Q15"/>
      <c r="R15"/>
    </row>
    <row r="16" spans="1:18" ht="15">
      <c r="A16" s="34"/>
      <c r="B16" s="21" t="s">
        <v>20</v>
      </c>
      <c r="C16" s="25"/>
      <c r="D16" s="20"/>
      <c r="E16" s="30">
        <v>3700000</v>
      </c>
      <c r="F16" s="22">
        <f>(E16*0.05)+E16</f>
        <v>3885000</v>
      </c>
      <c r="G16" s="22">
        <f>(F16*0.05)+F16</f>
        <v>4079250</v>
      </c>
      <c r="H16"/>
      <c r="I16"/>
      <c r="J16"/>
      <c r="K16"/>
      <c r="L16"/>
      <c r="M16"/>
      <c r="N16"/>
      <c r="O16"/>
      <c r="P16"/>
      <c r="Q16"/>
      <c r="R16"/>
    </row>
    <row r="17" spans="1:18" ht="15">
      <c r="A17" s="34"/>
      <c r="B17" s="21" t="s">
        <v>102</v>
      </c>
      <c r="C17" s="25"/>
      <c r="D17" s="20"/>
      <c r="E17" s="30">
        <v>2500000</v>
      </c>
      <c r="F17" s="22">
        <f>(E17*0.05)+E17</f>
        <v>2625000</v>
      </c>
      <c r="G17" s="22">
        <f>(F17*0.05)+F17</f>
        <v>2756250</v>
      </c>
      <c r="H17"/>
      <c r="I17"/>
      <c r="J17"/>
      <c r="K17"/>
      <c r="L17"/>
      <c r="M17"/>
      <c r="N17"/>
      <c r="O17"/>
      <c r="P17"/>
      <c r="Q17"/>
      <c r="R17"/>
    </row>
    <row r="18" spans="1:18" ht="15">
      <c r="A18" s="34"/>
      <c r="B18" s="53" t="s">
        <v>22</v>
      </c>
      <c r="C18" s="35"/>
      <c r="D18" s="36"/>
      <c r="E18" s="29">
        <v>1500000</v>
      </c>
      <c r="F18" s="22">
        <f>(E18*0.05)+E18</f>
        <v>1575000</v>
      </c>
      <c r="G18" s="22">
        <f>(F18*0.05)+F18</f>
        <v>1653750</v>
      </c>
      <c r="H18"/>
      <c r="I18"/>
      <c r="J18"/>
      <c r="K18"/>
      <c r="L18"/>
      <c r="M18"/>
      <c r="N18"/>
      <c r="O18"/>
      <c r="P18"/>
      <c r="Q18"/>
      <c r="R18"/>
    </row>
    <row r="19" spans="1:18" ht="15">
      <c r="A19" s="34"/>
      <c r="B19" s="21" t="s">
        <v>118</v>
      </c>
      <c r="C19" s="25"/>
      <c r="D19" s="20"/>
      <c r="E19" s="30">
        <v>200000</v>
      </c>
      <c r="F19" s="22">
        <f>(E19*0.05)+E19</f>
        <v>210000</v>
      </c>
      <c r="G19" s="22">
        <f>(F19*0.05)+F19</f>
        <v>220500</v>
      </c>
      <c r="H19"/>
      <c r="I19"/>
      <c r="J19"/>
      <c r="K19"/>
      <c r="L19"/>
      <c r="M19"/>
      <c r="N19"/>
      <c r="O19"/>
      <c r="P19"/>
      <c r="Q19"/>
      <c r="R19"/>
    </row>
    <row r="20" spans="1:18" ht="15">
      <c r="A20" s="34"/>
      <c r="B20" s="21" t="s">
        <v>23</v>
      </c>
      <c r="C20" s="25"/>
      <c r="D20" s="20"/>
      <c r="E20" s="30">
        <v>10395000</v>
      </c>
      <c r="F20" s="22">
        <f>(E20*0.05)+E20</f>
        <v>10914750</v>
      </c>
      <c r="G20" s="22">
        <f>(F20*0.05)+F20</f>
        <v>11460487.5</v>
      </c>
      <c r="H20"/>
      <c r="I20"/>
      <c r="J20"/>
      <c r="K20"/>
      <c r="L20"/>
      <c r="M20"/>
      <c r="N20"/>
      <c r="O20"/>
      <c r="P20"/>
      <c r="Q20"/>
      <c r="R20"/>
    </row>
    <row r="21" spans="1:18" ht="15">
      <c r="A21" s="34"/>
      <c r="B21" s="21" t="s">
        <v>24</v>
      </c>
      <c r="C21" s="25"/>
      <c r="D21" s="20"/>
      <c r="E21" s="30">
        <v>5610000</v>
      </c>
      <c r="F21" s="22">
        <f>(E21*0.05)+E21</f>
        <v>5890500</v>
      </c>
      <c r="G21" s="22">
        <f>(F21*0.05)+F21</f>
        <v>6185025</v>
      </c>
      <c r="H21"/>
      <c r="I21"/>
      <c r="J21"/>
      <c r="K21"/>
      <c r="L21"/>
      <c r="M21"/>
      <c r="N21"/>
      <c r="O21"/>
      <c r="P21"/>
      <c r="Q21"/>
      <c r="R21"/>
    </row>
    <row r="22" spans="1:18" ht="15">
      <c r="A22" s="34"/>
      <c r="B22" s="21" t="s">
        <v>119</v>
      </c>
      <c r="C22" s="25"/>
      <c r="D22" s="20"/>
      <c r="E22" s="30">
        <v>2200000</v>
      </c>
      <c r="F22" s="22">
        <f>(E22*0.05)+E22</f>
        <v>2310000</v>
      </c>
      <c r="G22" s="22">
        <f>(F22*0.05)+F22</f>
        <v>2425500</v>
      </c>
      <c r="H22"/>
      <c r="I22"/>
      <c r="J22"/>
      <c r="K22"/>
      <c r="L22"/>
      <c r="M22"/>
      <c r="N22"/>
      <c r="O22"/>
      <c r="P22"/>
      <c r="Q22"/>
      <c r="R22"/>
    </row>
    <row r="23" spans="1:18" ht="15">
      <c r="A23" s="34"/>
      <c r="B23" s="21" t="s">
        <v>120</v>
      </c>
      <c r="C23" s="25"/>
      <c r="D23" s="20"/>
      <c r="E23" s="57">
        <v>1000000</v>
      </c>
      <c r="F23" s="22">
        <f>(E23*0.05)+E23</f>
        <v>1050000</v>
      </c>
      <c r="G23" s="22">
        <f>(F23*0.05)+F23</f>
        <v>1102500</v>
      </c>
      <c r="H23"/>
      <c r="I23"/>
      <c r="J23"/>
      <c r="K23"/>
      <c r="L23"/>
      <c r="M23"/>
      <c r="N23"/>
      <c r="O23"/>
      <c r="P23"/>
      <c r="Q23"/>
      <c r="R23"/>
    </row>
    <row r="24" spans="1:18" ht="15">
      <c r="A24" s="34"/>
      <c r="B24" s="21" t="s">
        <v>27</v>
      </c>
      <c r="C24" s="25"/>
      <c r="D24" s="20"/>
      <c r="E24" s="30">
        <v>8350000</v>
      </c>
      <c r="F24" s="22">
        <f>(E24*0.05)+E24</f>
        <v>8767500</v>
      </c>
      <c r="G24" s="22">
        <f>(F24*0.05)+F24</f>
        <v>9205875</v>
      </c>
      <c r="H24"/>
      <c r="I24"/>
      <c r="J24"/>
      <c r="K24"/>
      <c r="L24"/>
      <c r="M24"/>
      <c r="N24"/>
      <c r="O24"/>
      <c r="P24"/>
      <c r="Q24"/>
      <c r="R24"/>
    </row>
    <row r="25" spans="1:18" ht="15">
      <c r="A25" s="34"/>
      <c r="B25" s="21" t="s">
        <v>144</v>
      </c>
      <c r="C25" s="25"/>
      <c r="D25" s="20"/>
      <c r="E25" s="30">
        <v>27000000</v>
      </c>
      <c r="F25" s="22">
        <f>(E25*0.05)+E25</f>
        <v>28350000</v>
      </c>
      <c r="G25" s="22">
        <f>(F25*0.05)+F25</f>
        <v>29767500</v>
      </c>
      <c r="H25"/>
      <c r="I25"/>
      <c r="J25"/>
      <c r="K25"/>
      <c r="L25"/>
      <c r="M25"/>
      <c r="N25"/>
      <c r="O25"/>
      <c r="P25"/>
      <c r="Q25"/>
      <c r="R25"/>
    </row>
    <row r="26" spans="1:18" ht="15">
      <c r="A26" s="34"/>
      <c r="B26" s="21" t="s">
        <v>158</v>
      </c>
      <c r="C26" s="25"/>
      <c r="D26" s="20"/>
      <c r="E26" s="30">
        <v>20000000</v>
      </c>
      <c r="F26" s="22">
        <f>(E26*0.05)+E26</f>
        <v>21000000</v>
      </c>
      <c r="G26" s="22">
        <f>(F26*0.05)+F26</f>
        <v>22050000</v>
      </c>
      <c r="H26"/>
      <c r="I26"/>
      <c r="J26"/>
      <c r="K26"/>
      <c r="L26"/>
      <c r="M26"/>
      <c r="N26"/>
      <c r="O26"/>
      <c r="P26"/>
      <c r="Q26"/>
      <c r="R26"/>
    </row>
    <row r="27" spans="1:18" ht="15">
      <c r="A27" s="34"/>
      <c r="B27" s="21" t="s">
        <v>125</v>
      </c>
      <c r="C27" s="25"/>
      <c r="D27" s="20"/>
      <c r="E27" s="30">
        <v>200000</v>
      </c>
      <c r="F27" s="22">
        <f>(E27*0.05)+E27</f>
        <v>210000</v>
      </c>
      <c r="G27" s="22">
        <f>(F27*0.05)+F27</f>
        <v>220500</v>
      </c>
      <c r="H27"/>
      <c r="I27"/>
      <c r="J27"/>
      <c r="K27"/>
      <c r="L27"/>
      <c r="M27"/>
      <c r="N27"/>
      <c r="O27"/>
      <c r="P27"/>
      <c r="Q27"/>
      <c r="R27"/>
    </row>
    <row r="28" spans="1:18" ht="15">
      <c r="A28" s="34"/>
      <c r="B28" s="21" t="s">
        <v>32</v>
      </c>
      <c r="C28" s="25"/>
      <c r="D28" s="20"/>
      <c r="E28" s="30">
        <v>2500000</v>
      </c>
      <c r="F28" s="22">
        <f>(E28*0.05)+E28</f>
        <v>2625000</v>
      </c>
      <c r="G28" s="22">
        <f>(F28*0.05)+F28</f>
        <v>2756250</v>
      </c>
      <c r="H28"/>
      <c r="I28"/>
      <c r="J28"/>
      <c r="K28"/>
      <c r="L28"/>
      <c r="M28"/>
      <c r="N28"/>
      <c r="O28"/>
      <c r="P28"/>
      <c r="Q28"/>
      <c r="R28"/>
    </row>
    <row r="29" spans="1:18" ht="15">
      <c r="A29" s="34"/>
      <c r="B29" s="21" t="s">
        <v>33</v>
      </c>
      <c r="C29" s="25"/>
      <c r="D29" s="20"/>
      <c r="E29" s="30">
        <v>50000</v>
      </c>
      <c r="F29" s="22">
        <f>(E29*0.05)+E29</f>
        <v>52500</v>
      </c>
      <c r="G29" s="22">
        <f>(F29*0.05)+F29</f>
        <v>55125</v>
      </c>
      <c r="H29"/>
      <c r="I29"/>
      <c r="J29"/>
      <c r="K29"/>
      <c r="L29"/>
      <c r="M29"/>
      <c r="N29"/>
      <c r="O29"/>
      <c r="P29"/>
      <c r="Q29"/>
      <c r="R29"/>
    </row>
    <row r="30" spans="1:18" ht="15">
      <c r="A30" s="34"/>
      <c r="B30" s="21" t="s">
        <v>122</v>
      </c>
      <c r="C30" s="25"/>
      <c r="D30" s="20"/>
      <c r="E30" s="30">
        <v>4300000</v>
      </c>
      <c r="F30" s="22">
        <f>(E30*0.05)+E30</f>
        <v>4515000</v>
      </c>
      <c r="G30" s="22">
        <f>(F30*0.05)+F30</f>
        <v>4740750</v>
      </c>
      <c r="H30"/>
      <c r="I30"/>
      <c r="J30"/>
      <c r="K30"/>
      <c r="L30"/>
      <c r="M30"/>
      <c r="N30"/>
      <c r="O30"/>
      <c r="P30"/>
      <c r="Q30"/>
      <c r="R30"/>
    </row>
    <row r="31" spans="1:18" ht="15">
      <c r="A31" s="34"/>
      <c r="B31" s="21" t="s">
        <v>35</v>
      </c>
      <c r="C31" s="25"/>
      <c r="D31" s="20"/>
      <c r="E31" s="30">
        <v>700000</v>
      </c>
      <c r="F31" s="22">
        <f>(E31*0.05)+E31</f>
        <v>735000</v>
      </c>
      <c r="G31" s="22">
        <f>(F31*0.05)+F31</f>
        <v>771750</v>
      </c>
      <c r="H31"/>
      <c r="I31"/>
      <c r="J31"/>
      <c r="K31"/>
      <c r="L31"/>
      <c r="M31"/>
      <c r="N31"/>
      <c r="O31"/>
      <c r="P31"/>
      <c r="Q31"/>
      <c r="R31"/>
    </row>
    <row r="32" spans="1:18" ht="15">
      <c r="A32" s="34"/>
      <c r="B32" s="21" t="s">
        <v>108</v>
      </c>
      <c r="C32" s="25"/>
      <c r="D32" s="20"/>
      <c r="E32" s="30">
        <v>500000</v>
      </c>
      <c r="F32" s="22">
        <f>(E32*0.05)+E32</f>
        <v>525000</v>
      </c>
      <c r="G32" s="22">
        <f>(F32*0.05)+F32</f>
        <v>551250</v>
      </c>
      <c r="H32"/>
      <c r="I32"/>
      <c r="J32"/>
      <c r="K32"/>
      <c r="L32"/>
      <c r="M32"/>
      <c r="N32"/>
      <c r="O32"/>
      <c r="P32"/>
      <c r="Q32"/>
      <c r="R32"/>
    </row>
    <row r="33" spans="1:18" ht="15">
      <c r="A33" s="60" t="s">
        <v>160</v>
      </c>
      <c r="B33" s="15"/>
      <c r="C33" s="16"/>
      <c r="D33" s="17"/>
      <c r="E33" s="22"/>
      <c r="F33" s="22"/>
      <c r="G33" s="22"/>
      <c r="H33"/>
      <c r="I33"/>
      <c r="J33"/>
      <c r="K33"/>
      <c r="L33"/>
      <c r="M33"/>
      <c r="N33"/>
      <c r="O33"/>
      <c r="P33"/>
      <c r="Q33"/>
      <c r="R33"/>
    </row>
    <row r="34" spans="1:18" ht="15">
      <c r="A34" s="34"/>
      <c r="B34" s="21" t="s">
        <v>37</v>
      </c>
      <c r="C34" s="25"/>
      <c r="D34" s="20"/>
      <c r="E34" s="29">
        <v>25800000</v>
      </c>
      <c r="F34" s="22">
        <f>(E34*0.05)+E34</f>
        <v>27090000</v>
      </c>
      <c r="G34" s="22">
        <f>(F34*0.05)+F34</f>
        <v>28444500</v>
      </c>
      <c r="H34"/>
      <c r="I34"/>
      <c r="J34"/>
      <c r="K34"/>
      <c r="L34"/>
      <c r="M34"/>
      <c r="N34"/>
      <c r="O34"/>
      <c r="P34"/>
      <c r="Q34"/>
      <c r="R34"/>
    </row>
    <row r="35" spans="1:18" ht="15">
      <c r="A35" s="34"/>
      <c r="B35" s="21" t="s">
        <v>123</v>
      </c>
      <c r="C35" s="25"/>
      <c r="D35" s="20"/>
      <c r="E35" s="30">
        <v>5000000</v>
      </c>
      <c r="F35" s="22">
        <f>(E35*0.05)+E35</f>
        <v>5250000</v>
      </c>
      <c r="G35" s="22">
        <f>(F35*0.05)+F35</f>
        <v>5512500</v>
      </c>
      <c r="H35"/>
      <c r="I35"/>
      <c r="J35"/>
      <c r="K35"/>
      <c r="L35"/>
      <c r="M35"/>
      <c r="N35"/>
      <c r="O35"/>
      <c r="P35"/>
      <c r="Q35"/>
      <c r="R35"/>
    </row>
    <row r="36" spans="1:18" ht="15">
      <c r="A36" s="27" t="s">
        <v>161</v>
      </c>
      <c r="B36" s="15"/>
      <c r="C36" s="16"/>
      <c r="D36" s="17"/>
      <c r="E36" s="11"/>
      <c r="F36" s="11"/>
      <c r="G36" s="11"/>
      <c r="H36"/>
      <c r="I36"/>
      <c r="J36"/>
      <c r="K36"/>
      <c r="L36"/>
      <c r="M36"/>
      <c r="N36"/>
      <c r="O36"/>
      <c r="P36"/>
      <c r="Q36"/>
      <c r="R36"/>
    </row>
    <row r="37" spans="1:18" ht="15">
      <c r="A37" s="34"/>
      <c r="B37" s="21" t="s">
        <v>39</v>
      </c>
      <c r="C37" s="25"/>
      <c r="D37" s="20"/>
      <c r="E37" s="29">
        <v>130500000</v>
      </c>
      <c r="F37" s="22">
        <f>(E37*0.01)+E37</f>
        <v>131805000</v>
      </c>
      <c r="G37" s="22">
        <f>(F37*0.01)+F37</f>
        <v>133123050</v>
      </c>
      <c r="H37"/>
      <c r="I37"/>
      <c r="J37"/>
      <c r="K37"/>
      <c r="L37"/>
      <c r="M37"/>
      <c r="N37"/>
      <c r="O37"/>
      <c r="P37"/>
      <c r="Q37"/>
      <c r="R37"/>
    </row>
    <row r="38" spans="1:18" ht="15">
      <c r="A38" s="34"/>
      <c r="B38" s="21" t="s">
        <v>103</v>
      </c>
      <c r="C38" s="25"/>
      <c r="D38" s="20"/>
      <c r="E38" s="30">
        <v>36000000</v>
      </c>
      <c r="F38" s="22">
        <f>(E38*0.01)+E38</f>
        <v>36360000</v>
      </c>
      <c r="G38" s="22">
        <f>(F38*0.01)+F38</f>
        <v>36723600</v>
      </c>
      <c r="H38"/>
      <c r="I38"/>
      <c r="J38"/>
      <c r="K38"/>
      <c r="L38"/>
      <c r="M38"/>
      <c r="N38"/>
      <c r="O38"/>
      <c r="P38"/>
      <c r="Q38"/>
      <c r="R38"/>
    </row>
    <row r="39" spans="1:18" ht="15">
      <c r="A39" s="34"/>
      <c r="B39" s="21" t="s">
        <v>40</v>
      </c>
      <c r="C39" s="25"/>
      <c r="D39" s="20"/>
      <c r="E39" s="30">
        <v>10500000</v>
      </c>
      <c r="F39" s="22">
        <f>(E39*0.01)+E39</f>
        <v>10605000</v>
      </c>
      <c r="G39" s="22">
        <f>(F39*0.01)+F39</f>
        <v>10711050</v>
      </c>
      <c r="H39"/>
      <c r="I39"/>
      <c r="J39"/>
      <c r="K39"/>
      <c r="L39"/>
      <c r="M39"/>
      <c r="N39"/>
      <c r="O39"/>
      <c r="P39"/>
      <c r="Q39"/>
      <c r="R39"/>
    </row>
    <row r="40" spans="1:18" ht="15">
      <c r="A40" s="34"/>
      <c r="B40" s="21" t="s">
        <v>41</v>
      </c>
      <c r="C40" s="25"/>
      <c r="D40" s="20"/>
      <c r="E40" s="30">
        <v>300000</v>
      </c>
      <c r="F40" s="22">
        <f>(E40*0.01)+E40</f>
        <v>303000</v>
      </c>
      <c r="G40" s="22">
        <f>(F40*0.01)+F40</f>
        <v>306030</v>
      </c>
      <c r="H40"/>
      <c r="I40"/>
      <c r="J40"/>
      <c r="K40"/>
      <c r="L40"/>
      <c r="M40"/>
      <c r="N40"/>
      <c r="O40"/>
      <c r="P40"/>
      <c r="Q40"/>
      <c r="R40"/>
    </row>
    <row r="41" spans="1:18" ht="15">
      <c r="A41" s="34"/>
      <c r="B41" s="21" t="s">
        <v>42</v>
      </c>
      <c r="C41" s="25"/>
      <c r="D41" s="20"/>
      <c r="E41" s="30">
        <v>5900000</v>
      </c>
      <c r="F41" s="22">
        <f>(E41*0.01)+E41</f>
        <v>5959000</v>
      </c>
      <c r="G41" s="22">
        <f>(F41*0.01)+F41</f>
        <v>6018590</v>
      </c>
      <c r="H41"/>
      <c r="I41"/>
      <c r="J41"/>
      <c r="K41"/>
      <c r="L41"/>
      <c r="M41"/>
      <c r="N41"/>
      <c r="O41"/>
      <c r="P41"/>
      <c r="Q41"/>
      <c r="R41"/>
    </row>
    <row r="42" spans="1:18" ht="15">
      <c r="A42" s="34"/>
      <c r="B42" s="21" t="s">
        <v>43</v>
      </c>
      <c r="C42" s="25"/>
      <c r="D42" s="20"/>
      <c r="E42" s="30">
        <v>1000000</v>
      </c>
      <c r="F42" s="22">
        <f>(E42*0.01)+E42</f>
        <v>1010000</v>
      </c>
      <c r="G42" s="22">
        <f>(F42*0.01)+F42</f>
        <v>1020100</v>
      </c>
      <c r="H42"/>
      <c r="I42"/>
      <c r="J42"/>
      <c r="K42"/>
      <c r="L42"/>
      <c r="M42"/>
      <c r="N42"/>
      <c r="O42"/>
      <c r="P42"/>
      <c r="Q42"/>
      <c r="R42"/>
    </row>
    <row r="43" spans="1:18" ht="15">
      <c r="A43" s="27" t="s">
        <v>162</v>
      </c>
      <c r="B43" s="15"/>
      <c r="C43" s="16"/>
      <c r="D43" s="17"/>
      <c r="E43" s="11"/>
      <c r="F43" s="11"/>
      <c r="G43" s="11"/>
      <c r="H43"/>
      <c r="I43"/>
      <c r="J43"/>
      <c r="K43"/>
      <c r="L43"/>
      <c r="M43"/>
      <c r="N43"/>
      <c r="O43"/>
      <c r="P43"/>
      <c r="Q43"/>
      <c r="R43"/>
    </row>
    <row r="44" spans="1:18" ht="15">
      <c r="A44" s="61"/>
      <c r="B44" s="21" t="s">
        <v>45</v>
      </c>
      <c r="C44" s="25"/>
      <c r="D44" s="20"/>
      <c r="E44" s="30">
        <v>9000000</v>
      </c>
      <c r="F44" s="30">
        <v>9000000</v>
      </c>
      <c r="G44" s="30">
        <v>9000000</v>
      </c>
      <c r="H44"/>
      <c r="I44"/>
      <c r="J44"/>
      <c r="K44"/>
      <c r="L44"/>
      <c r="M44"/>
      <c r="N44"/>
      <c r="O44"/>
      <c r="P44"/>
      <c r="Q44"/>
      <c r="R44"/>
    </row>
    <row r="45" spans="1:18" ht="15">
      <c r="A45" s="27" t="s">
        <v>47</v>
      </c>
      <c r="B45" s="15" t="s">
        <v>48</v>
      </c>
      <c r="C45" s="16"/>
      <c r="D45" s="17"/>
      <c r="E45" s="11"/>
      <c r="F45" s="11"/>
      <c r="G45" s="11"/>
      <c r="H45"/>
      <c r="I45"/>
      <c r="J45"/>
      <c r="K45"/>
      <c r="L45"/>
      <c r="M45"/>
      <c r="N45"/>
      <c r="O45"/>
      <c r="P45"/>
      <c r="Q45"/>
      <c r="R45"/>
    </row>
    <row r="46" spans="1:18" ht="15">
      <c r="A46" s="61"/>
      <c r="B46" s="21" t="s">
        <v>49</v>
      </c>
      <c r="C46" s="25"/>
      <c r="D46" s="20"/>
      <c r="E46" s="29">
        <v>170000000</v>
      </c>
      <c r="F46" s="29">
        <v>170000000</v>
      </c>
      <c r="G46" s="29">
        <v>170000000</v>
      </c>
      <c r="H46"/>
      <c r="I46"/>
      <c r="J46"/>
      <c r="K46"/>
      <c r="L46"/>
      <c r="M46"/>
      <c r="N46"/>
      <c r="O46"/>
      <c r="P46"/>
      <c r="Q46"/>
      <c r="R46"/>
    </row>
    <row r="47" spans="1:18" ht="15">
      <c r="A47" s="61"/>
      <c r="B47" s="21" t="s">
        <v>50</v>
      </c>
      <c r="C47" s="25"/>
      <c r="D47" s="20"/>
      <c r="E47" s="30">
        <v>-170000000</v>
      </c>
      <c r="F47" s="30">
        <v>-170000000</v>
      </c>
      <c r="G47" s="30">
        <v>-170000000</v>
      </c>
      <c r="H47"/>
      <c r="I47"/>
      <c r="J47"/>
      <c r="K47"/>
      <c r="L47"/>
      <c r="M47"/>
      <c r="N47"/>
      <c r="O47"/>
      <c r="P47"/>
      <c r="Q47"/>
      <c r="R47"/>
    </row>
    <row r="48" spans="1:18" ht="15">
      <c r="A48" s="27" t="s">
        <v>57</v>
      </c>
      <c r="B48" s="15" t="s">
        <v>58</v>
      </c>
      <c r="C48" s="16"/>
      <c r="D48" s="17"/>
      <c r="E48" s="11"/>
      <c r="F48" s="11"/>
      <c r="G48" s="11"/>
      <c r="H48"/>
      <c r="I48"/>
      <c r="J48"/>
      <c r="K48"/>
      <c r="L48"/>
      <c r="M48"/>
      <c r="N48"/>
      <c r="O48"/>
      <c r="P48"/>
      <c r="Q48"/>
      <c r="R48"/>
    </row>
    <row r="49" spans="1:18" ht="15">
      <c r="A49" s="61"/>
      <c r="B49" s="21" t="s">
        <v>60</v>
      </c>
      <c r="C49" s="25"/>
      <c r="D49" s="20"/>
      <c r="E49" s="30">
        <v>65000</v>
      </c>
      <c r="F49" s="22">
        <f>(E49*0.02)+E49</f>
        <v>66300</v>
      </c>
      <c r="G49" s="22">
        <f>(F49*0.02)+F49</f>
        <v>67626</v>
      </c>
      <c r="H49"/>
      <c r="I49"/>
      <c r="J49"/>
      <c r="K49"/>
      <c r="L49"/>
      <c r="M49"/>
      <c r="N49"/>
      <c r="O49"/>
      <c r="P49"/>
      <c r="Q49"/>
      <c r="R49"/>
    </row>
    <row r="50" spans="1:18" ht="15">
      <c r="A50" s="61"/>
      <c r="B50" s="21" t="s">
        <v>61</v>
      </c>
      <c r="C50" s="25"/>
      <c r="D50" s="20"/>
      <c r="E50" s="30">
        <v>1081000</v>
      </c>
      <c r="F50" s="22">
        <f>(E50*0.02)+E50</f>
        <v>1102620</v>
      </c>
      <c r="G50" s="22">
        <f>(F50*0.02)+F50</f>
        <v>1124672.4</v>
      </c>
      <c r="H50"/>
      <c r="I50"/>
      <c r="J50"/>
      <c r="K50"/>
      <c r="L50"/>
      <c r="M50"/>
      <c r="N50"/>
      <c r="O50"/>
      <c r="P50"/>
      <c r="Q50"/>
      <c r="R50"/>
    </row>
    <row r="51" spans="1:18" ht="15">
      <c r="A51" s="61"/>
      <c r="B51" s="21" t="s">
        <v>62</v>
      </c>
      <c r="C51" s="25"/>
      <c r="D51" s="20"/>
      <c r="E51" s="30">
        <v>260000</v>
      </c>
      <c r="F51" s="22">
        <f>(E51*0.02)+E51</f>
        <v>265200</v>
      </c>
      <c r="G51" s="22">
        <f>(F51*0.02)+F51</f>
        <v>270504</v>
      </c>
      <c r="H51"/>
      <c r="I51"/>
      <c r="J51"/>
      <c r="K51"/>
      <c r="L51"/>
      <c r="M51"/>
      <c r="N51"/>
      <c r="O51"/>
      <c r="P51"/>
      <c r="Q51"/>
      <c r="R51"/>
    </row>
    <row r="52" spans="1:18" ht="15">
      <c r="A52" s="61"/>
      <c r="B52" s="21" t="s">
        <v>126</v>
      </c>
      <c r="C52" s="25"/>
      <c r="D52" s="20"/>
      <c r="E52" s="30">
        <v>600000</v>
      </c>
      <c r="F52" s="22">
        <f>(E52*0.02)+E52</f>
        <v>612000</v>
      </c>
      <c r="G52" s="22">
        <f>(F52*0.02)+F52</f>
        <v>624240</v>
      </c>
      <c r="H52"/>
      <c r="I52"/>
      <c r="J52"/>
      <c r="K52"/>
      <c r="L52"/>
      <c r="M52"/>
      <c r="N52"/>
      <c r="O52"/>
      <c r="P52"/>
      <c r="Q52"/>
      <c r="R52"/>
    </row>
    <row r="53" spans="1:18" ht="15">
      <c r="A53" s="61"/>
      <c r="B53" s="21" t="s">
        <v>65</v>
      </c>
      <c r="C53" s="25"/>
      <c r="D53" s="20"/>
      <c r="E53" s="30">
        <v>750000</v>
      </c>
      <c r="F53" s="22">
        <f>(E53*0.02)+E53</f>
        <v>765000</v>
      </c>
      <c r="G53" s="22">
        <f>(F53*0.02)+F53</f>
        <v>780300</v>
      </c>
      <c r="H53"/>
      <c r="I53"/>
      <c r="J53"/>
      <c r="K53"/>
      <c r="L53"/>
      <c r="M53"/>
      <c r="N53"/>
      <c r="O53"/>
      <c r="P53"/>
      <c r="Q53"/>
      <c r="R53"/>
    </row>
    <row r="54" spans="1:18" ht="15">
      <c r="A54" s="37"/>
      <c r="B54" s="38" t="s">
        <v>109</v>
      </c>
      <c r="C54" s="38"/>
      <c r="D54" s="36"/>
      <c r="E54" s="39">
        <f>SUM(E11:E53)</f>
        <v>1522661000</v>
      </c>
      <c r="F54" s="39">
        <f>SUM(F11:F53)</f>
        <v>1590893370</v>
      </c>
      <c r="G54" s="39">
        <f>SUM(G11:G53)</f>
        <v>1662462024.9</v>
      </c>
      <c r="H54"/>
      <c r="I54"/>
      <c r="J54"/>
      <c r="K54"/>
      <c r="L54"/>
      <c r="M54"/>
      <c r="N54"/>
      <c r="O54"/>
      <c r="P54"/>
      <c r="Q54"/>
      <c r="R54"/>
    </row>
    <row r="55" spans="1:18" ht="15">
      <c r="A55" s="7" t="s">
        <v>67</v>
      </c>
      <c r="B55" s="62" t="s">
        <v>68</v>
      </c>
      <c r="C55" s="45"/>
      <c r="D55" s="46"/>
      <c r="E55" s="40"/>
      <c r="F55" s="40"/>
      <c r="G55" s="40"/>
      <c r="H55"/>
      <c r="I55"/>
      <c r="J55"/>
      <c r="K55"/>
      <c r="L55"/>
      <c r="M55"/>
      <c r="N55"/>
      <c r="O55"/>
      <c r="P55"/>
      <c r="Q55"/>
      <c r="R55"/>
    </row>
    <row r="56" spans="1:18" ht="15">
      <c r="A56" s="27" t="s">
        <v>71</v>
      </c>
      <c r="B56" s="15" t="s">
        <v>72</v>
      </c>
      <c r="C56" s="16"/>
      <c r="D56" s="17"/>
      <c r="E56" s="63"/>
      <c r="F56" s="63"/>
      <c r="G56" s="63"/>
      <c r="H56"/>
      <c r="I56"/>
      <c r="J56"/>
      <c r="K56"/>
      <c r="L56"/>
      <c r="M56"/>
      <c r="N56"/>
      <c r="O56"/>
      <c r="P56"/>
      <c r="Q56"/>
      <c r="R56"/>
    </row>
    <row r="57" spans="1:18" ht="15">
      <c r="A57" s="61"/>
      <c r="B57" s="21" t="s">
        <v>73</v>
      </c>
      <c r="C57" s="25"/>
      <c r="D57" s="20"/>
      <c r="E57" s="90">
        <v>-2500000</v>
      </c>
      <c r="F57" s="90"/>
      <c r="G57" s="90"/>
      <c r="H57"/>
      <c r="I57"/>
      <c r="J57"/>
      <c r="K57"/>
      <c r="L57"/>
      <c r="M57"/>
      <c r="N57"/>
      <c r="O57"/>
      <c r="P57"/>
      <c r="Q57"/>
      <c r="R57"/>
    </row>
    <row r="58" spans="1:18" ht="15">
      <c r="A58" s="27" t="s">
        <v>76</v>
      </c>
      <c r="B58" s="15" t="s">
        <v>77</v>
      </c>
      <c r="C58" s="16"/>
      <c r="D58" s="17"/>
      <c r="E58" s="11"/>
      <c r="F58" s="11"/>
      <c r="G58" s="11"/>
      <c r="H58"/>
      <c r="I58"/>
      <c r="J58"/>
      <c r="K58"/>
      <c r="L58"/>
      <c r="M58"/>
      <c r="N58"/>
      <c r="O58"/>
      <c r="P58"/>
      <c r="Q58"/>
      <c r="R58"/>
    </row>
    <row r="59" spans="1:18" ht="15">
      <c r="A59" s="65"/>
      <c r="B59" s="21" t="s">
        <v>81</v>
      </c>
      <c r="C59" s="25"/>
      <c r="D59" s="20"/>
      <c r="E59" s="89">
        <f>2000000/12</f>
        <v>166666.66666666666</v>
      </c>
      <c r="F59" s="89"/>
      <c r="G59" s="89"/>
      <c r="H59"/>
      <c r="I59"/>
      <c r="J59"/>
      <c r="K59"/>
      <c r="L59"/>
      <c r="M59"/>
      <c r="N59"/>
      <c r="O59"/>
      <c r="P59"/>
      <c r="Q59"/>
      <c r="R59"/>
    </row>
    <row r="60" spans="1:18" ht="15">
      <c r="A60" s="37"/>
      <c r="B60" s="38" t="s">
        <v>109</v>
      </c>
      <c r="C60" s="38"/>
      <c r="D60" s="36"/>
      <c r="E60" s="88"/>
      <c r="F60" s="88"/>
      <c r="G60" s="88"/>
      <c r="H60"/>
      <c r="I60"/>
      <c r="J60"/>
      <c r="K60"/>
      <c r="L60"/>
      <c r="M60"/>
      <c r="N60"/>
      <c r="O60"/>
      <c r="P60"/>
      <c r="Q60"/>
      <c r="R60"/>
    </row>
    <row r="61" spans="1:18" ht="15">
      <c r="A61" s="44" t="s">
        <v>83</v>
      </c>
      <c r="B61" s="4" t="s">
        <v>84</v>
      </c>
      <c r="C61" s="45"/>
      <c r="D61" s="46"/>
      <c r="E61" s="67"/>
      <c r="F61" s="67"/>
      <c r="G61" s="67"/>
      <c r="H61"/>
      <c r="I61"/>
      <c r="J61"/>
      <c r="K61"/>
      <c r="L61"/>
      <c r="M61"/>
      <c r="N61"/>
      <c r="O61"/>
      <c r="P61"/>
      <c r="Q61"/>
      <c r="R61"/>
    </row>
    <row r="62" spans="1:18" ht="15">
      <c r="A62" s="68"/>
      <c r="B62" s="69"/>
      <c r="C62" s="70"/>
      <c r="D62" s="71"/>
      <c r="E62" s="73"/>
      <c r="F62" s="73"/>
      <c r="G62" s="73"/>
      <c r="H62"/>
      <c r="I62"/>
      <c r="J62"/>
      <c r="K62"/>
      <c r="L62"/>
      <c r="M62"/>
      <c r="N62"/>
      <c r="O62"/>
      <c r="P62"/>
      <c r="Q62"/>
      <c r="R62"/>
    </row>
    <row r="63" spans="1:18" ht="15">
      <c r="A63" s="37"/>
      <c r="B63" s="38" t="s">
        <v>109</v>
      </c>
      <c r="C63" s="38"/>
      <c r="D63" s="36"/>
      <c r="E63" s="39"/>
      <c r="F63" s="39"/>
      <c r="G63" s="39"/>
      <c r="H63"/>
      <c r="I63"/>
      <c r="J63"/>
      <c r="K63"/>
      <c r="L63"/>
      <c r="M63"/>
      <c r="N63"/>
      <c r="O63"/>
      <c r="P63"/>
      <c r="Q63"/>
      <c r="R63"/>
    </row>
    <row r="64" spans="1:18" ht="15">
      <c r="A64" s="7" t="s">
        <v>85</v>
      </c>
      <c r="B64" s="8" t="s">
        <v>86</v>
      </c>
      <c r="C64" s="9"/>
      <c r="D64" s="10"/>
      <c r="E64" s="67"/>
      <c r="F64" s="67"/>
      <c r="G64" s="67"/>
      <c r="H64"/>
      <c r="I64"/>
      <c r="J64"/>
      <c r="K64"/>
      <c r="L64"/>
      <c r="M64"/>
      <c r="N64"/>
      <c r="O64"/>
      <c r="P64"/>
      <c r="Q64"/>
      <c r="R64"/>
    </row>
    <row r="65" spans="1:18" ht="15">
      <c r="A65" s="27" t="s">
        <v>97</v>
      </c>
      <c r="B65" s="15" t="s">
        <v>98</v>
      </c>
      <c r="C65" s="16"/>
      <c r="D65" s="17"/>
      <c r="E65" s="32"/>
      <c r="F65" s="32"/>
      <c r="G65" s="32"/>
      <c r="H65"/>
      <c r="I65"/>
      <c r="J65"/>
      <c r="K65"/>
      <c r="L65"/>
      <c r="M65"/>
      <c r="N65"/>
      <c r="O65"/>
      <c r="P65"/>
      <c r="Q65"/>
      <c r="R65"/>
    </row>
    <row r="66" spans="1:18" ht="15">
      <c r="A66" s="59"/>
      <c r="B66" s="21" t="s">
        <v>100</v>
      </c>
      <c r="C66" s="25"/>
      <c r="D66" s="20"/>
      <c r="E66" s="30">
        <v>7500000</v>
      </c>
      <c r="F66" s="22">
        <f>(E66*0.01)+E66</f>
        <v>7575000</v>
      </c>
      <c r="G66" s="22">
        <f>(F66*0.01)+F66</f>
        <v>7650750</v>
      </c>
      <c r="H66"/>
      <c r="I66"/>
      <c r="J66"/>
      <c r="K66"/>
      <c r="L66"/>
      <c r="M66"/>
      <c r="N66"/>
      <c r="O66"/>
      <c r="P66"/>
      <c r="Q66"/>
      <c r="R66"/>
    </row>
    <row r="67" spans="1:18" ht="15">
      <c r="A67" s="37"/>
      <c r="B67" s="38" t="s">
        <v>109</v>
      </c>
      <c r="C67" s="38"/>
      <c r="D67" s="36"/>
      <c r="E67" s="39">
        <f>SUM(E65:E66)</f>
        <v>7500000</v>
      </c>
      <c r="F67" s="39">
        <f>SUM(F65:F66)</f>
        <v>7575000</v>
      </c>
      <c r="G67" s="39">
        <f>SUM(G65:G66)</f>
        <v>7650750</v>
      </c>
      <c r="H67"/>
      <c r="I67"/>
      <c r="J67"/>
      <c r="K67"/>
      <c r="L67"/>
      <c r="M67"/>
      <c r="N67"/>
      <c r="O67"/>
      <c r="P67"/>
      <c r="Q67"/>
      <c r="R67"/>
    </row>
    <row r="68" spans="1:18" ht="15">
      <c r="A68" s="13"/>
      <c r="B68" s="75"/>
      <c r="C68" s="75"/>
      <c r="D68" s="75"/>
      <c r="E68" s="75"/>
      <c r="F68" s="75"/>
      <c r="G68" s="75"/>
      <c r="H68"/>
      <c r="I68"/>
      <c r="J68"/>
      <c r="K68"/>
      <c r="L68"/>
      <c r="M68"/>
      <c r="N68"/>
      <c r="O68"/>
      <c r="P68"/>
      <c r="Q68"/>
      <c r="R68"/>
    </row>
    <row r="69" spans="1:18" ht="15">
      <c r="A69" s="13"/>
      <c r="B69" s="76" t="s">
        <v>141</v>
      </c>
      <c r="C69" s="76"/>
      <c r="D69" s="75"/>
      <c r="E69" s="39">
        <f>E8</f>
        <v>1600000000</v>
      </c>
      <c r="F69" s="39">
        <f>F8</f>
        <v>1696000000</v>
      </c>
      <c r="G69" s="39">
        <f>G8</f>
        <v>1797760000</v>
      </c>
      <c r="H69"/>
      <c r="I69"/>
      <c r="J69"/>
      <c r="K69"/>
      <c r="L69"/>
      <c r="M69"/>
      <c r="N69"/>
      <c r="O69"/>
      <c r="P69"/>
      <c r="Q69"/>
      <c r="R69"/>
    </row>
    <row r="70" spans="1:18" ht="15">
      <c r="A70" s="49"/>
      <c r="B70" s="33"/>
      <c r="C70" s="78"/>
      <c r="D70" s="33"/>
      <c r="E70" s="33"/>
      <c r="F70" s="33"/>
      <c r="G70" s="33"/>
      <c r="H70"/>
      <c r="I70"/>
      <c r="J70"/>
      <c r="K70"/>
      <c r="L70"/>
      <c r="M70"/>
      <c r="N70"/>
      <c r="O70"/>
      <c r="P70"/>
      <c r="Q70"/>
      <c r="R70"/>
    </row>
    <row r="71" spans="1:18" ht="15">
      <c r="A71" s="49"/>
      <c r="B71" s="78" t="s">
        <v>180</v>
      </c>
      <c r="C71" s="78"/>
      <c r="D71" s="33"/>
      <c r="E71" s="77">
        <f>E54+E60+E63+E67</f>
        <v>1530161000</v>
      </c>
      <c r="F71" s="77">
        <f>F54+F60+F63+F67</f>
        <v>1598468370</v>
      </c>
      <c r="G71" s="77">
        <f>G54+G60+G63+G67</f>
        <v>1670112774.9</v>
      </c>
      <c r="H71"/>
      <c r="I71"/>
      <c r="J71"/>
      <c r="K71"/>
      <c r="L71"/>
      <c r="M71"/>
      <c r="N71"/>
      <c r="O71"/>
      <c r="P71"/>
      <c r="Q71"/>
      <c r="R71"/>
    </row>
    <row r="72" spans="1:18" ht="15">
      <c r="A72" s="91"/>
      <c r="B72" s="42"/>
      <c r="C72" s="42"/>
      <c r="D72" s="41"/>
      <c r="E72" s="92"/>
      <c r="F72" s="92"/>
      <c r="G72" s="92"/>
      <c r="H72"/>
      <c r="I72"/>
      <c r="J72"/>
      <c r="K72"/>
      <c r="L72"/>
      <c r="M72"/>
      <c r="N72"/>
      <c r="O72"/>
      <c r="P72"/>
      <c r="Q72"/>
      <c r="R72"/>
    </row>
    <row r="73" spans="1:18" ht="15">
      <c r="A73" s="49"/>
      <c r="B73" s="76" t="s">
        <v>179</v>
      </c>
      <c r="C73" s="78"/>
      <c r="D73" s="33"/>
      <c r="E73" s="77"/>
      <c r="F73" s="77"/>
      <c r="G73" s="77"/>
      <c r="H73"/>
      <c r="I73"/>
      <c r="J73"/>
      <c r="K73"/>
      <c r="L73"/>
      <c r="M73"/>
      <c r="N73"/>
      <c r="O73"/>
      <c r="P73"/>
      <c r="Q73"/>
      <c r="R73"/>
    </row>
    <row r="74" spans="1:18" ht="15">
      <c r="A74" s="49"/>
      <c r="B74" s="33"/>
      <c r="C74" s="33"/>
      <c r="D74" s="33"/>
      <c r="E74" s="33"/>
      <c r="F74" s="33"/>
      <c r="G74" s="33"/>
      <c r="H74"/>
      <c r="I74"/>
      <c r="J74"/>
      <c r="K74"/>
      <c r="L74"/>
      <c r="M74"/>
      <c r="N74"/>
      <c r="O74"/>
      <c r="P74"/>
      <c r="Q74"/>
      <c r="R74"/>
    </row>
    <row r="75" spans="1:18" ht="15">
      <c r="A75" s="79" t="s">
        <v>142</v>
      </c>
      <c r="B75" s="25"/>
      <c r="C75" s="25"/>
      <c r="D75" s="25"/>
      <c r="E75" s="80">
        <f>E69-E71</f>
        <v>69839000</v>
      </c>
      <c r="F75" s="80">
        <f>F69-F71</f>
        <v>97531630</v>
      </c>
      <c r="G75" s="80">
        <f>G69-G71</f>
        <v>127647225.0999999</v>
      </c>
      <c r="H75"/>
      <c r="I75"/>
      <c r="J75"/>
      <c r="K75"/>
      <c r="L75"/>
      <c r="M75"/>
      <c r="N75"/>
      <c r="O75"/>
      <c r="P75"/>
      <c r="Q75"/>
      <c r="R75"/>
    </row>
  </sheetData>
  <printOptions horizontalCentered="1" verticalCentered="1"/>
  <pageMargins left="0.76" right="0" top="0" bottom="0" header="0" footer="0"/>
  <pageSetup fitToHeight="2" fitToWidth="1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workbookViewId="0" topLeftCell="A1">
      <selection activeCell="A1" sqref="A1:A3"/>
    </sheetView>
  </sheetViews>
  <sheetFormatPr defaultColWidth="8.88671875" defaultRowHeight="15"/>
  <cols>
    <col min="1" max="1" width="5.21484375" style="1" customWidth="1"/>
    <col min="2" max="3" width="8.88671875" style="1" customWidth="1"/>
    <col min="4" max="4" width="11.99609375" style="1" customWidth="1"/>
    <col min="5" max="5" width="9.77734375" style="1" customWidth="1"/>
    <col min="6" max="6" width="11.10546875" style="1" customWidth="1"/>
    <col min="7" max="7" width="10.10546875" style="1" customWidth="1"/>
    <col min="8" max="8" width="8.88671875" style="1" customWidth="1"/>
    <col min="9" max="9" width="9.10546875" style="1" customWidth="1"/>
    <col min="10" max="10" width="10.21484375" style="1" customWidth="1"/>
    <col min="11" max="11" width="9.88671875" style="1" customWidth="1"/>
    <col min="12" max="12" width="10.10546875" style="1" customWidth="1"/>
    <col min="13" max="13" width="9.99609375" style="1" customWidth="1"/>
    <col min="14" max="14" width="9.4453125" style="1" customWidth="1"/>
    <col min="15" max="15" width="11.10546875" style="1" customWidth="1"/>
    <col min="16" max="16" width="9.99609375" style="1" customWidth="1"/>
    <col min="17" max="17" width="10.88671875" style="1" customWidth="1"/>
    <col min="18" max="18" width="12.77734375" style="1" customWidth="1"/>
  </cols>
  <sheetData>
    <row r="1" spans="1:17" ht="23.25">
      <c r="A1" s="93" t="s">
        <v>140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23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23.25">
      <c r="A3" s="5" t="s">
        <v>187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8.75">
      <c r="A4" s="6"/>
      <c r="B4" s="6"/>
      <c r="C4" s="6"/>
      <c r="D4" s="6"/>
      <c r="E4" s="96">
        <v>1999</v>
      </c>
      <c r="F4" s="96">
        <v>2000</v>
      </c>
      <c r="G4" s="96">
        <v>2001</v>
      </c>
      <c r="H4"/>
      <c r="I4"/>
      <c r="J4"/>
      <c r="K4"/>
      <c r="L4"/>
      <c r="M4"/>
      <c r="N4"/>
      <c r="O4"/>
      <c r="P4"/>
      <c r="Q4"/>
      <c r="R4"/>
    </row>
    <row r="5" spans="1:18" ht="15">
      <c r="A5" s="7" t="s">
        <v>1</v>
      </c>
      <c r="B5" s="84" t="s">
        <v>2</v>
      </c>
      <c r="C5" s="85"/>
      <c r="D5" s="86"/>
      <c r="E5" s="11"/>
      <c r="F5" s="11"/>
      <c r="G5" s="11"/>
      <c r="H5"/>
      <c r="I5"/>
      <c r="J5"/>
      <c r="K5"/>
      <c r="L5"/>
      <c r="M5"/>
      <c r="N5"/>
      <c r="O5"/>
      <c r="P5"/>
      <c r="Q5"/>
      <c r="R5"/>
    </row>
    <row r="6" spans="1:18" ht="15">
      <c r="A6" s="14" t="s">
        <v>150</v>
      </c>
      <c r="B6" s="83"/>
      <c r="C6" s="52"/>
      <c r="D6" s="32"/>
      <c r="E6" s="11"/>
      <c r="F6" s="11"/>
      <c r="G6" s="11"/>
      <c r="H6"/>
      <c r="I6"/>
      <c r="J6"/>
      <c r="K6"/>
      <c r="L6"/>
      <c r="M6"/>
      <c r="N6"/>
      <c r="O6"/>
      <c r="P6"/>
      <c r="Q6"/>
      <c r="R6"/>
    </row>
    <row r="7" spans="1:18" ht="15">
      <c r="A7" s="19" t="s">
        <v>165</v>
      </c>
      <c r="B7" s="20" t="s">
        <v>101</v>
      </c>
      <c r="C7" s="21"/>
      <c r="D7" s="81"/>
      <c r="E7" s="26">
        <v>2030000000</v>
      </c>
      <c r="F7" s="22">
        <f>(E7*0.06)+E7</f>
        <v>2151800000</v>
      </c>
      <c r="G7" s="22">
        <f>(F7*0.06)+F7</f>
        <v>2280908000</v>
      </c>
      <c r="H7"/>
      <c r="I7"/>
      <c r="J7"/>
      <c r="K7"/>
      <c r="L7"/>
      <c r="M7"/>
      <c r="N7"/>
      <c r="O7"/>
      <c r="P7"/>
      <c r="Q7"/>
      <c r="R7"/>
    </row>
    <row r="8" spans="1:18" ht="15">
      <c r="A8" s="37"/>
      <c r="B8" s="38" t="s">
        <v>109</v>
      </c>
      <c r="C8" s="38"/>
      <c r="D8" s="36"/>
      <c r="E8" s="39">
        <f>SUM(E7:E7)</f>
        <v>2030000000</v>
      </c>
      <c r="F8" s="39">
        <f>SUM(F7:F7)</f>
        <v>2151800000</v>
      </c>
      <c r="G8" s="39">
        <f>SUM(G7:G7)</f>
        <v>2280908000</v>
      </c>
      <c r="H8"/>
      <c r="I8"/>
      <c r="J8"/>
      <c r="K8"/>
      <c r="L8"/>
      <c r="M8"/>
      <c r="N8"/>
      <c r="O8"/>
      <c r="P8"/>
      <c r="Q8"/>
      <c r="R8"/>
    </row>
    <row r="9" spans="1:18" ht="15">
      <c r="A9" s="44" t="s">
        <v>11</v>
      </c>
      <c r="B9" s="4" t="s">
        <v>12</v>
      </c>
      <c r="C9" s="45"/>
      <c r="D9" s="46"/>
      <c r="E9" s="48"/>
      <c r="F9" s="48"/>
      <c r="G9" s="48"/>
      <c r="H9"/>
      <c r="I9"/>
      <c r="J9"/>
      <c r="K9"/>
      <c r="L9"/>
      <c r="M9"/>
      <c r="N9"/>
      <c r="O9"/>
      <c r="P9"/>
      <c r="Q9"/>
      <c r="R9"/>
    </row>
    <row r="10" spans="1:18" ht="15">
      <c r="A10" s="27" t="s">
        <v>155</v>
      </c>
      <c r="B10" s="15"/>
      <c r="C10" s="16"/>
      <c r="D10" s="17"/>
      <c r="E10" s="11"/>
      <c r="F10" s="11"/>
      <c r="G10" s="11"/>
      <c r="H10"/>
      <c r="I10"/>
      <c r="J10"/>
      <c r="K10"/>
      <c r="L10"/>
      <c r="M10"/>
      <c r="N10"/>
      <c r="O10"/>
      <c r="P10"/>
      <c r="Q10"/>
      <c r="R10"/>
    </row>
    <row r="11" spans="1:18" ht="15">
      <c r="A11" s="34"/>
      <c r="B11" s="21" t="s">
        <v>13</v>
      </c>
      <c r="C11" s="25"/>
      <c r="D11" s="20"/>
      <c r="E11" s="51">
        <v>1400000000</v>
      </c>
      <c r="F11" s="22">
        <f>(E11*0.05)+E11</f>
        <v>1470000000</v>
      </c>
      <c r="G11" s="22">
        <f>(F11*0.05)+F11</f>
        <v>1543500000</v>
      </c>
      <c r="H11"/>
      <c r="I11"/>
      <c r="J11"/>
      <c r="K11"/>
      <c r="L11"/>
      <c r="M11"/>
      <c r="N11"/>
      <c r="O11"/>
      <c r="P11"/>
      <c r="Q11"/>
      <c r="R11"/>
    </row>
    <row r="12" spans="1:18" ht="15">
      <c r="A12" s="34"/>
      <c r="B12" s="21" t="s">
        <v>117</v>
      </c>
      <c r="C12" s="25"/>
      <c r="D12" s="20"/>
      <c r="E12" s="30">
        <v>100000</v>
      </c>
      <c r="F12" s="22">
        <f>(E12*0.05)+E12</f>
        <v>105000</v>
      </c>
      <c r="G12" s="22">
        <f>(F12*0.05)+F12</f>
        <v>110250</v>
      </c>
      <c r="H12"/>
      <c r="I12"/>
      <c r="J12"/>
      <c r="K12"/>
      <c r="L12"/>
      <c r="M12"/>
      <c r="N12"/>
      <c r="O12"/>
      <c r="P12"/>
      <c r="Q12"/>
      <c r="R12"/>
    </row>
    <row r="13" spans="1:18" ht="15">
      <c r="A13" s="34"/>
      <c r="B13" s="21" t="s">
        <v>16</v>
      </c>
      <c r="C13" s="25"/>
      <c r="D13" s="20"/>
      <c r="E13" s="30">
        <v>2000000</v>
      </c>
      <c r="F13" s="22">
        <f>(E13*0.05)+E13</f>
        <v>2100000</v>
      </c>
      <c r="G13" s="22">
        <f>(F13*0.05)+F13</f>
        <v>2205000</v>
      </c>
      <c r="H13"/>
      <c r="I13"/>
      <c r="J13"/>
      <c r="K13"/>
      <c r="L13"/>
      <c r="M13"/>
      <c r="N13"/>
      <c r="O13"/>
      <c r="P13"/>
      <c r="Q13"/>
      <c r="R13"/>
    </row>
    <row r="14" spans="1:18" ht="15">
      <c r="A14" s="27" t="s">
        <v>159</v>
      </c>
      <c r="B14" s="15"/>
      <c r="C14" s="16"/>
      <c r="D14" s="17"/>
      <c r="E14" s="11"/>
      <c r="F14" s="11"/>
      <c r="G14" s="11"/>
      <c r="H14"/>
      <c r="I14"/>
      <c r="J14"/>
      <c r="K14"/>
      <c r="L14"/>
      <c r="M14"/>
      <c r="N14"/>
      <c r="O14"/>
      <c r="P14"/>
      <c r="Q14"/>
      <c r="R14"/>
    </row>
    <row r="15" spans="1:18" ht="15">
      <c r="A15" s="34"/>
      <c r="B15" s="21" t="s">
        <v>20</v>
      </c>
      <c r="C15" s="25"/>
      <c r="D15" s="20"/>
      <c r="E15" s="30">
        <v>2700000</v>
      </c>
      <c r="F15" s="22">
        <f>(E15*0.05)+E15</f>
        <v>2835000</v>
      </c>
      <c r="G15" s="22">
        <f>(F15*0.05)+F15</f>
        <v>2976750</v>
      </c>
      <c r="H15"/>
      <c r="I15"/>
      <c r="J15"/>
      <c r="K15"/>
      <c r="L15"/>
      <c r="M15"/>
      <c r="N15"/>
      <c r="O15"/>
      <c r="P15"/>
      <c r="Q15"/>
      <c r="R15"/>
    </row>
    <row r="16" spans="1:18" ht="15">
      <c r="A16" s="34"/>
      <c r="B16" s="21" t="s">
        <v>102</v>
      </c>
      <c r="C16" s="25"/>
      <c r="D16" s="20"/>
      <c r="E16" s="30">
        <v>400000</v>
      </c>
      <c r="F16" s="22">
        <f>(E16*0.05)+E16</f>
        <v>420000</v>
      </c>
      <c r="G16" s="22">
        <f>(F16*0.05)+F16</f>
        <v>441000</v>
      </c>
      <c r="H16"/>
      <c r="I16"/>
      <c r="J16"/>
      <c r="K16"/>
      <c r="L16"/>
      <c r="M16"/>
      <c r="N16"/>
      <c r="O16"/>
      <c r="P16"/>
      <c r="Q16"/>
      <c r="R16"/>
    </row>
    <row r="17" spans="1:18" ht="15">
      <c r="A17" s="34"/>
      <c r="B17" s="53" t="s">
        <v>22</v>
      </c>
      <c r="C17" s="35"/>
      <c r="D17" s="36"/>
      <c r="E17" s="29">
        <v>1500000</v>
      </c>
      <c r="F17" s="22">
        <f>(E17*0.05)+E17</f>
        <v>1575000</v>
      </c>
      <c r="G17" s="22">
        <f>(F17*0.05)+F17</f>
        <v>1653750</v>
      </c>
      <c r="H17"/>
      <c r="I17"/>
      <c r="J17"/>
      <c r="K17"/>
      <c r="L17"/>
      <c r="M17"/>
      <c r="N17"/>
      <c r="O17"/>
      <c r="P17"/>
      <c r="Q17"/>
      <c r="R17"/>
    </row>
    <row r="18" spans="1:18" ht="15">
      <c r="A18" s="34"/>
      <c r="B18" s="21" t="s">
        <v>118</v>
      </c>
      <c r="C18" s="25"/>
      <c r="D18" s="20"/>
      <c r="E18" s="51">
        <v>500000</v>
      </c>
      <c r="F18" s="22">
        <f>(E18*0.05)+E18</f>
        <v>525000</v>
      </c>
      <c r="G18" s="22">
        <f>(F18*0.05)+F18</f>
        <v>551250</v>
      </c>
      <c r="H18"/>
      <c r="I18"/>
      <c r="J18"/>
      <c r="K18"/>
      <c r="L18"/>
      <c r="M18"/>
      <c r="N18"/>
      <c r="O18"/>
      <c r="P18"/>
      <c r="Q18"/>
      <c r="R18"/>
    </row>
    <row r="19" spans="1:18" ht="15">
      <c r="A19" s="34"/>
      <c r="B19" s="21" t="s">
        <v>23</v>
      </c>
      <c r="C19" s="25"/>
      <c r="D19" s="20"/>
      <c r="E19" s="30">
        <v>14553000</v>
      </c>
      <c r="F19" s="22">
        <f>(E19*0.05)+E19</f>
        <v>15280650</v>
      </c>
      <c r="G19" s="22">
        <f>(F19*0.05)+F19</f>
        <v>16044682.5</v>
      </c>
      <c r="H19"/>
      <c r="I19"/>
      <c r="J19"/>
      <c r="K19"/>
      <c r="L19"/>
      <c r="M19"/>
      <c r="N19"/>
      <c r="O19"/>
      <c r="P19"/>
      <c r="Q19"/>
      <c r="R19"/>
    </row>
    <row r="20" spans="1:18" ht="15">
      <c r="A20" s="34"/>
      <c r="B20" s="21" t="s">
        <v>24</v>
      </c>
      <c r="C20" s="25"/>
      <c r="D20" s="20"/>
      <c r="E20" s="30">
        <v>7854000</v>
      </c>
      <c r="F20" s="22">
        <f>(E20*0.05)+E20</f>
        <v>8246700</v>
      </c>
      <c r="G20" s="22">
        <f>(F20*0.05)+F20</f>
        <v>8659035</v>
      </c>
      <c r="H20"/>
      <c r="I20"/>
      <c r="J20"/>
      <c r="K20"/>
      <c r="L20"/>
      <c r="M20"/>
      <c r="N20"/>
      <c r="O20"/>
      <c r="P20"/>
      <c r="Q20"/>
      <c r="R20"/>
    </row>
    <row r="21" spans="1:18" ht="15">
      <c r="A21" s="34"/>
      <c r="B21" s="21" t="s">
        <v>119</v>
      </c>
      <c r="C21" s="25"/>
      <c r="D21" s="20"/>
      <c r="E21" s="30">
        <v>2800000</v>
      </c>
      <c r="F21" s="22">
        <f>(E21*0.05)+E21</f>
        <v>2940000</v>
      </c>
      <c r="G21" s="22">
        <f>(F21*0.05)+F21</f>
        <v>3087000</v>
      </c>
      <c r="H21"/>
      <c r="I21"/>
      <c r="J21"/>
      <c r="K21"/>
      <c r="L21"/>
      <c r="M21"/>
      <c r="N21"/>
      <c r="O21"/>
      <c r="P21"/>
      <c r="Q21"/>
      <c r="R21"/>
    </row>
    <row r="22" spans="1:18" ht="15">
      <c r="A22" s="34"/>
      <c r="B22" s="21" t="s">
        <v>120</v>
      </c>
      <c r="C22" s="25"/>
      <c r="D22" s="20"/>
      <c r="E22" s="58">
        <v>1000000</v>
      </c>
      <c r="F22" s="22">
        <f>(E22*0.05)+E22</f>
        <v>1050000</v>
      </c>
      <c r="G22" s="22">
        <f>(F22*0.05)+F22</f>
        <v>1102500</v>
      </c>
      <c r="H22"/>
      <c r="I22"/>
      <c r="J22"/>
      <c r="K22"/>
      <c r="L22"/>
      <c r="M22"/>
      <c r="N22"/>
      <c r="O22"/>
      <c r="P22"/>
      <c r="Q22"/>
      <c r="R22"/>
    </row>
    <row r="23" spans="1:18" ht="15">
      <c r="A23" s="34"/>
      <c r="B23" s="21" t="s">
        <v>27</v>
      </c>
      <c r="C23" s="25"/>
      <c r="D23" s="20"/>
      <c r="E23" s="30">
        <v>8350000</v>
      </c>
      <c r="F23" s="22">
        <f>(E23*0.05)+E23</f>
        <v>8767500</v>
      </c>
      <c r="G23" s="22">
        <f>(F23*0.05)+F23</f>
        <v>9205875</v>
      </c>
      <c r="H23"/>
      <c r="I23"/>
      <c r="J23"/>
      <c r="K23"/>
      <c r="L23"/>
      <c r="M23"/>
      <c r="N23"/>
      <c r="O23"/>
      <c r="P23"/>
      <c r="Q23"/>
      <c r="R23"/>
    </row>
    <row r="24" spans="1:18" ht="15">
      <c r="A24" s="34"/>
      <c r="B24" s="21" t="s">
        <v>144</v>
      </c>
      <c r="C24" s="25"/>
      <c r="D24" s="20"/>
      <c r="E24" s="30">
        <v>13000000</v>
      </c>
      <c r="F24" s="22">
        <f>(E24*0.05)+E24</f>
        <v>13650000</v>
      </c>
      <c r="G24" s="22">
        <f>(F24*0.05)+F24</f>
        <v>14332500</v>
      </c>
      <c r="H24"/>
      <c r="I24"/>
      <c r="J24"/>
      <c r="K24"/>
      <c r="L24"/>
      <c r="M24"/>
      <c r="N24"/>
      <c r="O24"/>
      <c r="P24"/>
      <c r="Q24"/>
      <c r="R24"/>
    </row>
    <row r="25" spans="1:18" ht="15">
      <c r="A25" s="34"/>
      <c r="B25" s="21" t="s">
        <v>32</v>
      </c>
      <c r="C25" s="25"/>
      <c r="D25" s="20"/>
      <c r="E25" s="30">
        <v>1400000</v>
      </c>
      <c r="F25" s="22">
        <f>(E25*0.05)+E25</f>
        <v>1470000</v>
      </c>
      <c r="G25" s="22">
        <f>(F25*0.05)+F25</f>
        <v>1543500</v>
      </c>
      <c r="H25"/>
      <c r="I25"/>
      <c r="J25"/>
      <c r="K25"/>
      <c r="L25"/>
      <c r="M25"/>
      <c r="N25"/>
      <c r="O25"/>
      <c r="P25"/>
      <c r="Q25"/>
      <c r="R25"/>
    </row>
    <row r="26" spans="1:18" ht="15">
      <c r="A26" s="34"/>
      <c r="B26" s="21" t="s">
        <v>33</v>
      </c>
      <c r="C26" s="25"/>
      <c r="D26" s="20"/>
      <c r="E26" s="30">
        <v>50000</v>
      </c>
      <c r="F26" s="22">
        <f>(E26*0.05)+E26</f>
        <v>52500</v>
      </c>
      <c r="G26" s="22">
        <f>(F26*0.05)+F26</f>
        <v>55125</v>
      </c>
      <c r="H26"/>
      <c r="I26"/>
      <c r="J26"/>
      <c r="K26"/>
      <c r="L26"/>
      <c r="M26"/>
      <c r="N26"/>
      <c r="O26"/>
      <c r="P26"/>
      <c r="Q26"/>
      <c r="R26"/>
    </row>
    <row r="27" spans="1:18" ht="15">
      <c r="A27" s="34"/>
      <c r="B27" s="21" t="s">
        <v>122</v>
      </c>
      <c r="C27" s="25"/>
      <c r="D27" s="20"/>
      <c r="E27" s="30">
        <v>4300000</v>
      </c>
      <c r="F27" s="22">
        <f>(E27*0.05)+E27</f>
        <v>4515000</v>
      </c>
      <c r="G27" s="22">
        <f>(F27*0.05)+F27</f>
        <v>4740750</v>
      </c>
      <c r="H27"/>
      <c r="I27"/>
      <c r="J27"/>
      <c r="K27"/>
      <c r="L27"/>
      <c r="M27"/>
      <c r="N27"/>
      <c r="O27"/>
      <c r="P27"/>
      <c r="Q27"/>
      <c r="R27"/>
    </row>
    <row r="28" spans="1:18" ht="15">
      <c r="A28" s="34"/>
      <c r="B28" s="21" t="s">
        <v>108</v>
      </c>
      <c r="C28" s="25"/>
      <c r="D28" s="20"/>
      <c r="E28" s="30">
        <v>1500000</v>
      </c>
      <c r="F28" s="22">
        <f>(E28*0.05)+E28</f>
        <v>1575000</v>
      </c>
      <c r="G28" s="22">
        <f>(F28*0.05)+F28</f>
        <v>1653750</v>
      </c>
      <c r="H28"/>
      <c r="I28"/>
      <c r="J28"/>
      <c r="K28"/>
      <c r="L28"/>
      <c r="M28"/>
      <c r="N28"/>
      <c r="O28"/>
      <c r="P28"/>
      <c r="Q28"/>
      <c r="R28"/>
    </row>
    <row r="29" spans="1:18" ht="15">
      <c r="A29" s="60" t="s">
        <v>160</v>
      </c>
      <c r="B29" s="15"/>
      <c r="C29" s="16"/>
      <c r="D29" s="17"/>
      <c r="E29" s="22"/>
      <c r="F29" s="22"/>
      <c r="G29" s="22"/>
      <c r="H29"/>
      <c r="I29"/>
      <c r="J29"/>
      <c r="K29"/>
      <c r="L29"/>
      <c r="M29"/>
      <c r="N29"/>
      <c r="O29"/>
      <c r="P29"/>
      <c r="Q29"/>
      <c r="R29"/>
    </row>
    <row r="30" spans="1:18" ht="15">
      <c r="A30" s="34"/>
      <c r="B30" s="21" t="s">
        <v>37</v>
      </c>
      <c r="C30" s="25"/>
      <c r="D30" s="20"/>
      <c r="E30" s="29">
        <v>35000000</v>
      </c>
      <c r="F30" s="22">
        <f>(E30*0.05)+E30</f>
        <v>36750000</v>
      </c>
      <c r="G30" s="22">
        <f>(F30*0.05)+F30</f>
        <v>38587500</v>
      </c>
      <c r="H30"/>
      <c r="I30"/>
      <c r="J30"/>
      <c r="K30"/>
      <c r="L30"/>
      <c r="M30"/>
      <c r="N30"/>
      <c r="O30"/>
      <c r="P30"/>
      <c r="Q30"/>
      <c r="R30"/>
    </row>
    <row r="31" spans="1:18" ht="15">
      <c r="A31" s="34"/>
      <c r="B31" s="21" t="s">
        <v>38</v>
      </c>
      <c r="C31" s="25"/>
      <c r="D31" s="20"/>
      <c r="E31" s="30">
        <v>4150000</v>
      </c>
      <c r="F31" s="22">
        <f>(E31*0.05)+E31</f>
        <v>4357500</v>
      </c>
      <c r="G31" s="22">
        <f>(F31*0.05)+F31</f>
        <v>4575375</v>
      </c>
      <c r="H31"/>
      <c r="I31"/>
      <c r="J31"/>
      <c r="K31"/>
      <c r="L31"/>
      <c r="M31"/>
      <c r="N31"/>
      <c r="O31"/>
      <c r="P31"/>
      <c r="Q31"/>
      <c r="R31"/>
    </row>
    <row r="32" spans="1:18" ht="15">
      <c r="A32" s="34"/>
      <c r="B32" s="21" t="s">
        <v>123</v>
      </c>
      <c r="C32" s="25"/>
      <c r="D32" s="20"/>
      <c r="E32" s="30">
        <v>5000000</v>
      </c>
      <c r="F32" s="22">
        <f>(E32*0.05)+E32</f>
        <v>5250000</v>
      </c>
      <c r="G32" s="22">
        <f>(F32*0.05)+F32</f>
        <v>5512500</v>
      </c>
      <c r="H32"/>
      <c r="I32"/>
      <c r="J32"/>
      <c r="K32"/>
      <c r="L32"/>
      <c r="M32"/>
      <c r="N32"/>
      <c r="O32"/>
      <c r="P32"/>
      <c r="Q32"/>
      <c r="R32"/>
    </row>
    <row r="33" spans="1:18" ht="15">
      <c r="A33" s="27" t="s">
        <v>161</v>
      </c>
      <c r="B33" s="15"/>
      <c r="C33" s="16"/>
      <c r="D33" s="17"/>
      <c r="E33" s="11"/>
      <c r="F33" s="11"/>
      <c r="G33" s="11"/>
      <c r="H33"/>
      <c r="I33"/>
      <c r="J33"/>
      <c r="K33"/>
      <c r="L33"/>
      <c r="M33"/>
      <c r="N33"/>
      <c r="O33"/>
      <c r="P33"/>
      <c r="Q33"/>
      <c r="R33"/>
    </row>
    <row r="34" spans="1:18" ht="15">
      <c r="A34" s="34"/>
      <c r="B34" s="21" t="s">
        <v>39</v>
      </c>
      <c r="C34" s="25"/>
      <c r="D34" s="20"/>
      <c r="E34" s="29">
        <v>269234531</v>
      </c>
      <c r="F34" s="22">
        <f>(E34*0.01)+E34</f>
        <v>271926876.31</v>
      </c>
      <c r="G34" s="22">
        <f>(F34*0.01)+F34</f>
        <v>274646145.07310003</v>
      </c>
      <c r="H34"/>
      <c r="I34"/>
      <c r="J34"/>
      <c r="K34"/>
      <c r="L34"/>
      <c r="M34"/>
      <c r="N34"/>
      <c r="O34"/>
      <c r="P34"/>
      <c r="Q34"/>
      <c r="R34"/>
    </row>
    <row r="35" spans="1:18" ht="15">
      <c r="A35" s="34"/>
      <c r="B35" s="21" t="s">
        <v>103</v>
      </c>
      <c r="C35" s="25"/>
      <c r="D35" s="20"/>
      <c r="E35" s="30">
        <v>73129329</v>
      </c>
      <c r="F35" s="22">
        <f>(E35*0.01)+E35</f>
        <v>73860622.29</v>
      </c>
      <c r="G35" s="22">
        <f>(F35*0.01)+F35</f>
        <v>74599228.51290001</v>
      </c>
      <c r="H35"/>
      <c r="I35"/>
      <c r="J35"/>
      <c r="K35"/>
      <c r="L35"/>
      <c r="M35"/>
      <c r="N35"/>
      <c r="O35"/>
      <c r="P35"/>
      <c r="Q35"/>
      <c r="R35"/>
    </row>
    <row r="36" spans="1:18" ht="15">
      <c r="A36" s="34"/>
      <c r="B36" s="21" t="s">
        <v>40</v>
      </c>
      <c r="C36" s="25"/>
      <c r="D36" s="20"/>
      <c r="E36" s="30">
        <v>22880600</v>
      </c>
      <c r="F36" s="22">
        <f>(E36*0.01)+E36</f>
        <v>23109406</v>
      </c>
      <c r="G36" s="22">
        <f>(F36*0.01)+F36</f>
        <v>23340500.06</v>
      </c>
      <c r="H36"/>
      <c r="I36"/>
      <c r="J36"/>
      <c r="K36"/>
      <c r="L36"/>
      <c r="M36"/>
      <c r="N36"/>
      <c r="O36"/>
      <c r="P36"/>
      <c r="Q36"/>
      <c r="R36"/>
    </row>
    <row r="37" spans="1:18" ht="15">
      <c r="A37" s="34"/>
      <c r="B37" s="21" t="s">
        <v>41</v>
      </c>
      <c r="C37" s="25"/>
      <c r="D37" s="20"/>
      <c r="E37" s="30">
        <v>600000</v>
      </c>
      <c r="F37" s="22">
        <f>(E37*0.01)+E37</f>
        <v>606000</v>
      </c>
      <c r="G37" s="22">
        <f>(F37*0.01)+F37</f>
        <v>612060</v>
      </c>
      <c r="H37"/>
      <c r="I37"/>
      <c r="J37"/>
      <c r="K37"/>
      <c r="L37"/>
      <c r="M37"/>
      <c r="N37"/>
      <c r="O37"/>
      <c r="P37"/>
      <c r="Q37"/>
      <c r="R37"/>
    </row>
    <row r="38" spans="1:18" ht="15">
      <c r="A38" s="34"/>
      <c r="B38" s="21" t="s">
        <v>42</v>
      </c>
      <c r="C38" s="25"/>
      <c r="D38" s="20"/>
      <c r="E38" s="30">
        <v>22000000</v>
      </c>
      <c r="F38" s="22">
        <f>(E38*0.01)+E38</f>
        <v>22220000</v>
      </c>
      <c r="G38" s="22">
        <f>(F38*0.01)+F38</f>
        <v>22442200</v>
      </c>
      <c r="H38"/>
      <c r="I38"/>
      <c r="J38"/>
      <c r="K38"/>
      <c r="L38"/>
      <c r="M38"/>
      <c r="N38"/>
      <c r="O38"/>
      <c r="P38"/>
      <c r="Q38"/>
      <c r="R38"/>
    </row>
    <row r="39" spans="1:18" ht="15">
      <c r="A39" s="34"/>
      <c r="B39" s="21" t="s">
        <v>43</v>
      </c>
      <c r="C39" s="25"/>
      <c r="D39" s="20"/>
      <c r="E39" s="30">
        <v>0</v>
      </c>
      <c r="F39" s="22">
        <f>(E39*0.01)+E39</f>
        <v>0</v>
      </c>
      <c r="G39" s="22">
        <f>(F39*0.01)+F39</f>
        <v>0</v>
      </c>
      <c r="H39"/>
      <c r="I39"/>
      <c r="J39"/>
      <c r="K39"/>
      <c r="L39"/>
      <c r="M39"/>
      <c r="N39"/>
      <c r="O39"/>
      <c r="P39"/>
      <c r="Q39"/>
      <c r="R39"/>
    </row>
    <row r="40" spans="1:18" ht="15">
      <c r="A40" s="27" t="s">
        <v>162</v>
      </c>
      <c r="B40" s="15"/>
      <c r="C40" s="16"/>
      <c r="D40" s="17"/>
      <c r="E40" s="11"/>
      <c r="F40" s="11"/>
      <c r="G40" s="11"/>
      <c r="H40"/>
      <c r="I40"/>
      <c r="J40"/>
      <c r="K40"/>
      <c r="L40"/>
      <c r="M40"/>
      <c r="N40"/>
      <c r="O40"/>
      <c r="P40"/>
      <c r="Q40"/>
      <c r="R40"/>
    </row>
    <row r="41" spans="1:18" ht="15">
      <c r="A41" s="61"/>
      <c r="B41" s="21" t="s">
        <v>45</v>
      </c>
      <c r="C41" s="25"/>
      <c r="D41" s="20"/>
      <c r="E41" s="30">
        <v>13000000</v>
      </c>
      <c r="F41" s="30">
        <v>13000000</v>
      </c>
      <c r="G41" s="30">
        <v>13000000</v>
      </c>
      <c r="H41"/>
      <c r="I41"/>
      <c r="J41"/>
      <c r="K41"/>
      <c r="L41"/>
      <c r="M41"/>
      <c r="N41"/>
      <c r="O41"/>
      <c r="P41"/>
      <c r="Q41"/>
      <c r="R41"/>
    </row>
    <row r="42" spans="1:18" ht="15">
      <c r="A42" s="27" t="s">
        <v>47</v>
      </c>
      <c r="B42" s="15" t="s">
        <v>48</v>
      </c>
      <c r="C42" s="16"/>
      <c r="D42" s="17"/>
      <c r="E42" s="11"/>
      <c r="F42" s="11"/>
      <c r="G42" s="11"/>
      <c r="H42"/>
      <c r="I42"/>
      <c r="J42"/>
      <c r="K42"/>
      <c r="L42"/>
      <c r="M42"/>
      <c r="N42"/>
      <c r="O42"/>
      <c r="P42"/>
      <c r="Q42"/>
      <c r="R42"/>
    </row>
    <row r="43" spans="1:18" ht="15">
      <c r="A43" s="61"/>
      <c r="B43" s="21" t="s">
        <v>49</v>
      </c>
      <c r="C43" s="25"/>
      <c r="D43" s="20"/>
      <c r="E43" s="29">
        <v>200000000</v>
      </c>
      <c r="F43" s="29">
        <v>200000000</v>
      </c>
      <c r="G43" s="29">
        <v>200000000</v>
      </c>
      <c r="H43"/>
      <c r="I43"/>
      <c r="J43"/>
      <c r="K43"/>
      <c r="L43"/>
      <c r="M43"/>
      <c r="N43"/>
      <c r="O43"/>
      <c r="P43"/>
      <c r="Q43"/>
      <c r="R43"/>
    </row>
    <row r="44" spans="1:18" ht="15">
      <c r="A44" s="61"/>
      <c r="B44" s="21" t="s">
        <v>50</v>
      </c>
      <c r="C44" s="25"/>
      <c r="D44" s="20"/>
      <c r="E44" s="30">
        <v>-200000000</v>
      </c>
      <c r="F44" s="30">
        <v>-200000000</v>
      </c>
      <c r="G44" s="30">
        <v>-200000000</v>
      </c>
      <c r="H44"/>
      <c r="I44"/>
      <c r="J44"/>
      <c r="K44"/>
      <c r="L44"/>
      <c r="M44"/>
      <c r="N44"/>
      <c r="O44"/>
      <c r="P44"/>
      <c r="Q44"/>
      <c r="R44"/>
    </row>
    <row r="45" spans="1:18" ht="15">
      <c r="A45" s="27" t="s">
        <v>57</v>
      </c>
      <c r="B45" s="15" t="s">
        <v>58</v>
      </c>
      <c r="C45" s="16"/>
      <c r="D45" s="17"/>
      <c r="E45" s="11"/>
      <c r="F45" s="11"/>
      <c r="G45" s="11"/>
      <c r="H45"/>
      <c r="I45"/>
      <c r="J45"/>
      <c r="K45"/>
      <c r="L45"/>
      <c r="M45"/>
      <c r="N45"/>
      <c r="O45"/>
      <c r="P45"/>
      <c r="Q45"/>
      <c r="R45"/>
    </row>
    <row r="46" spans="1:18" ht="15">
      <c r="A46" s="61"/>
      <c r="B46" s="21" t="s">
        <v>60</v>
      </c>
      <c r="C46" s="25"/>
      <c r="D46" s="20"/>
      <c r="E46" s="30">
        <v>65000</v>
      </c>
      <c r="F46" s="22">
        <f>(E46*0.02)+E46</f>
        <v>66300</v>
      </c>
      <c r="G46" s="22">
        <f>(F46*0.02)+F46</f>
        <v>67626</v>
      </c>
      <c r="H46"/>
      <c r="I46"/>
      <c r="J46"/>
      <c r="K46"/>
      <c r="L46"/>
      <c r="M46"/>
      <c r="N46"/>
      <c r="O46"/>
      <c r="P46"/>
      <c r="Q46"/>
      <c r="R46"/>
    </row>
    <row r="47" spans="1:18" ht="15">
      <c r="A47" s="61"/>
      <c r="B47" s="21" t="s">
        <v>61</v>
      </c>
      <c r="C47" s="25"/>
      <c r="D47" s="20"/>
      <c r="E47" s="30">
        <v>1081000</v>
      </c>
      <c r="F47" s="22">
        <f>(E47*0.02)+E47</f>
        <v>1102620</v>
      </c>
      <c r="G47" s="22">
        <f>(F47*0.02)+F47</f>
        <v>1124672.4</v>
      </c>
      <c r="H47"/>
      <c r="I47"/>
      <c r="J47"/>
      <c r="K47"/>
      <c r="L47"/>
      <c r="M47"/>
      <c r="N47"/>
      <c r="O47"/>
      <c r="P47"/>
      <c r="Q47"/>
      <c r="R47"/>
    </row>
    <row r="48" spans="1:18" ht="15">
      <c r="A48" s="61"/>
      <c r="B48" s="21" t="s">
        <v>62</v>
      </c>
      <c r="C48" s="25"/>
      <c r="D48" s="20"/>
      <c r="E48" s="30">
        <v>385000</v>
      </c>
      <c r="F48" s="22">
        <f>(E48*0.02)+E48</f>
        <v>392700</v>
      </c>
      <c r="G48" s="22">
        <f>(F48*0.02)+F48</f>
        <v>400554</v>
      </c>
      <c r="H48"/>
      <c r="I48"/>
      <c r="J48"/>
      <c r="K48"/>
      <c r="L48"/>
      <c r="M48"/>
      <c r="N48"/>
      <c r="O48"/>
      <c r="P48"/>
      <c r="Q48"/>
      <c r="R48"/>
    </row>
    <row r="49" spans="1:18" ht="15">
      <c r="A49" s="61"/>
      <c r="B49" s="21" t="s">
        <v>126</v>
      </c>
      <c r="C49" s="25"/>
      <c r="D49" s="20"/>
      <c r="E49" s="30">
        <v>300000</v>
      </c>
      <c r="F49" s="22">
        <f>(E49*0.02)+E49</f>
        <v>306000</v>
      </c>
      <c r="G49" s="22">
        <f>(F49*0.02)+F49</f>
        <v>312120</v>
      </c>
      <c r="H49"/>
      <c r="I49"/>
      <c r="J49"/>
      <c r="K49"/>
      <c r="L49"/>
      <c r="M49"/>
      <c r="N49"/>
      <c r="O49"/>
      <c r="P49"/>
      <c r="Q49"/>
      <c r="R49"/>
    </row>
    <row r="50" spans="1:18" ht="15">
      <c r="A50" s="61"/>
      <c r="B50" s="21" t="s">
        <v>107</v>
      </c>
      <c r="C50" s="25"/>
      <c r="D50" s="20"/>
      <c r="E50" s="30">
        <v>580000</v>
      </c>
      <c r="F50" s="22">
        <f>(E50*0.02)+E50</f>
        <v>591600</v>
      </c>
      <c r="G50" s="22">
        <f>(F50*0.02)+F50</f>
        <v>603432</v>
      </c>
      <c r="H50"/>
      <c r="I50"/>
      <c r="J50"/>
      <c r="K50"/>
      <c r="L50"/>
      <c r="M50"/>
      <c r="N50"/>
      <c r="O50"/>
      <c r="P50"/>
      <c r="Q50"/>
      <c r="R50"/>
    </row>
    <row r="51" spans="1:18" ht="15">
      <c r="A51" s="61"/>
      <c r="B51" s="21" t="s">
        <v>65</v>
      </c>
      <c r="C51" s="25"/>
      <c r="D51" s="20"/>
      <c r="E51" s="30">
        <v>750000</v>
      </c>
      <c r="F51" s="22">
        <f>(E51*0.02)+E51</f>
        <v>765000</v>
      </c>
      <c r="G51" s="22">
        <f>(F51*0.02)+F51</f>
        <v>780300</v>
      </c>
      <c r="H51"/>
      <c r="I51"/>
      <c r="J51"/>
      <c r="K51"/>
      <c r="L51"/>
      <c r="M51"/>
      <c r="N51"/>
      <c r="O51"/>
      <c r="P51"/>
      <c r="Q51"/>
      <c r="R51"/>
    </row>
    <row r="52" spans="1:18" ht="15">
      <c r="A52" s="37"/>
      <c r="B52" s="38" t="s">
        <v>109</v>
      </c>
      <c r="C52" s="38"/>
      <c r="D52" s="36"/>
      <c r="E52" s="39">
        <f>SUM(E11:E51)</f>
        <v>1910162460</v>
      </c>
      <c r="F52" s="39">
        <f>SUM(F11:F51)</f>
        <v>1989411974.6</v>
      </c>
      <c r="G52" s="39">
        <f>SUM(G11:G51)</f>
        <v>2072466930.546</v>
      </c>
      <c r="H52"/>
      <c r="I52"/>
      <c r="J52"/>
      <c r="K52"/>
      <c r="L52"/>
      <c r="M52"/>
      <c r="N52"/>
      <c r="O52"/>
      <c r="P52"/>
      <c r="Q52"/>
      <c r="R52"/>
    </row>
    <row r="53" spans="1:18" ht="15">
      <c r="A53" s="7" t="s">
        <v>67</v>
      </c>
      <c r="B53" s="62" t="s">
        <v>68</v>
      </c>
      <c r="C53" s="45"/>
      <c r="D53" s="46"/>
      <c r="E53" s="40"/>
      <c r="F53" s="40"/>
      <c r="G53" s="40"/>
      <c r="H53"/>
      <c r="I53"/>
      <c r="J53"/>
      <c r="K53"/>
      <c r="L53"/>
      <c r="M53"/>
      <c r="N53"/>
      <c r="O53"/>
      <c r="P53"/>
      <c r="Q53"/>
      <c r="R53"/>
    </row>
    <row r="54" spans="1:18" ht="15">
      <c r="A54" s="27" t="s">
        <v>71</v>
      </c>
      <c r="B54" s="15" t="s">
        <v>72</v>
      </c>
      <c r="C54" s="16"/>
      <c r="D54" s="17"/>
      <c r="E54" s="63"/>
      <c r="F54" s="63"/>
      <c r="G54" s="63"/>
      <c r="H54"/>
      <c r="I54"/>
      <c r="J54"/>
      <c r="K54"/>
      <c r="L54"/>
      <c r="M54"/>
      <c r="N54"/>
      <c r="O54"/>
      <c r="P54"/>
      <c r="Q54"/>
      <c r="R54"/>
    </row>
    <row r="55" spans="1:18" ht="15">
      <c r="A55" s="61"/>
      <c r="B55" s="21" t="s">
        <v>73</v>
      </c>
      <c r="C55" s="25"/>
      <c r="D55" s="20"/>
      <c r="E55" s="90">
        <v>-2500000</v>
      </c>
      <c r="F55" s="90"/>
      <c r="G55" s="90"/>
      <c r="H55"/>
      <c r="I55"/>
      <c r="J55"/>
      <c r="K55"/>
      <c r="L55"/>
      <c r="M55"/>
      <c r="N55"/>
      <c r="O55"/>
      <c r="P55"/>
      <c r="Q55"/>
      <c r="R55"/>
    </row>
    <row r="56" spans="1:18" ht="15">
      <c r="A56" s="27" t="s">
        <v>76</v>
      </c>
      <c r="B56" s="15" t="s">
        <v>77</v>
      </c>
      <c r="C56" s="16"/>
      <c r="D56" s="17"/>
      <c r="E56" s="11"/>
      <c r="F56" s="11"/>
      <c r="G56" s="11"/>
      <c r="H56"/>
      <c r="I56"/>
      <c r="J56"/>
      <c r="K56"/>
      <c r="L56"/>
      <c r="M56"/>
      <c r="N56"/>
      <c r="O56"/>
      <c r="P56"/>
      <c r="Q56"/>
      <c r="R56"/>
    </row>
    <row r="57" spans="1:18" ht="15">
      <c r="A57" s="65"/>
      <c r="B57" s="21" t="s">
        <v>81</v>
      </c>
      <c r="C57" s="25"/>
      <c r="D57" s="20"/>
      <c r="E57" s="89">
        <f>2000000/12</f>
        <v>166666.66666666666</v>
      </c>
      <c r="F57" s="89"/>
      <c r="G57" s="89"/>
      <c r="H57"/>
      <c r="I57"/>
      <c r="J57"/>
      <c r="K57"/>
      <c r="L57"/>
      <c r="M57"/>
      <c r="N57"/>
      <c r="O57"/>
      <c r="P57"/>
      <c r="Q57"/>
      <c r="R57"/>
    </row>
    <row r="58" spans="1:18" ht="15">
      <c r="A58" s="37"/>
      <c r="B58" s="38" t="s">
        <v>109</v>
      </c>
      <c r="C58" s="38"/>
      <c r="D58" s="36"/>
      <c r="E58" s="88"/>
      <c r="F58" s="88"/>
      <c r="G58" s="88"/>
      <c r="H58"/>
      <c r="I58"/>
      <c r="J58"/>
      <c r="K58"/>
      <c r="L58"/>
      <c r="M58"/>
      <c r="N58"/>
      <c r="O58"/>
      <c r="P58"/>
      <c r="Q58"/>
      <c r="R58"/>
    </row>
    <row r="59" spans="1:18" ht="15">
      <c r="A59" s="44" t="s">
        <v>83</v>
      </c>
      <c r="B59" s="4" t="s">
        <v>84</v>
      </c>
      <c r="C59" s="45"/>
      <c r="D59" s="46"/>
      <c r="E59" s="67"/>
      <c r="F59" s="67"/>
      <c r="G59" s="67"/>
      <c r="H59"/>
      <c r="I59"/>
      <c r="J59"/>
      <c r="K59"/>
      <c r="L59"/>
      <c r="M59"/>
      <c r="N59"/>
      <c r="O59"/>
      <c r="P59"/>
      <c r="Q59"/>
      <c r="R59"/>
    </row>
    <row r="60" spans="1:18" ht="15">
      <c r="A60" s="68"/>
      <c r="B60" s="69"/>
      <c r="C60" s="70"/>
      <c r="D60" s="71"/>
      <c r="E60" s="73"/>
      <c r="F60" s="73"/>
      <c r="G60" s="73"/>
      <c r="H60"/>
      <c r="I60"/>
      <c r="J60"/>
      <c r="K60"/>
      <c r="L60"/>
      <c r="M60"/>
      <c r="N60"/>
      <c r="O60"/>
      <c r="P60"/>
      <c r="Q60"/>
      <c r="R60"/>
    </row>
    <row r="61" spans="1:18" ht="15">
      <c r="A61" s="37"/>
      <c r="B61" s="38" t="s">
        <v>109</v>
      </c>
      <c r="C61" s="38"/>
      <c r="D61" s="36"/>
      <c r="E61" s="39"/>
      <c r="F61" s="39"/>
      <c r="G61" s="39"/>
      <c r="H61"/>
      <c r="I61"/>
      <c r="J61"/>
      <c r="K61"/>
      <c r="L61"/>
      <c r="M61"/>
      <c r="N61"/>
      <c r="O61"/>
      <c r="P61"/>
      <c r="Q61"/>
      <c r="R61"/>
    </row>
    <row r="62" spans="1:18" ht="15">
      <c r="A62" s="7" t="s">
        <v>85</v>
      </c>
      <c r="B62" s="8" t="s">
        <v>86</v>
      </c>
      <c r="C62" s="9"/>
      <c r="D62" s="10"/>
      <c r="E62" s="67"/>
      <c r="F62" s="67"/>
      <c r="G62" s="67"/>
      <c r="H62"/>
      <c r="I62"/>
      <c r="J62"/>
      <c r="K62"/>
      <c r="L62"/>
      <c r="M62"/>
      <c r="N62"/>
      <c r="O62"/>
      <c r="P62"/>
      <c r="Q62"/>
      <c r="R62"/>
    </row>
    <row r="63" spans="1:18" ht="15">
      <c r="A63" s="27" t="s">
        <v>97</v>
      </c>
      <c r="B63" s="15" t="s">
        <v>98</v>
      </c>
      <c r="C63" s="16"/>
      <c r="D63" s="17"/>
      <c r="E63" s="32"/>
      <c r="F63" s="32"/>
      <c r="G63" s="32"/>
      <c r="H63"/>
      <c r="I63"/>
      <c r="J63"/>
      <c r="K63"/>
      <c r="L63"/>
      <c r="M63"/>
      <c r="N63"/>
      <c r="O63"/>
      <c r="P63"/>
      <c r="Q63"/>
      <c r="R63"/>
    </row>
    <row r="64" spans="1:18" ht="15">
      <c r="A64" s="59"/>
      <c r="B64" s="21" t="s">
        <v>100</v>
      </c>
      <c r="C64" s="25"/>
      <c r="D64" s="20"/>
      <c r="E64" s="30">
        <v>17000000</v>
      </c>
      <c r="F64" s="22">
        <f>(E64*0.01)+E64</f>
        <v>17170000</v>
      </c>
      <c r="G64" s="22">
        <f>(F64*0.01)+F64</f>
        <v>17341700</v>
      </c>
      <c r="H64"/>
      <c r="I64"/>
      <c r="J64"/>
      <c r="K64"/>
      <c r="L64"/>
      <c r="M64"/>
      <c r="N64"/>
      <c r="O64"/>
      <c r="P64"/>
      <c r="Q64"/>
      <c r="R64"/>
    </row>
    <row r="65" spans="1:18" ht="15">
      <c r="A65" s="37"/>
      <c r="B65" s="38" t="s">
        <v>109</v>
      </c>
      <c r="C65" s="38"/>
      <c r="D65" s="36"/>
      <c r="E65" s="39">
        <f>SUM(E63:E64)</f>
        <v>17000000</v>
      </c>
      <c r="F65" s="39">
        <f>SUM(F63:F64)</f>
        <v>17170000</v>
      </c>
      <c r="G65" s="39">
        <f>SUM(G63:G64)</f>
        <v>17341700</v>
      </c>
      <c r="H65"/>
      <c r="I65"/>
      <c r="J65"/>
      <c r="K65"/>
      <c r="L65"/>
      <c r="M65"/>
      <c r="N65"/>
      <c r="O65"/>
      <c r="P65"/>
      <c r="Q65"/>
      <c r="R65"/>
    </row>
    <row r="66" spans="1:18" ht="15">
      <c r="A66" s="13"/>
      <c r="B66" s="75"/>
      <c r="C66" s="75"/>
      <c r="D66" s="75"/>
      <c r="E66" s="75"/>
      <c r="F66" s="75"/>
      <c r="G66" s="75"/>
      <c r="H66"/>
      <c r="I66"/>
      <c r="J66"/>
      <c r="K66"/>
      <c r="L66"/>
      <c r="M66"/>
      <c r="N66"/>
      <c r="O66"/>
      <c r="P66"/>
      <c r="Q66"/>
      <c r="R66"/>
    </row>
    <row r="67" spans="1:18" ht="15">
      <c r="A67" s="13"/>
      <c r="B67" s="76" t="s">
        <v>141</v>
      </c>
      <c r="C67" s="76"/>
      <c r="D67" s="75"/>
      <c r="E67" s="39">
        <f>E8</f>
        <v>2030000000</v>
      </c>
      <c r="F67" s="39">
        <f>F8</f>
        <v>2151800000</v>
      </c>
      <c r="G67" s="39">
        <f>G8</f>
        <v>2280908000</v>
      </c>
      <c r="H67"/>
      <c r="I67"/>
      <c r="J67"/>
      <c r="K67"/>
      <c r="L67"/>
      <c r="M67"/>
      <c r="N67"/>
      <c r="O67"/>
      <c r="P67"/>
      <c r="Q67"/>
      <c r="R67"/>
    </row>
    <row r="68" spans="1:18" ht="15">
      <c r="A68" s="49"/>
      <c r="B68" s="33"/>
      <c r="C68" s="78"/>
      <c r="D68" s="33"/>
      <c r="E68" s="33"/>
      <c r="F68" s="33"/>
      <c r="G68" s="33"/>
      <c r="H68"/>
      <c r="I68"/>
      <c r="J68"/>
      <c r="K68"/>
      <c r="L68"/>
      <c r="M68"/>
      <c r="N68"/>
      <c r="O68"/>
      <c r="P68"/>
      <c r="Q68"/>
      <c r="R68"/>
    </row>
    <row r="69" spans="1:18" ht="15">
      <c r="A69" s="49"/>
      <c r="B69" s="78" t="s">
        <v>180</v>
      </c>
      <c r="C69" s="78"/>
      <c r="D69" s="33"/>
      <c r="E69" s="77">
        <f>E52+E58+E61+E65</f>
        <v>1927162460</v>
      </c>
      <c r="F69" s="77">
        <f>F52+F58+F61+F65</f>
        <v>2006581974.6</v>
      </c>
      <c r="G69" s="77">
        <f>G52+G58+G61+G65</f>
        <v>2089808630.546</v>
      </c>
      <c r="H69"/>
      <c r="I69"/>
      <c r="J69"/>
      <c r="K69"/>
      <c r="L69"/>
      <c r="M69"/>
      <c r="N69"/>
      <c r="O69"/>
      <c r="P69"/>
      <c r="Q69"/>
      <c r="R69"/>
    </row>
    <row r="70" spans="1:18" ht="15">
      <c r="A70" s="91"/>
      <c r="B70" s="42"/>
      <c r="C70" s="42"/>
      <c r="D70" s="41"/>
      <c r="E70" s="92"/>
      <c r="F70" s="92"/>
      <c r="G70" s="92"/>
      <c r="H70"/>
      <c r="I70"/>
      <c r="J70"/>
      <c r="K70"/>
      <c r="L70"/>
      <c r="M70"/>
      <c r="N70"/>
      <c r="O70"/>
      <c r="P70"/>
      <c r="Q70"/>
      <c r="R70"/>
    </row>
    <row r="71" spans="1:18" ht="15">
      <c r="A71" s="49"/>
      <c r="B71" s="76" t="s">
        <v>179</v>
      </c>
      <c r="C71" s="78"/>
      <c r="D71" s="33"/>
      <c r="E71" s="77"/>
      <c r="F71" s="77"/>
      <c r="G71" s="77"/>
      <c r="H71"/>
      <c r="I71"/>
      <c r="J71"/>
      <c r="K71"/>
      <c r="L71"/>
      <c r="M71"/>
      <c r="N71"/>
      <c r="O71"/>
      <c r="P71"/>
      <c r="Q71"/>
      <c r="R71"/>
    </row>
    <row r="72" spans="1:18" ht="15">
      <c r="A72" s="49"/>
      <c r="B72" s="33"/>
      <c r="C72" s="33"/>
      <c r="D72" s="33"/>
      <c r="E72" s="33"/>
      <c r="F72" s="33"/>
      <c r="G72" s="33"/>
      <c r="H72"/>
      <c r="I72"/>
      <c r="J72"/>
      <c r="K72"/>
      <c r="L72"/>
      <c r="M72"/>
      <c r="N72"/>
      <c r="O72"/>
      <c r="P72"/>
      <c r="Q72"/>
      <c r="R72"/>
    </row>
    <row r="73" spans="1:18" ht="15">
      <c r="A73" s="79" t="s">
        <v>142</v>
      </c>
      <c r="B73" s="25"/>
      <c r="C73" s="25"/>
      <c r="D73" s="25"/>
      <c r="E73" s="80">
        <f>E67-E69</f>
        <v>102837540</v>
      </c>
      <c r="F73" s="80">
        <f>F67-F69</f>
        <v>145218025.4000001</v>
      </c>
      <c r="G73" s="80">
        <f>G67-G69</f>
        <v>191099369.454</v>
      </c>
      <c r="H73"/>
      <c r="I73"/>
      <c r="J73"/>
      <c r="K73"/>
      <c r="L73"/>
      <c r="M73"/>
      <c r="N73"/>
      <c r="O73"/>
      <c r="P73"/>
      <c r="Q73"/>
      <c r="R73"/>
    </row>
  </sheetData>
  <printOptions/>
  <pageMargins left="0.7" right="0" top="0" bottom="0.21" header="0" footer="0.21"/>
  <pageSetup fitToHeight="2" fitToWidth="1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workbookViewId="0" topLeftCell="A12">
      <selection activeCell="E28" sqref="E28"/>
    </sheetView>
  </sheetViews>
  <sheetFormatPr defaultColWidth="8.88671875" defaultRowHeight="15"/>
  <cols>
    <col min="1" max="1" width="5.21484375" style="1" customWidth="1"/>
    <col min="2" max="3" width="8.88671875" style="1" customWidth="1"/>
    <col min="4" max="4" width="11.99609375" style="1" customWidth="1"/>
    <col min="5" max="5" width="9.77734375" style="1" customWidth="1"/>
    <col min="6" max="6" width="11.10546875" style="1" customWidth="1"/>
    <col min="7" max="7" width="10.10546875" style="1" customWidth="1"/>
    <col min="8" max="8" width="9.10546875" style="1" customWidth="1"/>
    <col min="9" max="9" width="10.21484375" style="1" customWidth="1"/>
    <col min="10" max="10" width="9.88671875" style="1" customWidth="1"/>
    <col min="11" max="11" width="10.10546875" style="1" customWidth="1"/>
    <col min="12" max="12" width="9.99609375" style="1" customWidth="1"/>
    <col min="13" max="13" width="9.4453125" style="1" customWidth="1"/>
    <col min="14" max="14" width="11.10546875" style="1" customWidth="1"/>
    <col min="15" max="15" width="9.99609375" style="1" customWidth="1"/>
    <col min="16" max="16" width="10.88671875" style="1" customWidth="1"/>
    <col min="17" max="17" width="12.77734375" style="1" customWidth="1"/>
  </cols>
  <sheetData>
    <row r="1" spans="1:16" ht="23.25">
      <c r="A1" s="93" t="s">
        <v>140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23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23.25">
      <c r="A3" s="5" t="s">
        <v>188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7" ht="18.75">
      <c r="A4" s="6"/>
      <c r="B4" s="6"/>
      <c r="C4" s="6"/>
      <c r="D4" s="6"/>
      <c r="E4" s="96">
        <v>1999</v>
      </c>
      <c r="F4" s="96">
        <v>2000</v>
      </c>
      <c r="G4" s="96">
        <v>2001</v>
      </c>
      <c r="H4"/>
      <c r="I4"/>
      <c r="J4"/>
      <c r="K4"/>
      <c r="L4"/>
      <c r="M4"/>
      <c r="N4"/>
      <c r="O4"/>
      <c r="P4"/>
      <c r="Q4"/>
    </row>
    <row r="5" spans="1:17" ht="15">
      <c r="A5" s="7" t="s">
        <v>1</v>
      </c>
      <c r="B5" s="84" t="s">
        <v>2</v>
      </c>
      <c r="C5" s="85"/>
      <c r="D5" s="86"/>
      <c r="E5" s="11"/>
      <c r="F5" s="11"/>
      <c r="G5" s="11"/>
      <c r="H5"/>
      <c r="I5"/>
      <c r="J5"/>
      <c r="K5"/>
      <c r="L5"/>
      <c r="M5"/>
      <c r="N5"/>
      <c r="O5"/>
      <c r="P5"/>
      <c r="Q5"/>
    </row>
    <row r="6" spans="1:17" ht="15">
      <c r="A6" s="14" t="s">
        <v>150</v>
      </c>
      <c r="B6" s="83"/>
      <c r="C6" s="52"/>
      <c r="D6" s="32"/>
      <c r="E6" s="11"/>
      <c r="F6" s="11"/>
      <c r="G6" s="11"/>
      <c r="H6"/>
      <c r="I6"/>
      <c r="J6"/>
      <c r="K6"/>
      <c r="L6"/>
      <c r="M6"/>
      <c r="N6"/>
      <c r="O6"/>
      <c r="P6"/>
      <c r="Q6"/>
    </row>
    <row r="7" spans="1:17" ht="15">
      <c r="A7" s="19"/>
      <c r="B7" s="20" t="s">
        <v>138</v>
      </c>
      <c r="C7" s="21"/>
      <c r="D7" s="81"/>
      <c r="E7" s="22">
        <v>40500000</v>
      </c>
      <c r="F7" s="22">
        <f>(E7*0.12)+E7</f>
        <v>45360000</v>
      </c>
      <c r="G7" s="22">
        <f>(F7*0.12)+F7</f>
        <v>50803200</v>
      </c>
      <c r="H7"/>
      <c r="I7"/>
      <c r="J7"/>
      <c r="K7"/>
      <c r="L7"/>
      <c r="M7"/>
      <c r="N7"/>
      <c r="O7"/>
      <c r="P7"/>
      <c r="Q7"/>
    </row>
    <row r="8" spans="1:17" ht="15">
      <c r="A8" s="19" t="s">
        <v>177</v>
      </c>
      <c r="B8" s="21" t="s">
        <v>178</v>
      </c>
      <c r="C8" s="25"/>
      <c r="D8" s="20"/>
      <c r="E8" s="22">
        <v>10000000</v>
      </c>
      <c r="F8" s="22">
        <f>(E8*0.12)+E8</f>
        <v>11200000</v>
      </c>
      <c r="G8" s="22">
        <f>(F8*0.12)+F8</f>
        <v>12544000</v>
      </c>
      <c r="H8"/>
      <c r="I8"/>
      <c r="J8"/>
      <c r="K8"/>
      <c r="L8"/>
      <c r="M8"/>
      <c r="N8"/>
      <c r="O8"/>
      <c r="P8"/>
      <c r="Q8"/>
    </row>
    <row r="9" spans="1:17" ht="15">
      <c r="A9" s="27" t="s">
        <v>154</v>
      </c>
      <c r="B9" s="28"/>
      <c r="C9" s="21"/>
      <c r="D9" s="20"/>
      <c r="E9" s="22"/>
      <c r="F9" s="22"/>
      <c r="G9" s="22"/>
      <c r="H9"/>
      <c r="I9"/>
      <c r="J9"/>
      <c r="K9"/>
      <c r="L9"/>
      <c r="M9"/>
      <c r="N9"/>
      <c r="O9"/>
      <c r="P9"/>
      <c r="Q9"/>
    </row>
    <row r="10" spans="1:17" ht="15">
      <c r="A10" s="23" t="s">
        <v>3</v>
      </c>
      <c r="B10" s="31" t="s">
        <v>6</v>
      </c>
      <c r="C10" s="16"/>
      <c r="D10" s="17"/>
      <c r="E10" s="32"/>
      <c r="F10" s="32"/>
      <c r="G10" s="32"/>
      <c r="H10"/>
      <c r="I10"/>
      <c r="J10"/>
      <c r="K10"/>
      <c r="L10"/>
      <c r="M10"/>
      <c r="N10"/>
      <c r="O10"/>
      <c r="P10"/>
      <c r="Q10"/>
    </row>
    <row r="11" spans="1:17" ht="15">
      <c r="A11" s="19"/>
      <c r="B11" s="21" t="s">
        <v>7</v>
      </c>
      <c r="C11" s="25"/>
      <c r="D11" s="20"/>
      <c r="E11" s="22">
        <v>15000000</v>
      </c>
      <c r="F11" s="22">
        <f>(E11*0.12)+E11</f>
        <v>16800000</v>
      </c>
      <c r="G11" s="22">
        <f>(F11*0.12)+F11</f>
        <v>18816000</v>
      </c>
      <c r="H11"/>
      <c r="I11"/>
      <c r="J11"/>
      <c r="K11"/>
      <c r="L11"/>
      <c r="M11"/>
      <c r="N11"/>
      <c r="O11"/>
      <c r="P11"/>
      <c r="Q11"/>
    </row>
    <row r="12" spans="1:17" ht="15">
      <c r="A12" s="37"/>
      <c r="B12" s="38" t="s">
        <v>109</v>
      </c>
      <c r="C12" s="38"/>
      <c r="D12" s="36"/>
      <c r="E12" s="39">
        <f>SUM(E7:E11)</f>
        <v>65500000</v>
      </c>
      <c r="F12" s="39">
        <f>SUM(F7:F11)</f>
        <v>73360000</v>
      </c>
      <c r="G12" s="39">
        <f>SUM(G7:G11)</f>
        <v>82163200</v>
      </c>
      <c r="H12"/>
      <c r="I12"/>
      <c r="J12"/>
      <c r="K12"/>
      <c r="L12"/>
      <c r="M12"/>
      <c r="N12"/>
      <c r="O12"/>
      <c r="P12"/>
      <c r="Q12"/>
    </row>
    <row r="13" spans="1:17" ht="15">
      <c r="A13" s="44" t="s">
        <v>11</v>
      </c>
      <c r="B13" s="4" t="s">
        <v>12</v>
      </c>
      <c r="C13" s="45"/>
      <c r="D13" s="46"/>
      <c r="E13" s="48"/>
      <c r="F13" s="48"/>
      <c r="G13" s="48"/>
      <c r="H13"/>
      <c r="I13"/>
      <c r="J13"/>
      <c r="K13"/>
      <c r="L13"/>
      <c r="M13"/>
      <c r="N13"/>
      <c r="O13"/>
      <c r="P13"/>
      <c r="Q13"/>
    </row>
    <row r="14" spans="1:17" ht="15">
      <c r="A14" s="27" t="s">
        <v>155</v>
      </c>
      <c r="B14" s="15"/>
      <c r="C14" s="16"/>
      <c r="D14" s="17"/>
      <c r="E14" s="11"/>
      <c r="F14" s="11"/>
      <c r="G14" s="11"/>
      <c r="H14"/>
      <c r="I14"/>
      <c r="J14"/>
      <c r="K14"/>
      <c r="L14"/>
      <c r="M14"/>
      <c r="N14"/>
      <c r="O14"/>
      <c r="P14"/>
      <c r="Q14"/>
    </row>
    <row r="15" spans="1:17" ht="15">
      <c r="A15" s="34"/>
      <c r="B15" s="21" t="s">
        <v>17</v>
      </c>
      <c r="C15" s="25"/>
      <c r="D15" s="20"/>
      <c r="E15" s="30">
        <v>6000000</v>
      </c>
      <c r="F15" s="22">
        <f>(E15*0.05)+E15</f>
        <v>6300000</v>
      </c>
      <c r="G15" s="22">
        <f>(F15*0.05)+F15</f>
        <v>6615000</v>
      </c>
      <c r="H15"/>
      <c r="I15"/>
      <c r="J15"/>
      <c r="K15"/>
      <c r="L15"/>
      <c r="M15"/>
      <c r="N15"/>
      <c r="O15"/>
      <c r="P15"/>
      <c r="Q15"/>
    </row>
    <row r="16" spans="1:17" ht="15">
      <c r="A16" s="34"/>
      <c r="B16" s="21" t="s">
        <v>10</v>
      </c>
      <c r="C16" s="25"/>
      <c r="D16" s="20"/>
      <c r="E16" s="30">
        <v>3000000</v>
      </c>
      <c r="F16" s="22">
        <f>(E16*0.05)+E16</f>
        <v>3150000</v>
      </c>
      <c r="G16" s="22">
        <f>(F16*0.05)+F16</f>
        <v>3307500</v>
      </c>
      <c r="H16"/>
      <c r="I16"/>
      <c r="J16"/>
      <c r="K16"/>
      <c r="L16"/>
      <c r="M16"/>
      <c r="N16"/>
      <c r="O16"/>
      <c r="P16"/>
      <c r="Q16"/>
    </row>
    <row r="17" spans="1:17" ht="15">
      <c r="A17" s="27" t="s">
        <v>159</v>
      </c>
      <c r="B17" s="15"/>
      <c r="C17" s="16"/>
      <c r="D17" s="17"/>
      <c r="E17" s="11"/>
      <c r="F17" s="11"/>
      <c r="G17" s="11"/>
      <c r="H17"/>
      <c r="I17"/>
      <c r="J17"/>
      <c r="K17"/>
      <c r="L17"/>
      <c r="M17"/>
      <c r="N17"/>
      <c r="O17"/>
      <c r="P17"/>
      <c r="Q17"/>
    </row>
    <row r="18" spans="1:17" ht="15">
      <c r="A18" s="34"/>
      <c r="B18" s="21" t="s">
        <v>23</v>
      </c>
      <c r="C18" s="25"/>
      <c r="D18" s="20"/>
      <c r="E18" s="30">
        <v>693000</v>
      </c>
      <c r="F18" s="22">
        <f>(E18*0.05)+E18</f>
        <v>727650</v>
      </c>
      <c r="G18" s="22">
        <f>(F18*0.05)+F18</f>
        <v>764032.5</v>
      </c>
      <c r="H18"/>
      <c r="I18"/>
      <c r="J18"/>
      <c r="K18"/>
      <c r="L18"/>
      <c r="M18"/>
      <c r="N18"/>
      <c r="O18"/>
      <c r="P18"/>
      <c r="Q18"/>
    </row>
    <row r="19" spans="1:17" ht="15">
      <c r="A19" s="34"/>
      <c r="B19" s="21" t="s">
        <v>24</v>
      </c>
      <c r="C19" s="25"/>
      <c r="D19" s="20"/>
      <c r="E19" s="30">
        <v>374000</v>
      </c>
      <c r="F19" s="22">
        <f>(E19*0.05)+E19</f>
        <v>392700</v>
      </c>
      <c r="G19" s="22">
        <f>(F19*0.05)+F19</f>
        <v>412335</v>
      </c>
      <c r="H19"/>
      <c r="I19"/>
      <c r="J19"/>
      <c r="K19"/>
      <c r="L19"/>
      <c r="M19"/>
      <c r="N19"/>
      <c r="O19"/>
      <c r="P19"/>
      <c r="Q19"/>
    </row>
    <row r="20" spans="1:17" ht="15">
      <c r="A20" s="34"/>
      <c r="B20" s="21" t="s">
        <v>120</v>
      </c>
      <c r="C20" s="25"/>
      <c r="D20" s="20"/>
      <c r="E20" s="30">
        <v>1000000</v>
      </c>
      <c r="F20" s="22">
        <f>(E20*0.05)+E20</f>
        <v>1050000</v>
      </c>
      <c r="G20" s="22">
        <f>(F20*0.05)+F20</f>
        <v>1102500</v>
      </c>
      <c r="H20"/>
      <c r="I20"/>
      <c r="J20"/>
      <c r="K20"/>
      <c r="L20"/>
      <c r="M20"/>
      <c r="N20"/>
      <c r="O20"/>
      <c r="P20"/>
      <c r="Q20"/>
    </row>
    <row r="21" spans="1:17" ht="15">
      <c r="A21" s="34"/>
      <c r="B21" s="21" t="s">
        <v>30</v>
      </c>
      <c r="C21" s="25"/>
      <c r="D21" s="20"/>
      <c r="E21" s="30">
        <v>2000000</v>
      </c>
      <c r="F21" s="22">
        <f>(E21*0.05)+E21</f>
        <v>2100000</v>
      </c>
      <c r="G21" s="22">
        <f>(F21*0.05)+F21</f>
        <v>2205000</v>
      </c>
      <c r="H21"/>
      <c r="I21"/>
      <c r="J21"/>
      <c r="K21"/>
      <c r="L21"/>
      <c r="M21"/>
      <c r="N21"/>
      <c r="O21"/>
      <c r="P21"/>
      <c r="Q21"/>
    </row>
    <row r="22" spans="1:17" ht="15">
      <c r="A22" s="34"/>
      <c r="B22" s="21" t="s">
        <v>31</v>
      </c>
      <c r="C22" s="25"/>
      <c r="D22" s="20"/>
      <c r="E22" s="30">
        <v>1000000</v>
      </c>
      <c r="F22" s="22">
        <f>(E22*0.05)+E22</f>
        <v>1050000</v>
      </c>
      <c r="G22" s="22">
        <f>(F22*0.05)+F22</f>
        <v>1102500</v>
      </c>
      <c r="H22"/>
      <c r="I22"/>
      <c r="J22"/>
      <c r="K22"/>
      <c r="L22"/>
      <c r="M22"/>
      <c r="N22"/>
      <c r="O22"/>
      <c r="P22"/>
      <c r="Q22"/>
    </row>
    <row r="23" spans="1:17" ht="15">
      <c r="A23" s="34"/>
      <c r="B23" s="21" t="s">
        <v>32</v>
      </c>
      <c r="C23" s="25"/>
      <c r="D23" s="20"/>
      <c r="E23" s="30">
        <v>500000</v>
      </c>
      <c r="F23" s="22">
        <f>(E23*0.05)+E23</f>
        <v>525000</v>
      </c>
      <c r="G23" s="22">
        <f>(F23*0.05)+F23</f>
        <v>551250</v>
      </c>
      <c r="H23"/>
      <c r="I23"/>
      <c r="J23"/>
      <c r="K23"/>
      <c r="L23"/>
      <c r="M23"/>
      <c r="N23"/>
      <c r="O23"/>
      <c r="P23"/>
      <c r="Q23"/>
    </row>
    <row r="24" spans="1:17" ht="15">
      <c r="A24" s="34"/>
      <c r="B24" s="21" t="s">
        <v>35</v>
      </c>
      <c r="C24" s="25"/>
      <c r="D24" s="20"/>
      <c r="E24" s="30">
        <v>500000</v>
      </c>
      <c r="F24" s="22">
        <f>(E24*0.05)+E24</f>
        <v>525000</v>
      </c>
      <c r="G24" s="22">
        <f>(F24*0.05)+F24</f>
        <v>551250</v>
      </c>
      <c r="H24"/>
      <c r="I24"/>
      <c r="J24"/>
      <c r="K24"/>
      <c r="L24"/>
      <c r="M24"/>
      <c r="N24"/>
      <c r="O24"/>
      <c r="P24"/>
      <c r="Q24"/>
    </row>
    <row r="25" spans="1:17" ht="15">
      <c r="A25" s="27" t="s">
        <v>161</v>
      </c>
      <c r="B25" s="15"/>
      <c r="C25" s="16"/>
      <c r="D25" s="17"/>
      <c r="E25" s="11"/>
      <c r="F25" s="11"/>
      <c r="G25" s="11"/>
      <c r="H25"/>
      <c r="I25"/>
      <c r="J25"/>
      <c r="K25"/>
      <c r="L25"/>
      <c r="M25"/>
      <c r="N25"/>
      <c r="O25"/>
      <c r="P25"/>
      <c r="Q25"/>
    </row>
    <row r="26" spans="1:17" ht="15">
      <c r="A26" s="34"/>
      <c r="B26" s="21" t="s">
        <v>39</v>
      </c>
      <c r="C26" s="25"/>
      <c r="D26" s="20"/>
      <c r="E26" s="29">
        <v>31991020</v>
      </c>
      <c r="F26" s="22">
        <f>(E26*0.01)+E26</f>
        <v>32310930.2</v>
      </c>
      <c r="G26" s="22">
        <f>(F26*0.01)+F26</f>
        <v>32634039.502</v>
      </c>
      <c r="H26"/>
      <c r="I26"/>
      <c r="J26"/>
      <c r="K26"/>
      <c r="L26"/>
      <c r="M26"/>
      <c r="N26"/>
      <c r="O26"/>
      <c r="P26"/>
      <c r="Q26"/>
    </row>
    <row r="27" spans="1:17" ht="15">
      <c r="A27" s="34"/>
      <c r="B27" s="21" t="s">
        <v>103</v>
      </c>
      <c r="C27" s="25"/>
      <c r="D27" s="20"/>
      <c r="E27" s="30">
        <v>8722032</v>
      </c>
      <c r="F27" s="22">
        <f>(E27*0.01)+E27</f>
        <v>8809252.32</v>
      </c>
      <c r="G27" s="22">
        <f>(F27*0.01)+F27</f>
        <v>8897344.8432</v>
      </c>
      <c r="H27"/>
      <c r="I27"/>
      <c r="J27"/>
      <c r="K27"/>
      <c r="L27"/>
      <c r="M27"/>
      <c r="N27"/>
      <c r="O27"/>
      <c r="P27"/>
      <c r="Q27"/>
    </row>
    <row r="28" spans="1:17" ht="15">
      <c r="A28" s="34"/>
      <c r="B28" s="21" t="s">
        <v>40</v>
      </c>
      <c r="C28" s="25"/>
      <c r="D28" s="20"/>
      <c r="E28" s="30">
        <v>2597387</v>
      </c>
      <c r="F28" s="22">
        <f>(E28*0.01)+E28</f>
        <v>2623360.87</v>
      </c>
      <c r="G28" s="22">
        <f>(F28*0.01)+F28</f>
        <v>2649594.4787000003</v>
      </c>
      <c r="H28"/>
      <c r="I28"/>
      <c r="J28"/>
      <c r="K28"/>
      <c r="L28"/>
      <c r="M28"/>
      <c r="N28"/>
      <c r="O28"/>
      <c r="P28"/>
      <c r="Q28"/>
    </row>
    <row r="29" spans="1:17" ht="15">
      <c r="A29" s="34"/>
      <c r="B29" s="21" t="s">
        <v>41</v>
      </c>
      <c r="C29" s="25"/>
      <c r="D29" s="20"/>
      <c r="E29" s="30">
        <v>750000</v>
      </c>
      <c r="F29" s="22">
        <f>(E29*0.01)+E29</f>
        <v>757500</v>
      </c>
      <c r="G29" s="22">
        <f>(F29*0.01)+F29</f>
        <v>765075</v>
      </c>
      <c r="H29"/>
      <c r="I29"/>
      <c r="J29"/>
      <c r="K29"/>
      <c r="L29"/>
      <c r="M29"/>
      <c r="N29"/>
      <c r="O29"/>
      <c r="P29"/>
      <c r="Q29"/>
    </row>
    <row r="30" spans="1:17" ht="15">
      <c r="A30" s="34"/>
      <c r="B30" s="21" t="s">
        <v>42</v>
      </c>
      <c r="C30" s="25"/>
      <c r="D30" s="20"/>
      <c r="E30" s="30">
        <v>2714400</v>
      </c>
      <c r="F30" s="22">
        <f>(E30*0.01)+E30</f>
        <v>2741544</v>
      </c>
      <c r="G30" s="22">
        <f>(F30*0.01)+F30</f>
        <v>2768959.44</v>
      </c>
      <c r="H30"/>
      <c r="I30"/>
      <c r="J30"/>
      <c r="K30"/>
      <c r="L30"/>
      <c r="M30"/>
      <c r="N30"/>
      <c r="O30"/>
      <c r="P30"/>
      <c r="Q30"/>
    </row>
    <row r="31" spans="1:17" ht="15">
      <c r="A31" s="34"/>
      <c r="B31" s="21" t="s">
        <v>43</v>
      </c>
      <c r="C31" s="25"/>
      <c r="D31" s="20"/>
      <c r="E31" s="30"/>
      <c r="F31" s="30"/>
      <c r="G31" s="30"/>
      <c r="H31"/>
      <c r="I31"/>
      <c r="J31"/>
      <c r="K31"/>
      <c r="L31"/>
      <c r="M31"/>
      <c r="N31"/>
      <c r="O31"/>
      <c r="P31"/>
      <c r="Q31"/>
    </row>
    <row r="32" spans="1:17" ht="15">
      <c r="A32" s="37"/>
      <c r="B32" s="38" t="s">
        <v>109</v>
      </c>
      <c r="C32" s="38"/>
      <c r="D32" s="36"/>
      <c r="E32" s="39">
        <f>SUM(E15:E31)</f>
        <v>61841839</v>
      </c>
      <c r="F32" s="39">
        <f>SUM(F15:F31)</f>
        <v>63062937.39</v>
      </c>
      <c r="G32" s="39">
        <f>SUM(G15:G31)</f>
        <v>64326380.7639</v>
      </c>
      <c r="H32"/>
      <c r="I32"/>
      <c r="J32"/>
      <c r="K32"/>
      <c r="L32"/>
      <c r="M32"/>
      <c r="N32"/>
      <c r="O32"/>
      <c r="P32"/>
      <c r="Q32"/>
    </row>
    <row r="33" spans="1:17" ht="15">
      <c r="A33" s="7" t="s">
        <v>67</v>
      </c>
      <c r="B33" s="62" t="s">
        <v>68</v>
      </c>
      <c r="C33" s="45"/>
      <c r="D33" s="46"/>
      <c r="E33" s="40"/>
      <c r="F33" s="40"/>
      <c r="G33" s="40"/>
      <c r="H33"/>
      <c r="I33"/>
      <c r="J33"/>
      <c r="K33"/>
      <c r="L33"/>
      <c r="M33"/>
      <c r="N33"/>
      <c r="O33"/>
      <c r="P33"/>
      <c r="Q33"/>
    </row>
    <row r="34" spans="1:17" ht="15">
      <c r="A34" s="27" t="s">
        <v>71</v>
      </c>
      <c r="B34" s="15" t="s">
        <v>72</v>
      </c>
      <c r="C34" s="16"/>
      <c r="D34" s="17"/>
      <c r="E34" s="63"/>
      <c r="F34" s="63"/>
      <c r="G34" s="63"/>
      <c r="H34"/>
      <c r="I34"/>
      <c r="J34"/>
      <c r="K34"/>
      <c r="L34"/>
      <c r="M34"/>
      <c r="N34"/>
      <c r="O34"/>
      <c r="P34"/>
      <c r="Q34"/>
    </row>
    <row r="35" spans="1:17" ht="15">
      <c r="A35" s="61"/>
      <c r="B35" s="21" t="s">
        <v>73</v>
      </c>
      <c r="C35" s="25"/>
      <c r="D35" s="20"/>
      <c r="E35" s="90">
        <v>-2500000</v>
      </c>
      <c r="F35" s="90"/>
      <c r="G35" s="90"/>
      <c r="H35"/>
      <c r="I35"/>
      <c r="J35"/>
      <c r="K35"/>
      <c r="L35"/>
      <c r="M35"/>
      <c r="N35"/>
      <c r="O35"/>
      <c r="P35"/>
      <c r="Q35"/>
    </row>
    <row r="36" spans="1:17" ht="15">
      <c r="A36" s="27" t="s">
        <v>76</v>
      </c>
      <c r="B36" s="15" t="s">
        <v>77</v>
      </c>
      <c r="C36" s="16"/>
      <c r="D36" s="17"/>
      <c r="E36" s="11"/>
      <c r="F36" s="11"/>
      <c r="G36" s="11"/>
      <c r="H36"/>
      <c r="I36"/>
      <c r="J36"/>
      <c r="K36"/>
      <c r="L36"/>
      <c r="M36"/>
      <c r="N36"/>
      <c r="O36"/>
      <c r="P36"/>
      <c r="Q36"/>
    </row>
    <row r="37" spans="1:17" ht="15">
      <c r="A37" s="65"/>
      <c r="B37" s="21" t="s">
        <v>81</v>
      </c>
      <c r="C37" s="25"/>
      <c r="D37" s="20"/>
      <c r="E37" s="89">
        <f>2000000/12</f>
        <v>166666.66666666666</v>
      </c>
      <c r="F37" s="89"/>
      <c r="G37" s="89"/>
      <c r="H37"/>
      <c r="I37"/>
      <c r="J37"/>
      <c r="K37"/>
      <c r="L37"/>
      <c r="M37"/>
      <c r="N37"/>
      <c r="O37"/>
      <c r="P37"/>
      <c r="Q37"/>
    </row>
    <row r="38" spans="1:17" ht="15">
      <c r="A38" s="37"/>
      <c r="B38" s="38" t="s">
        <v>109</v>
      </c>
      <c r="C38" s="38"/>
      <c r="D38" s="36"/>
      <c r="E38" s="88"/>
      <c r="F38" s="88"/>
      <c r="G38" s="88"/>
      <c r="H38"/>
      <c r="I38"/>
      <c r="J38"/>
      <c r="K38"/>
      <c r="L38"/>
      <c r="M38"/>
      <c r="N38"/>
      <c r="O38"/>
      <c r="P38"/>
      <c r="Q38"/>
    </row>
    <row r="39" spans="1:17" ht="15">
      <c r="A39" s="44" t="s">
        <v>83</v>
      </c>
      <c r="B39" s="4" t="s">
        <v>84</v>
      </c>
      <c r="C39" s="45"/>
      <c r="D39" s="46"/>
      <c r="E39" s="67"/>
      <c r="F39" s="67"/>
      <c r="G39" s="67"/>
      <c r="H39"/>
      <c r="I39"/>
      <c r="J39"/>
      <c r="K39"/>
      <c r="L39"/>
      <c r="M39"/>
      <c r="N39"/>
      <c r="O39"/>
      <c r="P39"/>
      <c r="Q39"/>
    </row>
    <row r="40" spans="1:17" ht="15">
      <c r="A40" s="68"/>
      <c r="B40" s="69"/>
      <c r="C40" s="70"/>
      <c r="D40" s="71"/>
      <c r="E40" s="73"/>
      <c r="F40" s="73"/>
      <c r="G40" s="73"/>
      <c r="H40"/>
      <c r="I40"/>
      <c r="J40"/>
      <c r="K40"/>
      <c r="L40"/>
      <c r="M40"/>
      <c r="N40"/>
      <c r="O40"/>
      <c r="P40"/>
      <c r="Q40"/>
    </row>
    <row r="41" spans="1:17" ht="15">
      <c r="A41" s="37"/>
      <c r="B41" s="38" t="s">
        <v>109</v>
      </c>
      <c r="C41" s="38"/>
      <c r="D41" s="36"/>
      <c r="E41" s="39"/>
      <c r="F41" s="39"/>
      <c r="G41" s="39"/>
      <c r="H41"/>
      <c r="I41"/>
      <c r="J41"/>
      <c r="K41"/>
      <c r="L41"/>
      <c r="M41"/>
      <c r="N41"/>
      <c r="O41"/>
      <c r="P41"/>
      <c r="Q41"/>
    </row>
    <row r="42" spans="1:17" ht="15">
      <c r="A42" s="7" t="s">
        <v>85</v>
      </c>
      <c r="B42" s="8" t="s">
        <v>86</v>
      </c>
      <c r="C42" s="9"/>
      <c r="D42" s="10"/>
      <c r="E42" s="67"/>
      <c r="F42" s="67"/>
      <c r="G42" s="67"/>
      <c r="H42"/>
      <c r="I42"/>
      <c r="J42"/>
      <c r="K42"/>
      <c r="L42"/>
      <c r="M42"/>
      <c r="N42"/>
      <c r="O42"/>
      <c r="P42"/>
      <c r="Q42"/>
    </row>
    <row r="43" spans="1:17" ht="15">
      <c r="A43" s="27" t="s">
        <v>97</v>
      </c>
      <c r="B43" s="15" t="s">
        <v>98</v>
      </c>
      <c r="C43" s="16"/>
      <c r="D43" s="17"/>
      <c r="E43" s="32"/>
      <c r="F43" s="32"/>
      <c r="G43" s="32"/>
      <c r="H43"/>
      <c r="I43"/>
      <c r="J43"/>
      <c r="K43"/>
      <c r="L43"/>
      <c r="M43"/>
      <c r="N43"/>
      <c r="O43"/>
      <c r="P43"/>
      <c r="Q43"/>
    </row>
    <row r="44" spans="1:17" ht="15">
      <c r="A44" s="59"/>
      <c r="B44" s="21" t="s">
        <v>100</v>
      </c>
      <c r="C44" s="25"/>
      <c r="D44" s="20"/>
      <c r="E44" s="30">
        <v>3654195</v>
      </c>
      <c r="F44" s="22">
        <f>(E44*0.01)+E44</f>
        <v>3690736.95</v>
      </c>
      <c r="G44" s="22">
        <f>(F44*0.01)+F44</f>
        <v>3727644.3195</v>
      </c>
      <c r="H44"/>
      <c r="I44"/>
      <c r="J44"/>
      <c r="K44"/>
      <c r="L44"/>
      <c r="M44"/>
      <c r="N44"/>
      <c r="O44"/>
      <c r="P44"/>
      <c r="Q44"/>
    </row>
    <row r="45" spans="1:17" ht="15">
      <c r="A45" s="37"/>
      <c r="B45" s="38" t="s">
        <v>109</v>
      </c>
      <c r="C45" s="38"/>
      <c r="D45" s="36"/>
      <c r="E45" s="39">
        <f>SUM(E43:E44)</f>
        <v>3654195</v>
      </c>
      <c r="F45" s="39">
        <f>SUM(F43:F44)</f>
        <v>3690736.95</v>
      </c>
      <c r="G45" s="39">
        <f>SUM(G43:G44)</f>
        <v>3727644.3195</v>
      </c>
      <c r="H45"/>
      <c r="I45"/>
      <c r="J45"/>
      <c r="K45"/>
      <c r="L45"/>
      <c r="M45"/>
      <c r="N45"/>
      <c r="O45"/>
      <c r="P45"/>
      <c r="Q45"/>
    </row>
    <row r="46" spans="1:17" ht="15">
      <c r="A46" s="13"/>
      <c r="B46" s="75"/>
      <c r="C46" s="75"/>
      <c r="D46" s="75"/>
      <c r="E46" s="75"/>
      <c r="F46" s="75"/>
      <c r="G46" s="75"/>
      <c r="H46"/>
      <c r="I46"/>
      <c r="J46"/>
      <c r="K46"/>
      <c r="L46"/>
      <c r="M46"/>
      <c r="N46"/>
      <c r="O46"/>
      <c r="P46"/>
      <c r="Q46"/>
    </row>
    <row r="47" spans="1:17" ht="15">
      <c r="A47" s="13"/>
      <c r="B47" s="76" t="s">
        <v>141</v>
      </c>
      <c r="C47" s="76"/>
      <c r="D47" s="75"/>
      <c r="E47" s="39">
        <f>E12</f>
        <v>65500000</v>
      </c>
      <c r="F47" s="39">
        <f>F12</f>
        <v>73360000</v>
      </c>
      <c r="G47" s="39">
        <f>G12</f>
        <v>82163200</v>
      </c>
      <c r="H47"/>
      <c r="I47"/>
      <c r="J47"/>
      <c r="K47"/>
      <c r="L47"/>
      <c r="M47"/>
      <c r="N47"/>
      <c r="O47"/>
      <c r="P47"/>
      <c r="Q47"/>
    </row>
    <row r="48" spans="1:17" ht="15">
      <c r="A48" s="49"/>
      <c r="B48" s="33"/>
      <c r="C48" s="78"/>
      <c r="D48" s="33"/>
      <c r="E48" s="33"/>
      <c r="F48" s="33"/>
      <c r="G48" s="33"/>
      <c r="H48"/>
      <c r="I48"/>
      <c r="J48"/>
      <c r="K48"/>
      <c r="L48"/>
      <c r="M48"/>
      <c r="N48"/>
      <c r="O48"/>
      <c r="P48"/>
      <c r="Q48"/>
    </row>
    <row r="49" spans="1:17" ht="15">
      <c r="A49" s="49"/>
      <c r="B49" s="78" t="s">
        <v>180</v>
      </c>
      <c r="C49" s="78"/>
      <c r="D49" s="33"/>
      <c r="E49" s="77">
        <f>E32+E44</f>
        <v>65496034</v>
      </c>
      <c r="F49" s="77">
        <f>F32+F38+F41+F45</f>
        <v>66753674.34</v>
      </c>
      <c r="G49" s="77">
        <f>G32+G38+G41+G45</f>
        <v>68054025.0834</v>
      </c>
      <c r="H49"/>
      <c r="I49"/>
      <c r="J49"/>
      <c r="K49"/>
      <c r="L49"/>
      <c r="M49"/>
      <c r="N49"/>
      <c r="O49"/>
      <c r="P49"/>
      <c r="Q49"/>
    </row>
    <row r="50" spans="1:17" ht="15">
      <c r="A50" s="91"/>
      <c r="B50" s="42"/>
      <c r="C50" s="42"/>
      <c r="D50" s="41"/>
      <c r="E50" s="92"/>
      <c r="F50" s="92"/>
      <c r="G50" s="92"/>
      <c r="H50"/>
      <c r="I50"/>
      <c r="J50"/>
      <c r="K50"/>
      <c r="L50"/>
      <c r="M50"/>
      <c r="N50"/>
      <c r="O50"/>
      <c r="P50"/>
      <c r="Q50"/>
    </row>
    <row r="51" spans="1:17" ht="15">
      <c r="A51" s="49"/>
      <c r="B51" s="76" t="s">
        <v>179</v>
      </c>
      <c r="C51" s="78"/>
      <c r="D51" s="33"/>
      <c r="E51" s="77"/>
      <c r="F51" s="77"/>
      <c r="G51" s="77"/>
      <c r="H51"/>
      <c r="I51"/>
      <c r="J51"/>
      <c r="K51"/>
      <c r="L51"/>
      <c r="M51"/>
      <c r="N51"/>
      <c r="O51"/>
      <c r="P51"/>
      <c r="Q51"/>
    </row>
    <row r="52" spans="1:17" ht="15">
      <c r="A52" s="49"/>
      <c r="B52" s="33"/>
      <c r="C52" s="33"/>
      <c r="D52" s="33"/>
      <c r="E52" s="33"/>
      <c r="F52" s="33"/>
      <c r="G52" s="33"/>
      <c r="H52"/>
      <c r="I52"/>
      <c r="J52"/>
      <c r="K52"/>
      <c r="L52"/>
      <c r="M52"/>
      <c r="N52"/>
      <c r="O52"/>
      <c r="P52"/>
      <c r="Q52"/>
    </row>
    <row r="53" spans="1:17" ht="15">
      <c r="A53" s="79" t="s">
        <v>142</v>
      </c>
      <c r="B53" s="25"/>
      <c r="C53" s="25"/>
      <c r="D53" s="25"/>
      <c r="E53" s="80">
        <f>E47-E49</f>
        <v>3966</v>
      </c>
      <c r="F53" s="80">
        <f>F47-F49</f>
        <v>6606325.659999996</v>
      </c>
      <c r="G53" s="80">
        <f>G47-G49</f>
        <v>14109174.916600004</v>
      </c>
      <c r="H53"/>
      <c r="I53"/>
      <c r="J53"/>
      <c r="K53"/>
      <c r="L53"/>
      <c r="M53"/>
      <c r="N53"/>
      <c r="O53"/>
      <c r="P53"/>
      <c r="Q53"/>
    </row>
  </sheetData>
  <printOptions horizontalCentered="1" verticalCentered="1"/>
  <pageMargins left="0.76" right="0" top="0" bottom="0" header="0" footer="0"/>
  <pageSetup fitToHeight="1" fitToWidth="1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31">
      <selection activeCell="E50" sqref="E50"/>
    </sheetView>
  </sheetViews>
  <sheetFormatPr defaultColWidth="8.88671875" defaultRowHeight="15"/>
  <cols>
    <col min="1" max="1" width="5.21484375" style="1" customWidth="1"/>
    <col min="2" max="3" width="8.88671875" style="1" customWidth="1"/>
    <col min="4" max="4" width="11.99609375" style="1" customWidth="1"/>
    <col min="5" max="5" width="9.77734375" style="1" customWidth="1"/>
    <col min="6" max="6" width="11.10546875" style="1" customWidth="1"/>
    <col min="7" max="7" width="10.10546875" style="1" customWidth="1"/>
    <col min="8" max="8" width="8.88671875" style="1" customWidth="1"/>
    <col min="9" max="9" width="9.10546875" style="1" customWidth="1"/>
    <col min="10" max="10" width="10.21484375" style="1" customWidth="1"/>
    <col min="11" max="11" width="9.88671875" style="1" customWidth="1"/>
    <col min="12" max="12" width="10.10546875" style="1" customWidth="1"/>
    <col min="13" max="13" width="9.99609375" style="1" customWidth="1"/>
    <col min="14" max="14" width="9.4453125" style="1" customWidth="1"/>
    <col min="15" max="15" width="11.10546875" style="1" customWidth="1"/>
    <col min="16" max="16" width="9.99609375" style="1" customWidth="1"/>
    <col min="17" max="17" width="10.88671875" style="1" customWidth="1"/>
    <col min="18" max="18" width="12.77734375" style="1" customWidth="1"/>
  </cols>
  <sheetData>
    <row r="1" spans="1:17" ht="23.25">
      <c r="A1" s="93" t="s">
        <v>140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23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23.25">
      <c r="A3" s="5" t="s">
        <v>189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8.75">
      <c r="A4" s="6"/>
      <c r="B4" s="6"/>
      <c r="C4" s="6"/>
      <c r="D4" s="6"/>
      <c r="E4" s="96">
        <v>1999</v>
      </c>
      <c r="F4" s="96">
        <v>2000</v>
      </c>
      <c r="G4" s="96">
        <v>2001</v>
      </c>
      <c r="H4"/>
      <c r="I4"/>
      <c r="J4"/>
      <c r="K4"/>
      <c r="L4"/>
      <c r="M4"/>
      <c r="N4"/>
      <c r="O4"/>
      <c r="P4"/>
      <c r="Q4"/>
      <c r="R4"/>
    </row>
    <row r="5" spans="1:18" ht="15">
      <c r="A5" s="7" t="s">
        <v>1</v>
      </c>
      <c r="B5" s="84" t="s">
        <v>2</v>
      </c>
      <c r="C5" s="85"/>
      <c r="D5" s="86"/>
      <c r="E5" s="11"/>
      <c r="F5" s="11"/>
      <c r="G5" s="11"/>
      <c r="H5"/>
      <c r="I5"/>
      <c r="J5"/>
      <c r="K5"/>
      <c r="L5"/>
      <c r="M5"/>
      <c r="N5"/>
      <c r="O5"/>
      <c r="P5"/>
      <c r="Q5"/>
      <c r="R5"/>
    </row>
    <row r="6" spans="1:18" ht="15">
      <c r="A6" s="14" t="s">
        <v>150</v>
      </c>
      <c r="B6" s="83"/>
      <c r="C6" s="52"/>
      <c r="D6" s="32"/>
      <c r="E6" s="11"/>
      <c r="F6" s="11"/>
      <c r="G6" s="11"/>
      <c r="H6"/>
      <c r="I6"/>
      <c r="J6"/>
      <c r="K6"/>
      <c r="L6"/>
      <c r="M6"/>
      <c r="N6"/>
      <c r="O6"/>
      <c r="P6"/>
      <c r="Q6"/>
      <c r="R6"/>
    </row>
    <row r="7" spans="1:18" ht="15">
      <c r="A7" s="19" t="s">
        <v>113</v>
      </c>
      <c r="B7" s="21" t="s">
        <v>130</v>
      </c>
      <c r="C7" s="25"/>
      <c r="D7" s="81"/>
      <c r="E7" s="22">
        <v>32200000</v>
      </c>
      <c r="F7" s="22">
        <f>(E7*0.12)+E7</f>
        <v>36064000</v>
      </c>
      <c r="G7" s="22">
        <f>(F7*0.12)+F7</f>
        <v>40391680</v>
      </c>
      <c r="H7"/>
      <c r="I7"/>
      <c r="J7"/>
      <c r="K7"/>
      <c r="L7"/>
      <c r="M7"/>
      <c r="N7"/>
      <c r="O7"/>
      <c r="P7"/>
      <c r="Q7"/>
      <c r="R7"/>
    </row>
    <row r="8" spans="1:18" ht="15">
      <c r="A8" s="37"/>
      <c r="B8" s="38" t="s">
        <v>109</v>
      </c>
      <c r="C8" s="38"/>
      <c r="D8" s="36"/>
      <c r="E8" s="39">
        <f>SUM(E7:E7)</f>
        <v>32200000</v>
      </c>
      <c r="F8" s="39">
        <f>SUM(F7:F7)</f>
        <v>36064000</v>
      </c>
      <c r="G8" s="39">
        <f>SUM(G7:G7)</f>
        <v>40391680</v>
      </c>
      <c r="H8"/>
      <c r="I8"/>
      <c r="J8"/>
      <c r="K8"/>
      <c r="L8"/>
      <c r="M8"/>
      <c r="N8"/>
      <c r="O8"/>
      <c r="P8"/>
      <c r="Q8"/>
      <c r="R8"/>
    </row>
    <row r="9" spans="1:18" ht="15">
      <c r="A9" s="44" t="s">
        <v>11</v>
      </c>
      <c r="B9" s="4" t="s">
        <v>12</v>
      </c>
      <c r="C9" s="45"/>
      <c r="D9" s="46"/>
      <c r="E9" s="48"/>
      <c r="F9" s="48"/>
      <c r="G9" s="48"/>
      <c r="H9"/>
      <c r="I9"/>
      <c r="J9"/>
      <c r="K9"/>
      <c r="L9"/>
      <c r="M9"/>
      <c r="N9"/>
      <c r="O9"/>
      <c r="P9"/>
      <c r="Q9"/>
      <c r="R9"/>
    </row>
    <row r="10" spans="1:18" ht="15">
      <c r="A10" s="27" t="s">
        <v>155</v>
      </c>
      <c r="B10" s="15"/>
      <c r="C10" s="16"/>
      <c r="D10" s="17"/>
      <c r="E10" s="11"/>
      <c r="F10" s="11"/>
      <c r="G10" s="11"/>
      <c r="H10"/>
      <c r="I10"/>
      <c r="J10"/>
      <c r="K10"/>
      <c r="L10"/>
      <c r="M10"/>
      <c r="N10"/>
      <c r="O10"/>
      <c r="P10"/>
      <c r="Q10"/>
      <c r="R10"/>
    </row>
    <row r="11" spans="1:18" ht="15">
      <c r="A11" s="34"/>
      <c r="B11" s="21" t="s">
        <v>156</v>
      </c>
      <c r="C11" s="25"/>
      <c r="D11" s="20"/>
      <c r="E11" s="30">
        <v>2000000</v>
      </c>
      <c r="F11" s="22">
        <f>(E11*0.05)+E11</f>
        <v>2100000</v>
      </c>
      <c r="G11" s="22">
        <f>(F11*0.05)+F11</f>
        <v>2205000</v>
      </c>
      <c r="H11"/>
      <c r="I11"/>
      <c r="J11"/>
      <c r="K11"/>
      <c r="L11"/>
      <c r="M11"/>
      <c r="N11"/>
      <c r="O11"/>
      <c r="P11"/>
      <c r="Q11"/>
      <c r="R11"/>
    </row>
    <row r="12" spans="1:18" ht="15">
      <c r="A12" s="34"/>
      <c r="B12" s="21" t="s">
        <v>117</v>
      </c>
      <c r="C12" s="25"/>
      <c r="D12" s="20"/>
      <c r="E12" s="30">
        <v>1000000</v>
      </c>
      <c r="F12" s="22">
        <f>(E12*0.05)+E12</f>
        <v>1050000</v>
      </c>
      <c r="G12" s="22">
        <f>(F12*0.05)+F12</f>
        <v>1102500</v>
      </c>
      <c r="H12"/>
      <c r="I12"/>
      <c r="J12"/>
      <c r="K12"/>
      <c r="L12"/>
      <c r="M12"/>
      <c r="N12"/>
      <c r="O12"/>
      <c r="P12"/>
      <c r="Q12"/>
      <c r="R12"/>
    </row>
    <row r="13" spans="1:18" ht="15">
      <c r="A13" s="34"/>
      <c r="B13" s="21" t="s">
        <v>17</v>
      </c>
      <c r="C13" s="25"/>
      <c r="D13" s="20"/>
      <c r="E13" s="30">
        <v>1000000</v>
      </c>
      <c r="F13" s="22">
        <f>(E13*0.05)+E13</f>
        <v>1050000</v>
      </c>
      <c r="G13" s="22">
        <f>(F13*0.05)+F13</f>
        <v>1102500</v>
      </c>
      <c r="H13"/>
      <c r="I13"/>
      <c r="J13"/>
      <c r="K13"/>
      <c r="L13"/>
      <c r="M13"/>
      <c r="N13"/>
      <c r="O13"/>
      <c r="P13"/>
      <c r="Q13"/>
      <c r="R13"/>
    </row>
    <row r="14" spans="1:18" ht="15">
      <c r="A14" s="27" t="s">
        <v>159</v>
      </c>
      <c r="B14" s="15"/>
      <c r="C14" s="16"/>
      <c r="D14" s="17"/>
      <c r="E14" s="11"/>
      <c r="F14" s="11"/>
      <c r="G14" s="11"/>
      <c r="H14"/>
      <c r="I14"/>
      <c r="J14"/>
      <c r="K14"/>
      <c r="L14"/>
      <c r="M14"/>
      <c r="N14"/>
      <c r="O14"/>
      <c r="P14"/>
      <c r="Q14"/>
      <c r="R14"/>
    </row>
    <row r="15" spans="1:18" ht="15">
      <c r="A15" s="34"/>
      <c r="B15" s="21" t="s">
        <v>23</v>
      </c>
      <c r="C15" s="25"/>
      <c r="D15" s="20"/>
      <c r="E15" s="30">
        <v>693000</v>
      </c>
      <c r="F15" s="22">
        <f>(E15*0.05)+E15</f>
        <v>727650</v>
      </c>
      <c r="G15" s="22">
        <f>(F15*0.05)+F15</f>
        <v>764032.5</v>
      </c>
      <c r="H15"/>
      <c r="I15"/>
      <c r="J15"/>
      <c r="K15"/>
      <c r="L15"/>
      <c r="M15"/>
      <c r="N15"/>
      <c r="O15"/>
      <c r="P15"/>
      <c r="Q15"/>
      <c r="R15"/>
    </row>
    <row r="16" spans="1:18" ht="15">
      <c r="A16" s="34"/>
      <c r="B16" s="21" t="s">
        <v>24</v>
      </c>
      <c r="C16" s="25"/>
      <c r="D16" s="20"/>
      <c r="E16" s="30">
        <v>374000</v>
      </c>
      <c r="F16" s="22">
        <f>(E16*0.05)+E16</f>
        <v>392700</v>
      </c>
      <c r="G16" s="22">
        <f>(F16*0.05)+F16</f>
        <v>412335</v>
      </c>
      <c r="H16"/>
      <c r="I16"/>
      <c r="J16"/>
      <c r="K16"/>
      <c r="L16"/>
      <c r="M16"/>
      <c r="N16"/>
      <c r="O16"/>
      <c r="P16"/>
      <c r="Q16"/>
      <c r="R16"/>
    </row>
    <row r="17" spans="1:18" ht="15">
      <c r="A17" s="34"/>
      <c r="B17" s="21" t="s">
        <v>120</v>
      </c>
      <c r="C17" s="25"/>
      <c r="D17" s="20"/>
      <c r="E17" s="30">
        <v>1000000</v>
      </c>
      <c r="F17" s="22">
        <f>(E17*0.05)+E17</f>
        <v>1050000</v>
      </c>
      <c r="G17" s="22">
        <f>(F17*0.05)+F17</f>
        <v>1102500</v>
      </c>
      <c r="H17"/>
      <c r="I17"/>
      <c r="J17"/>
      <c r="K17"/>
      <c r="L17"/>
      <c r="M17"/>
      <c r="N17"/>
      <c r="O17"/>
      <c r="P17"/>
      <c r="Q17"/>
      <c r="R17"/>
    </row>
    <row r="18" spans="1:18" ht="15">
      <c r="A18" s="34"/>
      <c r="B18" s="21" t="s">
        <v>30</v>
      </c>
      <c r="C18" s="25"/>
      <c r="D18" s="20"/>
      <c r="E18" s="30">
        <v>1000000</v>
      </c>
      <c r="F18" s="22">
        <f>(E18*0.05)+E18</f>
        <v>1050000</v>
      </c>
      <c r="G18" s="22">
        <f>(F18*0.05)+F18</f>
        <v>1102500</v>
      </c>
      <c r="H18"/>
      <c r="I18"/>
      <c r="J18"/>
      <c r="K18"/>
      <c r="L18"/>
      <c r="M18"/>
      <c r="N18"/>
      <c r="O18"/>
      <c r="P18"/>
      <c r="Q18"/>
      <c r="R18"/>
    </row>
    <row r="19" spans="1:18" ht="15">
      <c r="A19" s="34"/>
      <c r="B19" s="21" t="s">
        <v>31</v>
      </c>
      <c r="C19" s="25"/>
      <c r="D19" s="20"/>
      <c r="E19" s="30">
        <v>500000</v>
      </c>
      <c r="F19" s="22">
        <f>(E19*0.05)+E19</f>
        <v>525000</v>
      </c>
      <c r="G19" s="22">
        <f>(F19*0.05)+F19</f>
        <v>551250</v>
      </c>
      <c r="H19"/>
      <c r="I19"/>
      <c r="J19"/>
      <c r="K19"/>
      <c r="L19"/>
      <c r="M19"/>
      <c r="N19"/>
      <c r="O19"/>
      <c r="P19"/>
      <c r="Q19"/>
      <c r="R19"/>
    </row>
    <row r="20" spans="1:18" ht="15">
      <c r="A20" s="34"/>
      <c r="B20" s="21" t="s">
        <v>32</v>
      </c>
      <c r="C20" s="25"/>
      <c r="D20" s="20"/>
      <c r="E20" s="30">
        <v>500000</v>
      </c>
      <c r="F20" s="22">
        <f>(E20*0.05)+E20</f>
        <v>525000</v>
      </c>
      <c r="G20" s="22">
        <f>(F20*0.05)+F20</f>
        <v>551250</v>
      </c>
      <c r="H20"/>
      <c r="I20"/>
      <c r="J20"/>
      <c r="K20"/>
      <c r="L20"/>
      <c r="M20"/>
      <c r="N20"/>
      <c r="O20"/>
      <c r="P20"/>
      <c r="Q20"/>
      <c r="R20"/>
    </row>
    <row r="21" spans="1:18" ht="15">
      <c r="A21" s="27" t="s">
        <v>161</v>
      </c>
      <c r="B21" s="15"/>
      <c r="C21" s="16"/>
      <c r="D21" s="17"/>
      <c r="E21" s="11"/>
      <c r="F21" s="11"/>
      <c r="G21" s="11"/>
      <c r="H21"/>
      <c r="I21"/>
      <c r="J21"/>
      <c r="K21"/>
      <c r="L21"/>
      <c r="M21"/>
      <c r="N21"/>
      <c r="O21"/>
      <c r="P21"/>
      <c r="Q21"/>
      <c r="R21"/>
    </row>
    <row r="22" spans="1:18" ht="15">
      <c r="A22" s="34"/>
      <c r="B22" s="21" t="s">
        <v>39</v>
      </c>
      <c r="C22" s="25"/>
      <c r="D22" s="20"/>
      <c r="E22" s="29">
        <v>14487650</v>
      </c>
      <c r="F22" s="22">
        <f>(E22*0.01)+E22</f>
        <v>14632526.5</v>
      </c>
      <c r="G22" s="22">
        <f>(F22*0.01)+F22</f>
        <v>14778851.765</v>
      </c>
      <c r="H22"/>
      <c r="I22"/>
      <c r="J22"/>
      <c r="K22"/>
      <c r="L22"/>
      <c r="M22"/>
      <c r="N22"/>
      <c r="O22"/>
      <c r="P22"/>
      <c r="Q22"/>
      <c r="R22"/>
    </row>
    <row r="23" spans="1:18" ht="15">
      <c r="A23" s="34"/>
      <c r="B23" s="21" t="s">
        <v>103</v>
      </c>
      <c r="C23" s="25"/>
      <c r="D23" s="20"/>
      <c r="E23" s="30">
        <v>4096238</v>
      </c>
      <c r="F23" s="22">
        <f>(E23*0.01)+E23</f>
        <v>4137200.38</v>
      </c>
      <c r="G23" s="22">
        <f>(F23*0.01)+F23</f>
        <v>4178572.3838</v>
      </c>
      <c r="H23"/>
      <c r="I23"/>
      <c r="J23"/>
      <c r="K23"/>
      <c r="L23"/>
      <c r="M23"/>
      <c r="N23"/>
      <c r="O23"/>
      <c r="P23"/>
      <c r="Q23"/>
      <c r="R23"/>
    </row>
    <row r="24" spans="1:18" ht="15">
      <c r="A24" s="34"/>
      <c r="B24" s="21" t="s">
        <v>40</v>
      </c>
      <c r="C24" s="25"/>
      <c r="D24" s="20"/>
      <c r="E24" s="30">
        <v>1176268</v>
      </c>
      <c r="F24" s="22">
        <f>(E24*0.01)+E24</f>
        <v>1188030.68</v>
      </c>
      <c r="G24" s="22">
        <f>(F24*0.01)+F24</f>
        <v>1199910.9867999998</v>
      </c>
      <c r="H24"/>
      <c r="I24"/>
      <c r="J24"/>
      <c r="K24"/>
      <c r="L24"/>
      <c r="M24"/>
      <c r="N24"/>
      <c r="O24"/>
      <c r="P24"/>
      <c r="Q24"/>
      <c r="R24"/>
    </row>
    <row r="25" spans="1:18" ht="15">
      <c r="A25" s="34"/>
      <c r="B25" s="21" t="s">
        <v>41</v>
      </c>
      <c r="C25" s="25"/>
      <c r="D25" s="20"/>
      <c r="E25" s="30">
        <v>500000</v>
      </c>
      <c r="F25" s="22">
        <f>(E25*0.01)+E25</f>
        <v>505000</v>
      </c>
      <c r="G25" s="22">
        <f>(F25*0.01)+F25</f>
        <v>510050</v>
      </c>
      <c r="H25"/>
      <c r="I25"/>
      <c r="J25"/>
      <c r="K25"/>
      <c r="L25"/>
      <c r="M25"/>
      <c r="N25"/>
      <c r="O25"/>
      <c r="P25"/>
      <c r="Q25"/>
      <c r="R25"/>
    </row>
    <row r="26" spans="1:18" ht="15">
      <c r="A26" s="34"/>
      <c r="B26" s="21" t="s">
        <v>42</v>
      </c>
      <c r="C26" s="25"/>
      <c r="D26" s="20"/>
      <c r="E26" s="30"/>
      <c r="F26" s="30"/>
      <c r="G26" s="30"/>
      <c r="H26"/>
      <c r="I26"/>
      <c r="J26"/>
      <c r="K26"/>
      <c r="L26"/>
      <c r="M26"/>
      <c r="N26"/>
      <c r="O26"/>
      <c r="P26"/>
      <c r="Q26"/>
      <c r="R26"/>
    </row>
    <row r="27" spans="1:18" ht="15">
      <c r="A27" s="34"/>
      <c r="B27" s="21" t="s">
        <v>43</v>
      </c>
      <c r="C27" s="25"/>
      <c r="D27" s="20"/>
      <c r="E27" s="30"/>
      <c r="F27" s="30"/>
      <c r="G27" s="30"/>
      <c r="H27"/>
      <c r="I27"/>
      <c r="J27"/>
      <c r="K27"/>
      <c r="L27"/>
      <c r="M27"/>
      <c r="N27"/>
      <c r="O27"/>
      <c r="P27"/>
      <c r="Q27"/>
      <c r="R27"/>
    </row>
    <row r="28" spans="1:18" ht="15">
      <c r="A28" s="37"/>
      <c r="B28" s="38" t="s">
        <v>109</v>
      </c>
      <c r="C28" s="38"/>
      <c r="D28" s="36"/>
      <c r="E28" s="39">
        <f>SUM(E11:E27)</f>
        <v>28327156</v>
      </c>
      <c r="F28" s="39">
        <f>SUM(F11:F27)</f>
        <v>28933107.56</v>
      </c>
      <c r="G28" s="39">
        <f>SUM(G11:G27)</f>
        <v>29561252.6356</v>
      </c>
      <c r="H28"/>
      <c r="I28"/>
      <c r="J28"/>
      <c r="K28"/>
      <c r="L28"/>
      <c r="M28"/>
      <c r="N28"/>
      <c r="O28"/>
      <c r="P28"/>
      <c r="Q28"/>
      <c r="R28"/>
    </row>
    <row r="29" spans="1:18" ht="15">
      <c r="A29" s="7" t="s">
        <v>67</v>
      </c>
      <c r="B29" s="62" t="s">
        <v>68</v>
      </c>
      <c r="C29" s="45"/>
      <c r="D29" s="46"/>
      <c r="E29" s="40"/>
      <c r="F29" s="40"/>
      <c r="G29" s="40"/>
      <c r="H29"/>
      <c r="I29"/>
      <c r="J29"/>
      <c r="K29"/>
      <c r="L29"/>
      <c r="M29"/>
      <c r="N29"/>
      <c r="O29"/>
      <c r="P29"/>
      <c r="Q29"/>
      <c r="R29"/>
    </row>
    <row r="30" spans="1:18" ht="15">
      <c r="A30" s="27" t="s">
        <v>71</v>
      </c>
      <c r="B30" s="15" t="s">
        <v>72</v>
      </c>
      <c r="C30" s="16"/>
      <c r="D30" s="17"/>
      <c r="E30" s="63"/>
      <c r="F30" s="63"/>
      <c r="G30" s="63"/>
      <c r="H30"/>
      <c r="I30"/>
      <c r="J30"/>
      <c r="K30"/>
      <c r="L30"/>
      <c r="M30"/>
      <c r="N30"/>
      <c r="O30"/>
      <c r="P30"/>
      <c r="Q30"/>
      <c r="R30"/>
    </row>
    <row r="31" spans="1:18" ht="15">
      <c r="A31" s="61"/>
      <c r="B31" s="21" t="s">
        <v>73</v>
      </c>
      <c r="C31" s="25"/>
      <c r="D31" s="20"/>
      <c r="E31" s="90">
        <v>-2500000</v>
      </c>
      <c r="F31" s="90"/>
      <c r="G31" s="90"/>
      <c r="H31"/>
      <c r="I31"/>
      <c r="J31"/>
      <c r="K31"/>
      <c r="L31"/>
      <c r="M31"/>
      <c r="N31"/>
      <c r="O31"/>
      <c r="P31"/>
      <c r="Q31"/>
      <c r="R31"/>
    </row>
    <row r="32" spans="1:18" ht="15">
      <c r="A32" s="27" t="s">
        <v>76</v>
      </c>
      <c r="B32" s="15" t="s">
        <v>77</v>
      </c>
      <c r="C32" s="16"/>
      <c r="D32" s="17"/>
      <c r="E32" s="11"/>
      <c r="F32" s="11"/>
      <c r="G32" s="11"/>
      <c r="H32"/>
      <c r="I32"/>
      <c r="J32"/>
      <c r="K32"/>
      <c r="L32"/>
      <c r="M32"/>
      <c r="N32"/>
      <c r="O32"/>
      <c r="P32"/>
      <c r="Q32"/>
      <c r="R32"/>
    </row>
    <row r="33" spans="1:18" ht="15">
      <c r="A33" s="65"/>
      <c r="B33" s="21" t="s">
        <v>81</v>
      </c>
      <c r="C33" s="25"/>
      <c r="D33" s="20"/>
      <c r="E33" s="89">
        <f>2000000/12</f>
        <v>166666.66666666666</v>
      </c>
      <c r="F33" s="89"/>
      <c r="G33" s="89"/>
      <c r="H33"/>
      <c r="I33"/>
      <c r="J33"/>
      <c r="K33"/>
      <c r="L33"/>
      <c r="M33"/>
      <c r="N33"/>
      <c r="O33"/>
      <c r="P33"/>
      <c r="Q33"/>
      <c r="R33"/>
    </row>
    <row r="34" spans="1:18" ht="15">
      <c r="A34" s="37"/>
      <c r="B34" s="38" t="s">
        <v>109</v>
      </c>
      <c r="C34" s="38"/>
      <c r="D34" s="36"/>
      <c r="E34" s="88"/>
      <c r="F34" s="88"/>
      <c r="G34" s="88"/>
      <c r="H34"/>
      <c r="I34"/>
      <c r="J34"/>
      <c r="K34"/>
      <c r="L34"/>
      <c r="M34"/>
      <c r="N34"/>
      <c r="O34"/>
      <c r="P34"/>
      <c r="Q34"/>
      <c r="R34"/>
    </row>
    <row r="35" spans="1:18" ht="15">
      <c r="A35" s="44" t="s">
        <v>83</v>
      </c>
      <c r="B35" s="4" t="s">
        <v>84</v>
      </c>
      <c r="C35" s="45"/>
      <c r="D35" s="46"/>
      <c r="E35" s="67"/>
      <c r="F35" s="67"/>
      <c r="G35" s="67"/>
      <c r="H35"/>
      <c r="I35"/>
      <c r="J35"/>
      <c r="K35"/>
      <c r="L35"/>
      <c r="M35"/>
      <c r="N35"/>
      <c r="O35"/>
      <c r="P35"/>
      <c r="Q35"/>
      <c r="R35"/>
    </row>
    <row r="36" spans="1:18" ht="15">
      <c r="A36" s="68"/>
      <c r="B36" s="69"/>
      <c r="C36" s="70"/>
      <c r="D36" s="71"/>
      <c r="E36" s="73"/>
      <c r="F36" s="73"/>
      <c r="G36" s="73"/>
      <c r="H36"/>
      <c r="I36"/>
      <c r="J36"/>
      <c r="K36"/>
      <c r="L36"/>
      <c r="M36"/>
      <c r="N36"/>
      <c r="O36"/>
      <c r="P36"/>
      <c r="Q36"/>
      <c r="R36"/>
    </row>
    <row r="37" spans="1:18" ht="15">
      <c r="A37" s="37"/>
      <c r="B37" s="38" t="s">
        <v>109</v>
      </c>
      <c r="C37" s="38"/>
      <c r="D37" s="36"/>
      <c r="E37" s="39"/>
      <c r="F37" s="39"/>
      <c r="G37" s="39"/>
      <c r="H37"/>
      <c r="I37"/>
      <c r="J37"/>
      <c r="K37"/>
      <c r="L37"/>
      <c r="M37"/>
      <c r="N37"/>
      <c r="O37"/>
      <c r="P37"/>
      <c r="Q37"/>
      <c r="R37"/>
    </row>
    <row r="38" spans="1:18" ht="15">
      <c r="A38" s="7" t="s">
        <v>85</v>
      </c>
      <c r="B38" s="8" t="s">
        <v>86</v>
      </c>
      <c r="C38" s="9"/>
      <c r="D38" s="10"/>
      <c r="E38" s="67"/>
      <c r="F38" s="67"/>
      <c r="G38" s="67"/>
      <c r="H38"/>
      <c r="I38"/>
      <c r="J38"/>
      <c r="K38"/>
      <c r="L38"/>
      <c r="M38"/>
      <c r="N38"/>
      <c r="O38"/>
      <c r="P38"/>
      <c r="Q38"/>
      <c r="R38"/>
    </row>
    <row r="39" spans="1:18" ht="15">
      <c r="A39" s="27" t="s">
        <v>97</v>
      </c>
      <c r="B39" s="15" t="s">
        <v>98</v>
      </c>
      <c r="C39" s="16"/>
      <c r="D39" s="17"/>
      <c r="E39" s="32"/>
      <c r="F39" s="32"/>
      <c r="G39" s="32"/>
      <c r="H39"/>
      <c r="I39"/>
      <c r="J39"/>
      <c r="K39"/>
      <c r="L39"/>
      <c r="M39"/>
      <c r="N39"/>
      <c r="O39"/>
      <c r="P39"/>
      <c r="Q39"/>
      <c r="R39"/>
    </row>
    <row r="40" spans="1:18" ht="15">
      <c r="A40" s="59"/>
      <c r="B40" s="21" t="s">
        <v>100</v>
      </c>
      <c r="C40" s="25"/>
      <c r="D40" s="20"/>
      <c r="E40" s="30">
        <v>833649</v>
      </c>
      <c r="F40" s="22">
        <f>(E40*0.01)+E40</f>
        <v>841985.49</v>
      </c>
      <c r="G40" s="22">
        <f>(F40*0.01)+F40</f>
        <v>850405.3449</v>
      </c>
      <c r="H40"/>
      <c r="I40"/>
      <c r="J40"/>
      <c r="K40"/>
      <c r="L40"/>
      <c r="M40"/>
      <c r="N40"/>
      <c r="O40"/>
      <c r="P40"/>
      <c r="Q40"/>
      <c r="R40"/>
    </row>
    <row r="41" spans="1:18" ht="15">
      <c r="A41" s="37"/>
      <c r="B41" s="38" t="s">
        <v>109</v>
      </c>
      <c r="C41" s="38"/>
      <c r="D41" s="36"/>
      <c r="E41" s="39">
        <f>SUM(E39:E40)</f>
        <v>833649</v>
      </c>
      <c r="F41" s="39">
        <f>SUM(F39:F40)</f>
        <v>841985.49</v>
      </c>
      <c r="G41" s="39">
        <f>SUM(G39:G40)</f>
        <v>850405.3449</v>
      </c>
      <c r="H41"/>
      <c r="I41"/>
      <c r="J41"/>
      <c r="K41"/>
      <c r="L41"/>
      <c r="M41"/>
      <c r="N41"/>
      <c r="O41"/>
      <c r="P41"/>
      <c r="Q41"/>
      <c r="R41"/>
    </row>
    <row r="42" spans="1:18" ht="15">
      <c r="A42" s="13"/>
      <c r="B42" s="75"/>
      <c r="C42" s="75"/>
      <c r="D42" s="75"/>
      <c r="E42" s="75"/>
      <c r="F42" s="75"/>
      <c r="G42" s="75"/>
      <c r="H42"/>
      <c r="I42"/>
      <c r="J42"/>
      <c r="K42"/>
      <c r="L42"/>
      <c r="M42"/>
      <c r="N42"/>
      <c r="O42"/>
      <c r="P42"/>
      <c r="Q42"/>
      <c r="R42"/>
    </row>
    <row r="43" spans="1:18" ht="15">
      <c r="A43" s="13"/>
      <c r="B43" s="76" t="s">
        <v>141</v>
      </c>
      <c r="C43" s="76"/>
      <c r="D43" s="75"/>
      <c r="E43" s="39">
        <f>E8</f>
        <v>32200000</v>
      </c>
      <c r="F43" s="39">
        <f>F8</f>
        <v>36064000</v>
      </c>
      <c r="G43" s="39">
        <f>G8</f>
        <v>40391680</v>
      </c>
      <c r="H43"/>
      <c r="I43"/>
      <c r="J43"/>
      <c r="K43"/>
      <c r="L43"/>
      <c r="M43"/>
      <c r="N43"/>
      <c r="O43"/>
      <c r="P43"/>
      <c r="Q43"/>
      <c r="R43"/>
    </row>
    <row r="44" spans="1:18" ht="15">
      <c r="A44" s="49"/>
      <c r="B44" s="33"/>
      <c r="C44" s="78"/>
      <c r="D44" s="33"/>
      <c r="E44" s="33"/>
      <c r="F44" s="33"/>
      <c r="G44" s="33"/>
      <c r="H44"/>
      <c r="I44"/>
      <c r="J44"/>
      <c r="K44"/>
      <c r="L44"/>
      <c r="M44"/>
      <c r="N44"/>
      <c r="O44"/>
      <c r="P44"/>
      <c r="Q44"/>
      <c r="R44"/>
    </row>
    <row r="45" spans="1:18" ht="15">
      <c r="A45" s="49"/>
      <c r="B45" s="78" t="s">
        <v>180</v>
      </c>
      <c r="C45" s="78"/>
      <c r="D45" s="33"/>
      <c r="E45" s="77">
        <f>E28+E34+E37+E41</f>
        <v>29160805</v>
      </c>
      <c r="F45" s="77">
        <f>F28+F34+F37+F41</f>
        <v>29775093.049999997</v>
      </c>
      <c r="G45" s="77">
        <f>G28+G34+G37+G41</f>
        <v>30411657.9805</v>
      </c>
      <c r="H45"/>
      <c r="I45"/>
      <c r="J45"/>
      <c r="K45"/>
      <c r="L45"/>
      <c r="M45"/>
      <c r="N45"/>
      <c r="O45"/>
      <c r="P45"/>
      <c r="Q45"/>
      <c r="R45"/>
    </row>
    <row r="46" spans="1:18" ht="15">
      <c r="A46" s="91"/>
      <c r="B46" s="42"/>
      <c r="C46" s="42"/>
      <c r="D46" s="41"/>
      <c r="E46" s="92"/>
      <c r="F46" s="92"/>
      <c r="G46" s="92"/>
      <c r="H46"/>
      <c r="I46"/>
      <c r="J46"/>
      <c r="K46"/>
      <c r="L46"/>
      <c r="M46"/>
      <c r="N46"/>
      <c r="O46"/>
      <c r="P46"/>
      <c r="Q46"/>
      <c r="R46"/>
    </row>
    <row r="47" spans="1:18" ht="15">
      <c r="A47" s="49"/>
      <c r="B47" s="76" t="s">
        <v>179</v>
      </c>
      <c r="C47" s="78"/>
      <c r="D47" s="33"/>
      <c r="E47" s="77"/>
      <c r="F47" s="77"/>
      <c r="G47" s="77"/>
      <c r="H47"/>
      <c r="I47"/>
      <c r="J47"/>
      <c r="K47"/>
      <c r="L47"/>
      <c r="M47"/>
      <c r="N47"/>
      <c r="O47"/>
      <c r="P47"/>
      <c r="Q47"/>
      <c r="R47"/>
    </row>
    <row r="48" spans="1:18" ht="15">
      <c r="A48" s="49"/>
      <c r="B48" s="33"/>
      <c r="C48" s="33"/>
      <c r="D48" s="33"/>
      <c r="E48" s="33"/>
      <c r="F48" s="33"/>
      <c r="G48" s="33"/>
      <c r="H48"/>
      <c r="I48"/>
      <c r="J48"/>
      <c r="K48"/>
      <c r="L48"/>
      <c r="M48"/>
      <c r="N48"/>
      <c r="O48"/>
      <c r="P48"/>
      <c r="Q48"/>
      <c r="R48"/>
    </row>
    <row r="49" spans="1:18" ht="15">
      <c r="A49" s="79" t="s">
        <v>142</v>
      </c>
      <c r="B49" s="25"/>
      <c r="C49" s="25"/>
      <c r="D49" s="25"/>
      <c r="E49" s="80">
        <f>E43-E45</f>
        <v>3039195</v>
      </c>
      <c r="F49" s="80">
        <f>F43-F45</f>
        <v>6288906.950000003</v>
      </c>
      <c r="G49" s="80">
        <f>G43-G45</f>
        <v>9980022.019499999</v>
      </c>
      <c r="H49"/>
      <c r="I49"/>
      <c r="J49"/>
      <c r="K49"/>
      <c r="L49"/>
      <c r="M49"/>
      <c r="N49"/>
      <c r="O49"/>
      <c r="P49"/>
      <c r="Q49"/>
      <c r="R49"/>
    </row>
  </sheetData>
  <printOptions horizontalCentered="1" verticalCentered="1"/>
  <pageMargins left="0.78" right="0" top="0" bottom="0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1">
      <selection activeCell="B3" sqref="A3:B3"/>
    </sheetView>
  </sheetViews>
  <sheetFormatPr defaultColWidth="8.88671875" defaultRowHeight="15"/>
  <cols>
    <col min="1" max="1" width="5.21484375" style="1" customWidth="1"/>
    <col min="2" max="3" width="8.88671875" style="1" customWidth="1"/>
    <col min="4" max="4" width="11.99609375" style="1" customWidth="1"/>
    <col min="5" max="5" width="9.77734375" style="1" customWidth="1"/>
    <col min="6" max="6" width="11.10546875" style="1" customWidth="1"/>
    <col min="7" max="7" width="10.10546875" style="1" customWidth="1"/>
    <col min="8" max="8" width="8.88671875" style="1" customWidth="1"/>
    <col min="9" max="9" width="9.10546875" style="1" customWidth="1"/>
    <col min="10" max="10" width="10.21484375" style="1" customWidth="1"/>
    <col min="11" max="11" width="9.88671875" style="1" customWidth="1"/>
    <col min="12" max="12" width="10.10546875" style="1" customWidth="1"/>
    <col min="13" max="13" width="9.99609375" style="1" customWidth="1"/>
    <col min="14" max="14" width="9.4453125" style="1" customWidth="1"/>
    <col min="15" max="15" width="11.10546875" style="1" customWidth="1"/>
    <col min="16" max="16" width="9.99609375" style="1" customWidth="1"/>
    <col min="17" max="17" width="10.88671875" style="1" customWidth="1"/>
    <col min="18" max="18" width="12.77734375" style="1" customWidth="1"/>
  </cols>
  <sheetData>
    <row r="1" spans="1:18" s="95" customFormat="1" ht="23.25">
      <c r="A1" s="93" t="s">
        <v>140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/>
    </row>
    <row r="2" spans="1:18" s="95" customFormat="1" ht="23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4"/>
    </row>
    <row r="3" spans="1:17" ht="23.25">
      <c r="A3" s="5" t="s">
        <v>200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8.75">
      <c r="A4" s="6"/>
      <c r="B4" s="6"/>
      <c r="C4" s="6"/>
      <c r="D4" s="6"/>
      <c r="E4" s="96">
        <v>1999</v>
      </c>
      <c r="F4" s="96">
        <v>2000</v>
      </c>
      <c r="G4" s="96">
        <v>2001</v>
      </c>
      <c r="H4"/>
      <c r="I4"/>
      <c r="J4"/>
      <c r="K4"/>
      <c r="L4"/>
      <c r="M4"/>
      <c r="N4"/>
      <c r="O4"/>
      <c r="P4"/>
      <c r="Q4"/>
      <c r="R4"/>
    </row>
    <row r="5" spans="1:18" ht="15">
      <c r="A5" s="7" t="s">
        <v>1</v>
      </c>
      <c r="B5" s="84" t="s">
        <v>2</v>
      </c>
      <c r="C5" s="85"/>
      <c r="D5" s="86"/>
      <c r="E5" s="12"/>
      <c r="F5" s="12"/>
      <c r="G5" s="12"/>
      <c r="H5"/>
      <c r="I5"/>
      <c r="J5"/>
      <c r="K5"/>
      <c r="L5"/>
      <c r="M5"/>
      <c r="N5"/>
      <c r="O5"/>
      <c r="P5"/>
      <c r="Q5"/>
      <c r="R5"/>
    </row>
    <row r="6" spans="1:18" ht="15">
      <c r="A6" s="14" t="s">
        <v>150</v>
      </c>
      <c r="B6" s="83"/>
      <c r="C6" s="52"/>
      <c r="D6" s="32"/>
      <c r="E6" s="12"/>
      <c r="F6" s="12"/>
      <c r="G6" s="12"/>
      <c r="H6"/>
      <c r="I6"/>
      <c r="J6"/>
      <c r="K6"/>
      <c r="L6"/>
      <c r="M6"/>
      <c r="N6"/>
      <c r="O6"/>
      <c r="P6"/>
      <c r="Q6"/>
      <c r="R6"/>
    </row>
    <row r="7" spans="1:18" ht="15">
      <c r="A7" s="19" t="s">
        <v>127</v>
      </c>
      <c r="B7" s="21" t="s">
        <v>114</v>
      </c>
      <c r="C7" s="25"/>
      <c r="D7" s="81"/>
      <c r="E7" s="22"/>
      <c r="F7" s="22">
        <f>(E7*0.12)+E7</f>
        <v>0</v>
      </c>
      <c r="G7" s="22">
        <f>(F7*0.12)+F7</f>
        <v>0</v>
      </c>
      <c r="H7"/>
      <c r="I7"/>
      <c r="J7"/>
      <c r="K7"/>
      <c r="L7"/>
      <c r="M7"/>
      <c r="N7"/>
      <c r="O7"/>
      <c r="P7"/>
      <c r="Q7"/>
      <c r="R7"/>
    </row>
    <row r="8" spans="1:18" ht="15">
      <c r="A8" s="27" t="s">
        <v>154</v>
      </c>
      <c r="B8" s="28"/>
      <c r="C8" s="21"/>
      <c r="D8" s="20"/>
      <c r="E8" s="22"/>
      <c r="F8" s="22"/>
      <c r="G8" s="22"/>
      <c r="H8"/>
      <c r="I8"/>
      <c r="J8"/>
      <c r="K8"/>
      <c r="L8"/>
      <c r="M8"/>
      <c r="N8"/>
      <c r="O8"/>
      <c r="P8"/>
      <c r="Q8"/>
      <c r="R8"/>
    </row>
    <row r="9" spans="1:18" ht="15">
      <c r="A9" s="23" t="s">
        <v>3</v>
      </c>
      <c r="B9" s="31" t="s">
        <v>6</v>
      </c>
      <c r="C9" s="16"/>
      <c r="D9" s="17"/>
      <c r="E9" s="32"/>
      <c r="F9" s="32"/>
      <c r="G9" s="32"/>
      <c r="H9"/>
      <c r="I9"/>
      <c r="J9"/>
      <c r="K9"/>
      <c r="L9"/>
      <c r="M9"/>
      <c r="N9"/>
      <c r="O9"/>
      <c r="P9"/>
      <c r="Q9"/>
      <c r="R9"/>
    </row>
    <row r="10" spans="1:18" ht="15">
      <c r="A10" s="19"/>
      <c r="B10" s="21" t="s">
        <v>7</v>
      </c>
      <c r="C10" s="25"/>
      <c r="D10" s="20"/>
      <c r="E10" s="22">
        <v>329174868</v>
      </c>
      <c r="F10" s="22">
        <f>E10+(E10*0.12)</f>
        <v>368675852.15999997</v>
      </c>
      <c r="G10" s="22">
        <f>(F10*0.12)+F10</f>
        <v>412916954.41919994</v>
      </c>
      <c r="H10"/>
      <c r="I10"/>
      <c r="J10"/>
      <c r="K10"/>
      <c r="L10"/>
      <c r="M10"/>
      <c r="N10"/>
      <c r="O10"/>
      <c r="P10"/>
      <c r="Q10"/>
      <c r="R10"/>
    </row>
    <row r="11" spans="1:18" ht="15">
      <c r="A11" s="19"/>
      <c r="B11" s="21" t="s">
        <v>176</v>
      </c>
      <c r="C11" s="25"/>
      <c r="D11" s="20"/>
      <c r="E11" s="29">
        <v>75000000</v>
      </c>
      <c r="F11" s="22">
        <f>(E11*0.12)+E11</f>
        <v>84000000</v>
      </c>
      <c r="G11" s="22">
        <f>(F11*0.12)+F11</f>
        <v>94080000</v>
      </c>
      <c r="H11"/>
      <c r="I11"/>
      <c r="J11"/>
      <c r="K11"/>
      <c r="L11"/>
      <c r="M11"/>
      <c r="N11"/>
      <c r="O11"/>
      <c r="P11"/>
      <c r="Q11"/>
      <c r="R11"/>
    </row>
    <row r="12" spans="1:18" ht="15">
      <c r="A12" s="23" t="s">
        <v>4</v>
      </c>
      <c r="B12" s="31" t="s">
        <v>9</v>
      </c>
      <c r="C12" s="16"/>
      <c r="D12" s="17"/>
      <c r="E12" s="32"/>
      <c r="F12" s="32"/>
      <c r="G12" s="32"/>
      <c r="H12"/>
      <c r="I12"/>
      <c r="J12"/>
      <c r="K12"/>
      <c r="L12"/>
      <c r="M12"/>
      <c r="N12"/>
      <c r="O12"/>
      <c r="P12"/>
      <c r="Q12"/>
      <c r="R12"/>
    </row>
    <row r="13" spans="1:18" ht="15">
      <c r="A13" s="37"/>
      <c r="B13" s="38" t="s">
        <v>109</v>
      </c>
      <c r="C13" s="38"/>
      <c r="D13" s="36"/>
      <c r="E13" s="39">
        <f>SUM(E7:E12)</f>
        <v>404174868</v>
      </c>
      <c r="F13" s="39">
        <f>SUM(F7:F12)</f>
        <v>452675852.15999997</v>
      </c>
      <c r="G13" s="39">
        <f>SUM(G7:G12)</f>
        <v>506996954.41919994</v>
      </c>
      <c r="H13"/>
      <c r="I13"/>
      <c r="J13"/>
      <c r="K13"/>
      <c r="L13"/>
      <c r="M13"/>
      <c r="N13"/>
      <c r="O13"/>
      <c r="P13"/>
      <c r="Q13"/>
      <c r="R13"/>
    </row>
    <row r="14" spans="1:18" ht="15">
      <c r="A14" s="44" t="s">
        <v>11</v>
      </c>
      <c r="B14" s="4" t="s">
        <v>12</v>
      </c>
      <c r="C14" s="45"/>
      <c r="D14" s="46"/>
      <c r="E14" s="48"/>
      <c r="F14" s="48"/>
      <c r="G14" s="48"/>
      <c r="H14"/>
      <c r="I14"/>
      <c r="J14"/>
      <c r="K14"/>
      <c r="L14"/>
      <c r="M14"/>
      <c r="N14"/>
      <c r="O14"/>
      <c r="P14"/>
      <c r="Q14"/>
      <c r="R14"/>
    </row>
    <row r="15" spans="1:18" ht="15">
      <c r="A15" s="27" t="s">
        <v>155</v>
      </c>
      <c r="B15" s="15"/>
      <c r="C15" s="16"/>
      <c r="D15" s="17"/>
      <c r="E15" s="11"/>
      <c r="F15" s="11"/>
      <c r="G15" s="11"/>
      <c r="H15"/>
      <c r="I15"/>
      <c r="J15"/>
      <c r="K15"/>
      <c r="L15"/>
      <c r="M15"/>
      <c r="N15"/>
      <c r="O15"/>
      <c r="P15"/>
      <c r="Q15"/>
      <c r="R15"/>
    </row>
    <row r="16" spans="1:18" ht="15">
      <c r="A16" s="34"/>
      <c r="B16" s="21" t="s">
        <v>117</v>
      </c>
      <c r="C16" s="25"/>
      <c r="D16" s="20"/>
      <c r="E16" s="30">
        <v>3000000</v>
      </c>
      <c r="F16" s="22">
        <f>(E16*0.05)+E16</f>
        <v>3150000</v>
      </c>
      <c r="G16" s="22">
        <f>(F16*0.05)+F16</f>
        <v>3307500</v>
      </c>
      <c r="H16"/>
      <c r="I16"/>
      <c r="J16"/>
      <c r="K16"/>
      <c r="L16"/>
      <c r="M16"/>
      <c r="N16"/>
      <c r="O16"/>
      <c r="P16"/>
      <c r="Q16"/>
      <c r="R16"/>
    </row>
    <row r="17" spans="1:18" ht="15">
      <c r="A17" s="34"/>
      <c r="B17" s="21" t="s">
        <v>16</v>
      </c>
      <c r="C17" s="25"/>
      <c r="D17" s="20"/>
      <c r="E17" s="30"/>
      <c r="F17" s="22">
        <f>(E17*0.05)+E17</f>
        <v>0</v>
      </c>
      <c r="G17" s="22">
        <f>(F17*0.05)+F17</f>
        <v>0</v>
      </c>
      <c r="H17"/>
      <c r="I17"/>
      <c r="J17"/>
      <c r="K17"/>
      <c r="L17"/>
      <c r="M17"/>
      <c r="N17"/>
      <c r="O17"/>
      <c r="P17"/>
      <c r="Q17"/>
      <c r="R17"/>
    </row>
    <row r="18" spans="1:18" ht="15">
      <c r="A18" s="27" t="s">
        <v>159</v>
      </c>
      <c r="B18" s="15"/>
      <c r="C18" s="16"/>
      <c r="D18" s="17"/>
      <c r="E18" s="11"/>
      <c r="F18" s="11"/>
      <c r="G18" s="11"/>
      <c r="H18"/>
      <c r="I18"/>
      <c r="J18"/>
      <c r="K18"/>
      <c r="L18"/>
      <c r="M18"/>
      <c r="N18"/>
      <c r="O18"/>
      <c r="P18"/>
      <c r="Q18"/>
      <c r="R18"/>
    </row>
    <row r="19" spans="1:18" ht="15">
      <c r="A19" s="34"/>
      <c r="B19" s="21" t="s">
        <v>20</v>
      </c>
      <c r="C19" s="25"/>
      <c r="D19" s="20"/>
      <c r="E19" s="30">
        <v>4000000</v>
      </c>
      <c r="F19" s="22">
        <f>(E19*0.05)+E19</f>
        <v>4200000</v>
      </c>
      <c r="G19" s="22">
        <f>(F19*0.05)+F19</f>
        <v>4410000</v>
      </c>
      <c r="H19"/>
      <c r="I19"/>
      <c r="J19"/>
      <c r="K19"/>
      <c r="L19"/>
      <c r="M19"/>
      <c r="N19"/>
      <c r="O19"/>
      <c r="P19"/>
      <c r="Q19"/>
      <c r="R19"/>
    </row>
    <row r="20" spans="1:18" ht="15">
      <c r="A20" s="34"/>
      <c r="B20" s="21" t="s">
        <v>102</v>
      </c>
      <c r="C20" s="25"/>
      <c r="D20" s="20"/>
      <c r="E20" s="30">
        <v>8500000</v>
      </c>
      <c r="F20" s="22">
        <f>(E20*0.05)+E20</f>
        <v>8925000</v>
      </c>
      <c r="G20" s="22">
        <f>(F20*0.05)+F20</f>
        <v>9371250</v>
      </c>
      <c r="H20"/>
      <c r="I20"/>
      <c r="J20"/>
      <c r="K20"/>
      <c r="L20"/>
      <c r="M20"/>
      <c r="N20"/>
      <c r="O20"/>
      <c r="P20"/>
      <c r="Q20"/>
      <c r="R20"/>
    </row>
    <row r="21" spans="1:18" ht="15">
      <c r="A21" s="34"/>
      <c r="B21" s="53" t="s">
        <v>22</v>
      </c>
      <c r="C21" s="35"/>
      <c r="D21" s="36"/>
      <c r="E21" s="55">
        <v>30000000</v>
      </c>
      <c r="F21" s="22">
        <f>(15000000*0.05)+15000000</f>
        <v>15750000</v>
      </c>
      <c r="G21" s="22">
        <f>(F21*0.05)+F21</f>
        <v>16537500</v>
      </c>
      <c r="H21"/>
      <c r="I21"/>
      <c r="J21"/>
      <c r="K21"/>
      <c r="L21"/>
      <c r="M21"/>
      <c r="N21"/>
      <c r="O21"/>
      <c r="P21"/>
      <c r="Q21"/>
      <c r="R21"/>
    </row>
    <row r="22" spans="1:18" ht="15">
      <c r="A22" s="34"/>
      <c r="B22" s="21" t="s">
        <v>23</v>
      </c>
      <c r="C22" s="25"/>
      <c r="D22" s="20"/>
      <c r="E22" s="30">
        <v>2079000</v>
      </c>
      <c r="F22" s="22">
        <f>(E22*0.05)+E22</f>
        <v>2182950</v>
      </c>
      <c r="G22" s="22">
        <f>(F22*0.05)+F22</f>
        <v>2292097.5</v>
      </c>
      <c r="H22"/>
      <c r="I22"/>
      <c r="J22"/>
      <c r="K22"/>
      <c r="L22"/>
      <c r="M22"/>
      <c r="N22"/>
      <c r="O22"/>
      <c r="P22"/>
      <c r="Q22"/>
      <c r="R22"/>
    </row>
    <row r="23" spans="1:18" ht="15">
      <c r="A23" s="34"/>
      <c r="B23" s="21" t="s">
        <v>24</v>
      </c>
      <c r="C23" s="25"/>
      <c r="D23" s="20"/>
      <c r="E23" s="30">
        <v>1122000</v>
      </c>
      <c r="F23" s="22">
        <f>(E23*0.05)+E23</f>
        <v>1178100</v>
      </c>
      <c r="G23" s="22">
        <f>(F23*0.05)+F23</f>
        <v>1237005</v>
      </c>
      <c r="H23"/>
      <c r="I23"/>
      <c r="J23"/>
      <c r="K23"/>
      <c r="L23"/>
      <c r="M23"/>
      <c r="N23"/>
      <c r="O23"/>
      <c r="P23"/>
      <c r="Q23"/>
      <c r="R23"/>
    </row>
    <row r="24" spans="1:18" ht="15">
      <c r="A24" s="34"/>
      <c r="B24" s="21" t="s">
        <v>119</v>
      </c>
      <c r="C24" s="25"/>
      <c r="D24" s="20"/>
      <c r="E24" s="30">
        <v>2000000</v>
      </c>
      <c r="F24" s="22">
        <f>(E24*0.05)+E24</f>
        <v>2100000</v>
      </c>
      <c r="G24" s="22">
        <f>(F24*0.05)+F24</f>
        <v>2205000</v>
      </c>
      <c r="H24"/>
      <c r="I24"/>
      <c r="J24"/>
      <c r="K24"/>
      <c r="L24"/>
      <c r="M24"/>
      <c r="N24"/>
      <c r="O24"/>
      <c r="P24"/>
      <c r="Q24"/>
      <c r="R24"/>
    </row>
    <row r="25" spans="1:18" ht="14.25" customHeight="1">
      <c r="A25" s="34"/>
      <c r="B25" s="21" t="s">
        <v>120</v>
      </c>
      <c r="C25" s="25"/>
      <c r="D25" s="20"/>
      <c r="E25" s="30">
        <v>3000000</v>
      </c>
      <c r="F25" s="22">
        <f>(E25*0.05)+E25</f>
        <v>3150000</v>
      </c>
      <c r="G25" s="22">
        <f>(F25*0.05)+F25</f>
        <v>3307500</v>
      </c>
      <c r="H25"/>
      <c r="I25"/>
      <c r="J25"/>
      <c r="K25"/>
      <c r="L25"/>
      <c r="M25"/>
      <c r="N25"/>
      <c r="O25"/>
      <c r="P25"/>
      <c r="Q25"/>
      <c r="R25"/>
    </row>
    <row r="26" spans="1:18" ht="15">
      <c r="A26" s="34"/>
      <c r="B26" s="21" t="s">
        <v>27</v>
      </c>
      <c r="C26" s="25"/>
      <c r="D26" s="20"/>
      <c r="E26" s="30">
        <v>30000000</v>
      </c>
      <c r="F26" s="22">
        <f>(E26*0.05)+E26</f>
        <v>31500000</v>
      </c>
      <c r="G26" s="22">
        <f>(F26*0.05)+F26</f>
        <v>33075000</v>
      </c>
      <c r="H26"/>
      <c r="I26"/>
      <c r="J26"/>
      <c r="K26"/>
      <c r="L26"/>
      <c r="M26"/>
      <c r="N26"/>
      <c r="O26"/>
      <c r="P26"/>
      <c r="Q26"/>
      <c r="R26"/>
    </row>
    <row r="27" spans="1:18" ht="15">
      <c r="A27" s="34"/>
      <c r="B27" s="21" t="s">
        <v>143</v>
      </c>
      <c r="C27" s="25"/>
      <c r="D27" s="20"/>
      <c r="E27" s="30">
        <v>248000000</v>
      </c>
      <c r="F27" s="22">
        <f>(E27*0.05)+E27</f>
        <v>260400000</v>
      </c>
      <c r="G27" s="22">
        <f>(F27*0.05)+F27</f>
        <v>273420000</v>
      </c>
      <c r="H27"/>
      <c r="I27"/>
      <c r="J27"/>
      <c r="K27"/>
      <c r="L27"/>
      <c r="M27"/>
      <c r="N27"/>
      <c r="O27"/>
      <c r="P27"/>
      <c r="Q27"/>
      <c r="R27"/>
    </row>
    <row r="28" spans="1:18" ht="15">
      <c r="A28" s="34"/>
      <c r="B28" s="21" t="s">
        <v>32</v>
      </c>
      <c r="C28" s="25"/>
      <c r="D28" s="20"/>
      <c r="E28" s="30">
        <v>3000000</v>
      </c>
      <c r="F28" s="22">
        <f>(E28*0.05)+E28</f>
        <v>3150000</v>
      </c>
      <c r="G28" s="22">
        <f>(F28*0.05)+F28</f>
        <v>3307500</v>
      </c>
      <c r="H28"/>
      <c r="I28"/>
      <c r="J28"/>
      <c r="K28"/>
      <c r="L28"/>
      <c r="M28"/>
      <c r="N28"/>
      <c r="O28"/>
      <c r="P28"/>
      <c r="Q28"/>
      <c r="R28"/>
    </row>
    <row r="29" spans="1:18" ht="15">
      <c r="A29" s="34"/>
      <c r="B29" s="21" t="s">
        <v>122</v>
      </c>
      <c r="C29" s="25"/>
      <c r="D29" s="20"/>
      <c r="E29" s="30">
        <v>700000</v>
      </c>
      <c r="F29" s="22">
        <f>(E29*0.05)+E29</f>
        <v>735000</v>
      </c>
      <c r="G29" s="22">
        <f>(F29*0.05)+F29</f>
        <v>771750</v>
      </c>
      <c r="H29"/>
      <c r="I29"/>
      <c r="J29"/>
      <c r="K29"/>
      <c r="L29"/>
      <c r="M29"/>
      <c r="N29"/>
      <c r="O29"/>
      <c r="P29"/>
      <c r="Q29"/>
      <c r="R29"/>
    </row>
    <row r="30" spans="1:18" ht="15">
      <c r="A30" s="34"/>
      <c r="B30" s="53" t="s">
        <v>34</v>
      </c>
      <c r="C30" s="35"/>
      <c r="D30" s="36"/>
      <c r="E30" s="29">
        <v>250000</v>
      </c>
      <c r="F30" s="22">
        <f>(E30*0.05)+E30</f>
        <v>262500</v>
      </c>
      <c r="G30" s="22">
        <f>(F30*0.05)+F30</f>
        <v>275625</v>
      </c>
      <c r="H30"/>
      <c r="I30"/>
      <c r="J30"/>
      <c r="K30"/>
      <c r="L30"/>
      <c r="M30"/>
      <c r="N30"/>
      <c r="O30"/>
      <c r="P30"/>
      <c r="Q30"/>
      <c r="R30"/>
    </row>
    <row r="31" spans="1:18" ht="15">
      <c r="A31" s="34"/>
      <c r="B31" s="21" t="s">
        <v>35</v>
      </c>
      <c r="C31" s="25"/>
      <c r="D31" s="20"/>
      <c r="E31" s="30">
        <v>500000</v>
      </c>
      <c r="F31" s="22">
        <f>(E31*0.05)+E31</f>
        <v>525000</v>
      </c>
      <c r="G31" s="22">
        <f>(F31*0.05)+F31</f>
        <v>551250</v>
      </c>
      <c r="H31"/>
      <c r="I31"/>
      <c r="J31"/>
      <c r="K31"/>
      <c r="L31"/>
      <c r="M31"/>
      <c r="N31"/>
      <c r="O31"/>
      <c r="P31"/>
      <c r="Q31"/>
      <c r="R31"/>
    </row>
    <row r="32" spans="1:18" ht="15">
      <c r="A32" s="34"/>
      <c r="B32" s="21" t="s">
        <v>108</v>
      </c>
      <c r="C32" s="25"/>
      <c r="D32" s="20"/>
      <c r="E32" s="30">
        <v>500000</v>
      </c>
      <c r="F32" s="22">
        <f>(E32*0.05)+E32</f>
        <v>525000</v>
      </c>
      <c r="G32" s="22">
        <f>(F32*0.05)+F32</f>
        <v>551250</v>
      </c>
      <c r="H32"/>
      <c r="I32"/>
      <c r="J32"/>
      <c r="K32"/>
      <c r="L32"/>
      <c r="M32"/>
      <c r="N32"/>
      <c r="O32"/>
      <c r="P32"/>
      <c r="Q32"/>
      <c r="R32"/>
    </row>
    <row r="33" spans="1:18" ht="15">
      <c r="A33" s="60" t="s">
        <v>160</v>
      </c>
      <c r="B33" s="15"/>
      <c r="C33" s="16"/>
      <c r="D33" s="17"/>
      <c r="E33" s="22"/>
      <c r="F33" s="22"/>
      <c r="G33" s="22"/>
      <c r="H33"/>
      <c r="I33"/>
      <c r="J33"/>
      <c r="K33"/>
      <c r="L33"/>
      <c r="M33"/>
      <c r="N33"/>
      <c r="O33"/>
      <c r="P33"/>
      <c r="Q33"/>
      <c r="R33"/>
    </row>
    <row r="34" spans="1:18" ht="15">
      <c r="A34" s="34"/>
      <c r="B34" s="21" t="s">
        <v>123</v>
      </c>
      <c r="C34" s="25"/>
      <c r="D34" s="20"/>
      <c r="E34" s="30">
        <v>1000000</v>
      </c>
      <c r="F34" s="22">
        <f>(E34*0.05)+E34</f>
        <v>1050000</v>
      </c>
      <c r="G34" s="22">
        <f>(F34*0.05)+F34</f>
        <v>1102500</v>
      </c>
      <c r="H34"/>
      <c r="I34"/>
      <c r="J34"/>
      <c r="K34"/>
      <c r="L34"/>
      <c r="M34"/>
      <c r="N34"/>
      <c r="O34"/>
      <c r="P34"/>
      <c r="Q34"/>
      <c r="R34"/>
    </row>
    <row r="35" spans="1:18" ht="15">
      <c r="A35" s="27" t="s">
        <v>161</v>
      </c>
      <c r="B35" s="15"/>
      <c r="C35" s="16"/>
      <c r="D35" s="17"/>
      <c r="E35" s="11"/>
      <c r="F35" s="11"/>
      <c r="G35" s="11"/>
      <c r="H35"/>
      <c r="I35"/>
      <c r="J35"/>
      <c r="K35"/>
      <c r="L35"/>
      <c r="M35"/>
      <c r="N35"/>
      <c r="O35"/>
      <c r="P35"/>
      <c r="Q35"/>
      <c r="R35"/>
    </row>
    <row r="36" spans="1:18" ht="15">
      <c r="A36" s="34"/>
      <c r="B36" s="21" t="s">
        <v>39</v>
      </c>
      <c r="C36" s="25"/>
      <c r="D36" s="20"/>
      <c r="E36" s="29">
        <v>41384819</v>
      </c>
      <c r="F36" s="22">
        <f>(E36*0.01)+E36</f>
        <v>41798667.19</v>
      </c>
      <c r="G36" s="22">
        <f>(F36*0.01)+F36</f>
        <v>42216653.861899994</v>
      </c>
      <c r="H36"/>
      <c r="I36"/>
      <c r="J36"/>
      <c r="K36"/>
      <c r="L36"/>
      <c r="M36"/>
      <c r="N36"/>
      <c r="O36"/>
      <c r="P36"/>
      <c r="Q36"/>
      <c r="R36"/>
    </row>
    <row r="37" spans="1:18" ht="15">
      <c r="A37" s="34"/>
      <c r="B37" s="21" t="s">
        <v>103</v>
      </c>
      <c r="C37" s="25"/>
      <c r="D37" s="20"/>
      <c r="E37" s="30">
        <v>11066542</v>
      </c>
      <c r="F37" s="22">
        <f>(E37*0.01)+E37</f>
        <v>11177207.42</v>
      </c>
      <c r="G37" s="22">
        <f>(F37*0.01)+F37</f>
        <v>11288979.4942</v>
      </c>
      <c r="H37"/>
      <c r="I37"/>
      <c r="J37"/>
      <c r="K37"/>
      <c r="L37"/>
      <c r="M37"/>
      <c r="N37"/>
      <c r="O37"/>
      <c r="P37"/>
      <c r="Q37"/>
      <c r="R37"/>
    </row>
    <row r="38" spans="1:18" ht="15">
      <c r="A38" s="34"/>
      <c r="B38" s="21" t="s">
        <v>40</v>
      </c>
      <c r="C38" s="25"/>
      <c r="D38" s="20"/>
      <c r="E38" s="30">
        <v>3317437</v>
      </c>
      <c r="F38" s="22">
        <f>(E38*0.01)+E38</f>
        <v>3350611.37</v>
      </c>
      <c r="G38" s="22">
        <f>(F38*0.01)+F38</f>
        <v>3384117.4837</v>
      </c>
      <c r="H38"/>
      <c r="I38"/>
      <c r="J38"/>
      <c r="K38"/>
      <c r="L38"/>
      <c r="M38"/>
      <c r="N38"/>
      <c r="O38"/>
      <c r="P38"/>
      <c r="Q38"/>
      <c r="R38"/>
    </row>
    <row r="39" spans="1:18" ht="15">
      <c r="A39" s="34"/>
      <c r="B39" s="21" t="s">
        <v>41</v>
      </c>
      <c r="C39" s="25"/>
      <c r="D39" s="20"/>
      <c r="E39" s="30">
        <v>375000</v>
      </c>
      <c r="F39" s="22">
        <f>(E39*0.01)+E39</f>
        <v>378750</v>
      </c>
      <c r="G39" s="22">
        <f>(F39*0.01)+F39</f>
        <v>382537.5</v>
      </c>
      <c r="H39"/>
      <c r="I39"/>
      <c r="J39"/>
      <c r="K39"/>
      <c r="L39"/>
      <c r="M39"/>
      <c r="N39"/>
      <c r="O39"/>
      <c r="P39"/>
      <c r="Q39"/>
      <c r="R39"/>
    </row>
    <row r="40" spans="1:18" ht="15">
      <c r="A40" s="34"/>
      <c r="B40" s="21" t="s">
        <v>42</v>
      </c>
      <c r="C40" s="25"/>
      <c r="D40" s="20"/>
      <c r="E40" s="30">
        <v>0</v>
      </c>
      <c r="F40" s="30"/>
      <c r="G40" s="30"/>
      <c r="H40"/>
      <c r="I40"/>
      <c r="J40"/>
      <c r="K40"/>
      <c r="L40"/>
      <c r="M40"/>
      <c r="N40"/>
      <c r="O40"/>
      <c r="P40"/>
      <c r="Q40"/>
      <c r="R40"/>
    </row>
    <row r="41" spans="1:18" ht="15">
      <c r="A41" s="34"/>
      <c r="B41" s="21" t="s">
        <v>43</v>
      </c>
      <c r="C41" s="25"/>
      <c r="D41" s="20"/>
      <c r="E41" s="30">
        <v>0</v>
      </c>
      <c r="F41" s="30"/>
      <c r="G41" s="30"/>
      <c r="H41"/>
      <c r="I41"/>
      <c r="J41"/>
      <c r="K41"/>
      <c r="L41"/>
      <c r="M41"/>
      <c r="N41"/>
      <c r="O41"/>
      <c r="P41"/>
      <c r="Q41"/>
      <c r="R41"/>
    </row>
    <row r="42" spans="1:18" ht="15">
      <c r="A42" s="27" t="s">
        <v>162</v>
      </c>
      <c r="B42" s="15"/>
      <c r="C42" s="16"/>
      <c r="D42" s="17"/>
      <c r="E42" s="11"/>
      <c r="F42" s="11"/>
      <c r="G42" s="11"/>
      <c r="H42"/>
      <c r="I42"/>
      <c r="J42"/>
      <c r="K42"/>
      <c r="L42"/>
      <c r="M42"/>
      <c r="N42"/>
      <c r="O42"/>
      <c r="P42"/>
      <c r="Q42"/>
      <c r="R42"/>
    </row>
    <row r="43" spans="1:18" ht="15">
      <c r="A43" s="61"/>
      <c r="B43" s="21" t="s">
        <v>45</v>
      </c>
      <c r="C43" s="25"/>
      <c r="D43" s="20"/>
      <c r="E43" s="30">
        <v>25000000</v>
      </c>
      <c r="F43" s="30">
        <v>25000000</v>
      </c>
      <c r="G43" s="30">
        <v>25000000</v>
      </c>
      <c r="H43"/>
      <c r="I43"/>
      <c r="J43"/>
      <c r="K43"/>
      <c r="L43"/>
      <c r="M43"/>
      <c r="N43"/>
      <c r="O43"/>
      <c r="P43"/>
      <c r="Q43"/>
      <c r="R43"/>
    </row>
    <row r="44" spans="1:18" ht="15">
      <c r="A44" s="37"/>
      <c r="B44" s="38" t="s">
        <v>109</v>
      </c>
      <c r="C44" s="38"/>
      <c r="D44" s="36"/>
      <c r="E44" s="39">
        <f>SUM(E16:E43)</f>
        <v>418794798</v>
      </c>
      <c r="F44" s="39">
        <f>SUM(F16:F43)</f>
        <v>420488785.98</v>
      </c>
      <c r="G44" s="39">
        <f>SUM(G16:G43)</f>
        <v>437995015.83979994</v>
      </c>
      <c r="H44"/>
      <c r="I44"/>
      <c r="J44"/>
      <c r="K44"/>
      <c r="L44"/>
      <c r="M44"/>
      <c r="N44"/>
      <c r="O44"/>
      <c r="P44"/>
      <c r="Q44"/>
      <c r="R44"/>
    </row>
    <row r="45" spans="1:18" ht="15">
      <c r="A45" s="7" t="s">
        <v>67</v>
      </c>
      <c r="B45" s="62" t="s">
        <v>68</v>
      </c>
      <c r="C45" s="45"/>
      <c r="D45" s="46"/>
      <c r="E45" s="40"/>
      <c r="F45" s="40"/>
      <c r="G45" s="40"/>
      <c r="H45"/>
      <c r="I45"/>
      <c r="J45"/>
      <c r="K45"/>
      <c r="L45"/>
      <c r="M45"/>
      <c r="N45"/>
      <c r="O45"/>
      <c r="P45"/>
      <c r="Q45"/>
      <c r="R45"/>
    </row>
    <row r="46" spans="1:18" ht="15">
      <c r="A46" s="27" t="s">
        <v>71</v>
      </c>
      <c r="B46" s="15" t="s">
        <v>72</v>
      </c>
      <c r="C46" s="16"/>
      <c r="D46" s="17"/>
      <c r="E46" s="63"/>
      <c r="F46" s="63"/>
      <c r="G46" s="63"/>
      <c r="H46"/>
      <c r="I46"/>
      <c r="J46"/>
      <c r="K46"/>
      <c r="L46"/>
      <c r="M46"/>
      <c r="N46"/>
      <c r="O46"/>
      <c r="P46"/>
      <c r="Q46"/>
      <c r="R46"/>
    </row>
    <row r="47" spans="1:18" ht="15">
      <c r="A47" s="61"/>
      <c r="B47" s="21" t="s">
        <v>73</v>
      </c>
      <c r="C47" s="25"/>
      <c r="D47" s="20"/>
      <c r="E47" s="90">
        <v>-2500000</v>
      </c>
      <c r="F47" s="90"/>
      <c r="G47" s="90"/>
      <c r="H47"/>
      <c r="I47"/>
      <c r="J47"/>
      <c r="K47"/>
      <c r="L47"/>
      <c r="M47"/>
      <c r="N47"/>
      <c r="O47"/>
      <c r="P47"/>
      <c r="Q47"/>
      <c r="R47"/>
    </row>
    <row r="48" spans="1:18" ht="15">
      <c r="A48" s="27" t="s">
        <v>76</v>
      </c>
      <c r="B48" s="15" t="s">
        <v>77</v>
      </c>
      <c r="C48" s="16"/>
      <c r="D48" s="17"/>
      <c r="E48" s="11"/>
      <c r="F48" s="11"/>
      <c r="G48" s="11"/>
      <c r="H48"/>
      <c r="I48"/>
      <c r="J48"/>
      <c r="K48"/>
      <c r="L48"/>
      <c r="M48"/>
      <c r="N48"/>
      <c r="O48"/>
      <c r="P48"/>
      <c r="Q48"/>
      <c r="R48"/>
    </row>
    <row r="49" spans="1:18" ht="15">
      <c r="A49" s="65"/>
      <c r="B49" s="21" t="s">
        <v>81</v>
      </c>
      <c r="C49" s="25"/>
      <c r="D49" s="20"/>
      <c r="E49" s="89">
        <f>2000000/12</f>
        <v>166666.66666666666</v>
      </c>
      <c r="F49" s="89"/>
      <c r="G49" s="89"/>
      <c r="H49"/>
      <c r="I49"/>
      <c r="J49"/>
      <c r="K49"/>
      <c r="L49"/>
      <c r="M49"/>
      <c r="N49"/>
      <c r="O49"/>
      <c r="P49"/>
      <c r="Q49"/>
      <c r="R49"/>
    </row>
    <row r="50" spans="1:18" ht="15">
      <c r="A50" s="37"/>
      <c r="B50" s="38" t="s">
        <v>109</v>
      </c>
      <c r="C50" s="38"/>
      <c r="D50" s="36"/>
      <c r="E50" s="88"/>
      <c r="F50" s="88"/>
      <c r="G50" s="88"/>
      <c r="H50"/>
      <c r="I50"/>
      <c r="J50"/>
      <c r="K50"/>
      <c r="L50"/>
      <c r="M50"/>
      <c r="N50"/>
      <c r="O50"/>
      <c r="P50"/>
      <c r="Q50"/>
      <c r="R50"/>
    </row>
    <row r="51" spans="1:18" ht="15">
      <c r="A51" s="44" t="s">
        <v>83</v>
      </c>
      <c r="B51" s="4" t="s">
        <v>84</v>
      </c>
      <c r="C51" s="45"/>
      <c r="D51" s="46"/>
      <c r="E51" s="67"/>
      <c r="F51" s="67"/>
      <c r="G51" s="67"/>
      <c r="H51"/>
      <c r="I51"/>
      <c r="J51"/>
      <c r="K51"/>
      <c r="L51"/>
      <c r="M51"/>
      <c r="N51"/>
      <c r="O51"/>
      <c r="P51"/>
      <c r="Q51"/>
      <c r="R51"/>
    </row>
    <row r="52" spans="1:18" ht="15">
      <c r="A52" s="68"/>
      <c r="B52" s="69"/>
      <c r="C52" s="70"/>
      <c r="D52" s="71"/>
      <c r="E52" s="73"/>
      <c r="F52" s="73"/>
      <c r="G52" s="73"/>
      <c r="H52"/>
      <c r="I52"/>
      <c r="J52"/>
      <c r="K52"/>
      <c r="L52"/>
      <c r="M52"/>
      <c r="N52"/>
      <c r="O52"/>
      <c r="P52"/>
      <c r="Q52"/>
      <c r="R52"/>
    </row>
    <row r="53" spans="1:18" ht="15">
      <c r="A53" s="37"/>
      <c r="B53" s="38" t="s">
        <v>109</v>
      </c>
      <c r="C53" s="38"/>
      <c r="D53" s="36"/>
      <c r="E53" s="39"/>
      <c r="F53" s="39"/>
      <c r="G53" s="39"/>
      <c r="H53"/>
      <c r="I53"/>
      <c r="J53"/>
      <c r="K53"/>
      <c r="L53"/>
      <c r="M53"/>
      <c r="N53"/>
      <c r="O53"/>
      <c r="P53"/>
      <c r="Q53"/>
      <c r="R53"/>
    </row>
    <row r="54" spans="1:18" ht="15">
      <c r="A54" s="7" t="s">
        <v>85</v>
      </c>
      <c r="B54" s="8" t="s">
        <v>86</v>
      </c>
      <c r="C54" s="9"/>
      <c r="D54" s="10"/>
      <c r="E54" s="67"/>
      <c r="F54" s="67"/>
      <c r="G54" s="67"/>
      <c r="H54"/>
      <c r="I54"/>
      <c r="J54"/>
      <c r="K54"/>
      <c r="L54"/>
      <c r="M54"/>
      <c r="N54"/>
      <c r="O54"/>
      <c r="P54"/>
      <c r="Q54"/>
      <c r="R54"/>
    </row>
    <row r="55" spans="1:18" ht="15">
      <c r="A55" s="27" t="s">
        <v>97</v>
      </c>
      <c r="B55" s="15" t="s">
        <v>98</v>
      </c>
      <c r="C55" s="16"/>
      <c r="D55" s="17"/>
      <c r="E55" s="32"/>
      <c r="F55" s="32"/>
      <c r="G55" s="32"/>
      <c r="H55"/>
      <c r="I55"/>
      <c r="J55"/>
      <c r="K55"/>
      <c r="L55"/>
      <c r="M55"/>
      <c r="N55"/>
      <c r="O55"/>
      <c r="P55"/>
      <c r="Q55"/>
      <c r="R55"/>
    </row>
    <row r="56" spans="1:18" ht="15">
      <c r="A56" s="59"/>
      <c r="B56" s="21" t="s">
        <v>100</v>
      </c>
      <c r="C56" s="25"/>
      <c r="D56" s="20"/>
      <c r="E56" s="30">
        <v>3065745</v>
      </c>
      <c r="F56" s="22">
        <f>(E56*0.01)+E56</f>
        <v>3096402.45</v>
      </c>
      <c r="G56" s="22">
        <f>(F56*0.01)+F56</f>
        <v>3127366.4745</v>
      </c>
      <c r="H56"/>
      <c r="I56"/>
      <c r="J56"/>
      <c r="K56"/>
      <c r="L56"/>
      <c r="M56"/>
      <c r="N56"/>
      <c r="O56"/>
      <c r="P56"/>
      <c r="Q56"/>
      <c r="R56"/>
    </row>
    <row r="57" spans="1:18" ht="15">
      <c r="A57" s="37"/>
      <c r="B57" s="38" t="s">
        <v>109</v>
      </c>
      <c r="C57" s="38"/>
      <c r="D57" s="36"/>
      <c r="E57" s="39">
        <f>SUM(E55:E56)</f>
        <v>3065745</v>
      </c>
      <c r="F57" s="39">
        <f>SUM(F55:F56)</f>
        <v>3096402.45</v>
      </c>
      <c r="G57" s="39">
        <f>SUM(G55:G56)</f>
        <v>3127366.4745</v>
      </c>
      <c r="H57"/>
      <c r="I57"/>
      <c r="J57"/>
      <c r="K57"/>
      <c r="L57"/>
      <c r="M57"/>
      <c r="N57"/>
      <c r="O57"/>
      <c r="P57"/>
      <c r="Q57"/>
      <c r="R57"/>
    </row>
    <row r="58" spans="1:18" ht="15">
      <c r="A58" s="13"/>
      <c r="B58" s="75"/>
      <c r="C58" s="75"/>
      <c r="D58" s="75"/>
      <c r="E58" s="75"/>
      <c r="F58" s="75"/>
      <c r="G58" s="75"/>
      <c r="H58"/>
      <c r="I58"/>
      <c r="J58"/>
      <c r="K58"/>
      <c r="L58"/>
      <c r="M58"/>
      <c r="N58"/>
      <c r="O58"/>
      <c r="P58"/>
      <c r="Q58"/>
      <c r="R58"/>
    </row>
    <row r="59" spans="1:18" ht="15">
      <c r="A59" s="13"/>
      <c r="B59" s="76" t="s">
        <v>141</v>
      </c>
      <c r="C59" s="76"/>
      <c r="D59" s="75"/>
      <c r="E59" s="39">
        <f>E13</f>
        <v>404174868</v>
      </c>
      <c r="F59" s="39">
        <f>F13</f>
        <v>452675852.15999997</v>
      </c>
      <c r="G59" s="39">
        <f>G13</f>
        <v>506996954.41919994</v>
      </c>
      <c r="H59"/>
      <c r="I59"/>
      <c r="J59"/>
      <c r="K59"/>
      <c r="L59"/>
      <c r="M59"/>
      <c r="N59"/>
      <c r="O59"/>
      <c r="P59"/>
      <c r="Q59"/>
      <c r="R59"/>
    </row>
    <row r="60" spans="1:18" ht="15">
      <c r="A60" s="49"/>
      <c r="B60" s="33"/>
      <c r="C60" s="78"/>
      <c r="D60" s="33"/>
      <c r="E60" s="33"/>
      <c r="F60" s="33"/>
      <c r="G60" s="33"/>
      <c r="H60"/>
      <c r="I60"/>
      <c r="J60"/>
      <c r="K60"/>
      <c r="L60"/>
      <c r="M60"/>
      <c r="N60"/>
      <c r="O60"/>
      <c r="P60"/>
      <c r="Q60"/>
      <c r="R60"/>
    </row>
    <row r="61" spans="1:18" ht="15">
      <c r="A61" s="49"/>
      <c r="B61" s="78" t="s">
        <v>180</v>
      </c>
      <c r="C61" s="78"/>
      <c r="D61" s="33"/>
      <c r="E61" s="77">
        <f>E44+E50+E53+E57</f>
        <v>421860543</v>
      </c>
      <c r="F61" s="77">
        <f>F44+F50+F53+F57</f>
        <v>423585188.43</v>
      </c>
      <c r="G61" s="77">
        <f>G44+G50+G53+G57</f>
        <v>441122382.31429994</v>
      </c>
      <c r="H61"/>
      <c r="I61"/>
      <c r="J61"/>
      <c r="K61"/>
      <c r="L61"/>
      <c r="M61"/>
      <c r="N61"/>
      <c r="O61"/>
      <c r="P61"/>
      <c r="Q61"/>
      <c r="R61"/>
    </row>
    <row r="62" spans="1:18" ht="15">
      <c r="A62" s="91"/>
      <c r="B62" s="42"/>
      <c r="C62" s="42"/>
      <c r="D62" s="41"/>
      <c r="E62" s="92"/>
      <c r="F62" s="92"/>
      <c r="G62" s="92"/>
      <c r="H62"/>
      <c r="I62"/>
      <c r="J62"/>
      <c r="K62"/>
      <c r="L62"/>
      <c r="M62"/>
      <c r="N62"/>
      <c r="O62"/>
      <c r="P62"/>
      <c r="Q62"/>
      <c r="R62"/>
    </row>
    <row r="63" spans="1:18" ht="15">
      <c r="A63" s="49"/>
      <c r="B63" s="76" t="s">
        <v>179</v>
      </c>
      <c r="C63" s="78"/>
      <c r="D63" s="33"/>
      <c r="E63" s="77"/>
      <c r="F63" s="77"/>
      <c r="G63" s="77"/>
      <c r="H63"/>
      <c r="I63"/>
      <c r="J63"/>
      <c r="K63"/>
      <c r="L63"/>
      <c r="M63"/>
      <c r="N63"/>
      <c r="O63"/>
      <c r="P63"/>
      <c r="Q63"/>
      <c r="R63"/>
    </row>
    <row r="64" spans="1:18" ht="15">
      <c r="A64" s="49"/>
      <c r="B64" s="33"/>
      <c r="C64" s="33"/>
      <c r="D64" s="33"/>
      <c r="E64" s="33"/>
      <c r="F64" s="33"/>
      <c r="G64" s="33"/>
      <c r="H64"/>
      <c r="I64"/>
      <c r="J64"/>
      <c r="K64"/>
      <c r="L64"/>
      <c r="M64"/>
      <c r="N64"/>
      <c r="O64"/>
      <c r="P64"/>
      <c r="Q64"/>
      <c r="R64"/>
    </row>
    <row r="65" spans="1:18" ht="15">
      <c r="A65" s="79" t="s">
        <v>142</v>
      </c>
      <c r="B65" s="25"/>
      <c r="C65" s="25"/>
      <c r="D65" s="25"/>
      <c r="E65" s="80">
        <f>E59-E61</f>
        <v>-17685675</v>
      </c>
      <c r="F65" s="80">
        <f>F59-F61</f>
        <v>29090663.72999996</v>
      </c>
      <c r="G65" s="80">
        <f>G59-G61</f>
        <v>65874572.1049</v>
      </c>
      <c r="H65"/>
      <c r="I65"/>
      <c r="J65"/>
      <c r="K65"/>
      <c r="L65"/>
      <c r="M65"/>
      <c r="N65"/>
      <c r="O65"/>
      <c r="P65"/>
      <c r="Q65"/>
      <c r="R65"/>
    </row>
  </sheetData>
  <printOptions horizontalCentered="1" verticalCentered="1"/>
  <pageMargins left="0.76" right="0" top="0" bottom="0" header="0" footer="0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1998-11-30T07:33:14Z</cp:lastPrinted>
  <dcterms:created xsi:type="dcterms:W3CDTF">1998-09-23T13:55:14Z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