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95" windowHeight="6960" tabRatio="737" activeTab="0"/>
  </bookViews>
  <sheets>
    <sheet name="RSA I.D'ESTE" sheetId="1" r:id="rId1"/>
    <sheet name="RSA L.BIANCHI" sheetId="2" r:id="rId2"/>
    <sheet name="Fisioterapia" sheetId="3" r:id="rId3"/>
    <sheet name="Ristorazione" sheetId="4" r:id="rId4"/>
    <sheet name="SAD" sheetId="5" r:id="rId5"/>
    <sheet name="CDI" sheetId="6" r:id="rId6"/>
    <sheet name="Area Integr.Sociale" sheetId="7" r:id="rId7"/>
    <sheet name="TRASPORTI" sheetId="8" r:id="rId8"/>
    <sheet name="AREA MINORI" sheetId="9" r:id="rId9"/>
    <sheet name="Informa Giovani" sheetId="10" r:id="rId10"/>
    <sheet name="Studentato" sheetId="11" r:id="rId11"/>
    <sheet name="Servizio Affidi" sheetId="12" r:id="rId12"/>
    <sheet name="C.A.H." sheetId="13" r:id="rId13"/>
    <sheet name="COMUNI" sheetId="14" r:id="rId14"/>
  </sheets>
  <definedNames>
    <definedName name="_xlnm.Print_Area" localSheetId="6">'Area Integr.Sociale'!$A$1:$G$114</definedName>
    <definedName name="_xlnm.Print_Area" localSheetId="8">'AREA MINORI'!$A$1:$G$113</definedName>
    <definedName name="_xlnm.Print_Area" localSheetId="12">'C.A.H.'!$A$1:$H$108</definedName>
    <definedName name="_xlnm.Print_Area" localSheetId="5">'CDI'!$A$1:$G$103</definedName>
    <definedName name="_xlnm.Print_Area" localSheetId="13">'COMUNI'!$A$1:$H$129</definedName>
    <definedName name="_xlnm.Print_Area" localSheetId="2">'Fisioterapia'!$A$1:$H$111</definedName>
    <definedName name="_xlnm.Print_Area" localSheetId="9">'Informa Giovani'!$A$1:$H$104</definedName>
    <definedName name="_xlnm.Print_Area" localSheetId="3">'Ristorazione'!$A$1:$G$100</definedName>
    <definedName name="_xlnm.Print_Area" localSheetId="0">'RSA I.D''ESTE'!$A$1:$H$142</definedName>
    <definedName name="_xlnm.Print_Area" localSheetId="1">'RSA L.BIANCHI'!$A$1:$I$122</definedName>
    <definedName name="_xlnm.Print_Area" localSheetId="4">'SAD'!$A$1:$H$114</definedName>
    <definedName name="_xlnm.Print_Area" localSheetId="11">'Servizio Affidi'!$A$1:$H$94</definedName>
    <definedName name="_xlnm.Print_Area" localSheetId="10">'Studentato'!$A$1:$H$103</definedName>
    <definedName name="_xlnm.Print_Area" localSheetId="7">'TRASPORTI'!$A$1:$H$100</definedName>
  </definedNames>
  <calcPr fullCalcOnLoad="1"/>
</workbook>
</file>

<file path=xl/sharedStrings.xml><?xml version="1.0" encoding="utf-8"?>
<sst xmlns="http://schemas.openxmlformats.org/spreadsheetml/2006/main" count="3005" uniqueCount="242">
  <si>
    <t xml:space="preserve"> </t>
  </si>
  <si>
    <t>CONTO ECONOMICO</t>
  </si>
  <si>
    <t>DESCRIZIONE</t>
  </si>
  <si>
    <t>PARZIALI</t>
  </si>
  <si>
    <t>TOTALI</t>
  </si>
  <si>
    <t>A) Valore della produzione:</t>
  </si>
  <si>
    <t xml:space="preserve">1)  </t>
  </si>
  <si>
    <t>ricavi delle vendite e delle prestazioni;</t>
  </si>
  <si>
    <t>2)</t>
  </si>
  <si>
    <t>variazioni delle rimanenze di prodotti in</t>
  </si>
  <si>
    <t>corso di lavorazione, semilavorati e finiti;</t>
  </si>
  <si>
    <t>3)</t>
  </si>
  <si>
    <t>variazione dei lavori in corso su ordinazione;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</si>
  <si>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</si>
  <si>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</si>
  <si>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</si>
  <si>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</si>
  <si>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</si>
  <si>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</si>
  <si>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</si>
  <si>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</si>
  <si>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</si>
  <si>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</si>
  <si>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</si>
  <si>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</si>
  <si>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</si>
  <si>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e - altri costi;  contributi associativi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</si>
  <si>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</si>
  <si>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</si>
  <si>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</si>
  <si>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</si>
  <si>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</si>
  <si>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</si>
  <si>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</si>
  <si>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</si>
  <si>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</si>
  <si>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</si>
  <si>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</si>
  <si>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</si>
  <si>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</si>
  <si>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</si>
  <si>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contributi A.S.L.</t>
  </si>
  <si>
    <t>* acquisto farmaci</t>
  </si>
  <si>
    <t>rivalsa rette</t>
  </si>
  <si>
    <t>altri proventi vari</t>
  </si>
  <si>
    <t>* materiali di pulizia</t>
  </si>
  <si>
    <t>* teleriscaldamento</t>
  </si>
  <si>
    <t>* abbonamenti testi, riviste e quot.</t>
  </si>
  <si>
    <t>* carburanti e lubrificanti</t>
  </si>
  <si>
    <t>15) Proventi da partecipazioni</t>
  </si>
  <si>
    <t>16) Altri proventi finanziari</t>
  </si>
  <si>
    <t>17) Interessi ed altri oneri finanziari</t>
  </si>
  <si>
    <t>C) Proventi e oneri finanziari</t>
  </si>
  <si>
    <t>20) Proventi straordinari</t>
  </si>
  <si>
    <t>21) Oneri straordinari</t>
  </si>
  <si>
    <t>UTILE (PERDITA) del SERVIZIO</t>
  </si>
  <si>
    <t>* acquisto mat. medico per assist. farm. san.</t>
  </si>
  <si>
    <t>* acquisto materiali di consumo vari</t>
  </si>
  <si>
    <t>* locazione sollevatori</t>
  </si>
  <si>
    <t>* acquisto generi alimentari</t>
  </si>
  <si>
    <t>SERVIZIO TRASPORTI</t>
  </si>
  <si>
    <t>* imposta di bollo</t>
  </si>
  <si>
    <t>* altre imposte e tasse</t>
  </si>
  <si>
    <t>AREA MINORI</t>
  </si>
  <si>
    <t>R.S.A. ISABELLA D'ESTE</t>
  </si>
  <si>
    <t>* acquisto presidi sanitari</t>
  </si>
  <si>
    <t>* abbuoni e arrotondamenti passivi</t>
  </si>
  <si>
    <t>* tassa circolazione automezzi</t>
  </si>
  <si>
    <t>R.S.A. LUIGI BIANCHI</t>
  </si>
  <si>
    <t>RISTORAZIONE</t>
  </si>
  <si>
    <t>* Collaborazioni Coordinate a Progetto</t>
  </si>
  <si>
    <t>* tariffa rifiuti speciali</t>
  </si>
  <si>
    <t>FISIOTERAPIA</t>
  </si>
  <si>
    <t>contributo in c/capitale</t>
  </si>
  <si>
    <t>* tassa igiene ambientale</t>
  </si>
  <si>
    <t xml:space="preserve"> D) Rettifiche di valore di attività finanziarie</t>
  </si>
  <si>
    <t xml:space="preserve"> E) Proventi e oneri straordinari</t>
  </si>
  <si>
    <t>* Trasporti ospiti con ambulanza</t>
  </si>
  <si>
    <t>* Energia elettrica</t>
  </si>
  <si>
    <t>* Acqua e gas</t>
  </si>
  <si>
    <t>* Manutenzioni e riparazioni varie</t>
  </si>
  <si>
    <t>* Spese di formazione e aggiornamento</t>
  </si>
  <si>
    <t>* Spese parco auto (manutenz., assicuraz.)</t>
  </si>
  <si>
    <t>* Spese telefonia fissa</t>
  </si>
  <si>
    <t>* Spese postali e di affrancatura</t>
  </si>
  <si>
    <t xml:space="preserve">* Assicurazioni </t>
  </si>
  <si>
    <t>* Prestazioni occasionali non sanitarie</t>
  </si>
  <si>
    <t>* Prestazioni occasionali sanitarie</t>
  </si>
  <si>
    <t>* Rimborso spese ospiti</t>
  </si>
  <si>
    <t>* Spese di vigilianza</t>
  </si>
  <si>
    <t>* Appalto lavanderia biancheria piana e vestiario dip.</t>
  </si>
  <si>
    <t>* Appalto servizio di pulizia</t>
  </si>
  <si>
    <t>* Compensi medici RSA</t>
  </si>
  <si>
    <t>* Compensi podologa/pedicure</t>
  </si>
  <si>
    <t>* Compensi infermiera professionale</t>
  </si>
  <si>
    <t>* Compensi terapisti della riabilitazione</t>
  </si>
  <si>
    <t>* Compensi medici specialistici</t>
  </si>
  <si>
    <t>* Appalto servizio assistenza geriatrica e pulizia RSA/SAD</t>
  </si>
  <si>
    <t>* Acquisto pasti da CdR Ristorazione</t>
  </si>
  <si>
    <t>* Servizio religioso</t>
  </si>
  <si>
    <t>* Imposta di bollo</t>
  </si>
  <si>
    <t>* Altre imposte e tasse</t>
  </si>
  <si>
    <t>* Tassa igiene ambientale</t>
  </si>
  <si>
    <t>* Abbonamenti testi, riviste e quot.</t>
  </si>
  <si>
    <t xml:space="preserve">TOTALE PERDITA </t>
  </si>
  <si>
    <t>Proventi fisioterapia</t>
  </si>
  <si>
    <t>Erogazione pasti ad altri CdR</t>
  </si>
  <si>
    <t>* Acquisto generi alimentari</t>
  </si>
  <si>
    <t>* Acquisto materiali di consumo vari</t>
  </si>
  <si>
    <t>* Teleriscaldamento</t>
  </si>
  <si>
    <t xml:space="preserve">Ricavi Comuni in percentuale da ripartire </t>
  </si>
  <si>
    <t xml:space="preserve">Costi Comuni in percentuale da ripartire </t>
  </si>
  <si>
    <t>S.A.D e VOUCHER</t>
  </si>
  <si>
    <t>Tariffe SAD</t>
  </si>
  <si>
    <t>Prestazioni domiciliari voucher</t>
  </si>
  <si>
    <t>Contributi Regione</t>
  </si>
  <si>
    <t>* Cancelleria</t>
  </si>
  <si>
    <t>* Carburanti e lubrificanti</t>
  </si>
  <si>
    <t>* Spese parco auto (manutenzioni,assicuraz.)</t>
  </si>
  <si>
    <t xml:space="preserve">* Spese telefonia fissa </t>
  </si>
  <si>
    <t>* Confezionamento e consegna pasti</t>
  </si>
  <si>
    <t>* Appalto servizio assistenza domiciliare integrata socio-sanit.</t>
  </si>
  <si>
    <t>* Locazione sollevatori</t>
  </si>
  <si>
    <t>* Imposte di bollo</t>
  </si>
  <si>
    <t>* Costi indeducibili</t>
  </si>
  <si>
    <t>* Tasse circolazione autovetture</t>
  </si>
  <si>
    <t>CENTRO DIURNO INTEGRATO</t>
  </si>
  <si>
    <t>Tariffe CDI</t>
  </si>
  <si>
    <t>Contributi A.S.L.</t>
  </si>
  <si>
    <t>* Spese manutenzioni varie</t>
  </si>
  <si>
    <t>* Spese per soggiorni estivi e attività socio-ricreative animazione</t>
  </si>
  <si>
    <t>* Noleggio strutture e attrezzature</t>
  </si>
  <si>
    <t>Proventi Agenzia di Locazione Temporanea</t>
  </si>
  <si>
    <t>Proventi Pensionato Sociale</t>
  </si>
  <si>
    <t>Contributo Piano di Zona</t>
  </si>
  <si>
    <t>* Assicurazioni</t>
  </si>
  <si>
    <t>* Inps e Inail Collaborazioni Coordinate a Progetto</t>
  </si>
  <si>
    <t>* Affitti e locazioni</t>
  </si>
  <si>
    <t>* Spese condominiali</t>
  </si>
  <si>
    <t>* Imposta di registro</t>
  </si>
  <si>
    <t>AREA INTEGRAZIONE SOCIALE</t>
  </si>
  <si>
    <t>Proventi Trasporto utenti</t>
  </si>
  <si>
    <t>* Acquisto cancelleria</t>
  </si>
  <si>
    <t>* Spese parco auto (manutenzioni, assicurazioni)</t>
  </si>
  <si>
    <t>* Tassa circolazione autovetture</t>
  </si>
  <si>
    <t>Proventi Servizio assistenza domiciliare minori</t>
  </si>
  <si>
    <t>Proventi Centro Aggregazione Giovanile</t>
  </si>
  <si>
    <t>* Acquisto materiale di consumo</t>
  </si>
  <si>
    <t>* Spese per manutenzioni varie</t>
  </si>
  <si>
    <t>* Appalto assistenza C.A.G.</t>
  </si>
  <si>
    <t>* Appalto assistenza Servizio Domiciliare Minori</t>
  </si>
  <si>
    <t>* Abbonamenti a testi e riviste</t>
  </si>
  <si>
    <t>Proventi Informa Giovani</t>
  </si>
  <si>
    <t>SERVIZIO AFFIDI</t>
  </si>
  <si>
    <t>* Contributo Piano di Zona</t>
  </si>
  <si>
    <t>COMUNITA' ALLOGGIO HANDICAP</t>
  </si>
  <si>
    <t>TOTALE UTILE</t>
  </si>
  <si>
    <t xml:space="preserve">* </t>
  </si>
  <si>
    <t>Rette comunità alloggio handicap</t>
  </si>
  <si>
    <t>* Contributi A.S.L.</t>
  </si>
  <si>
    <t>* Altri proventi</t>
  </si>
  <si>
    <t>* Appalto assistenza comunità alloggio handicap</t>
  </si>
  <si>
    <t>COMUNI</t>
  </si>
  <si>
    <t xml:space="preserve">* Compenso agli Amministratori </t>
  </si>
  <si>
    <t>* Inps e Inal Amministratori</t>
  </si>
  <si>
    <t>* Spese telefonia fissa e mobile</t>
  </si>
  <si>
    <t>* Spese per trasferte e rimborsi chilometrici</t>
  </si>
  <si>
    <t>* Spese di rappresentanza</t>
  </si>
  <si>
    <t>* Spese di marketing e pubblicità</t>
  </si>
  <si>
    <t>* Consulenze amministrative, fiscali e lavoro</t>
  </si>
  <si>
    <t>* Consulenze tecniche</t>
  </si>
  <si>
    <t>* Assistenza informatica</t>
  </si>
  <si>
    <t>* Compenso ai revisori</t>
  </si>
  <si>
    <t>* Tassa concessione governative</t>
  </si>
  <si>
    <t>* Imposta Comunale Immobili - ICI</t>
  </si>
  <si>
    <t>* Contributi ad associazioni</t>
  </si>
  <si>
    <t>RISULTATO PRIMA DELLE IMPOSTE</t>
  </si>
  <si>
    <t>22) imposte sul reddito dell'esercizio correnti, differite e anticipate</t>
  </si>
  <si>
    <t xml:space="preserve">      * IRAP</t>
  </si>
  <si>
    <t xml:space="preserve">      * IRES</t>
  </si>
  <si>
    <t>* Spese viaggi, trasferte,pedaggi autostradali e rimb. km.</t>
  </si>
  <si>
    <t>* Spese formazione</t>
  </si>
  <si>
    <t>* cancelleria</t>
  </si>
  <si>
    <t>* energia elettrica</t>
  </si>
  <si>
    <t>* acqua e gas</t>
  </si>
  <si>
    <t>* Spese viaggi e trasferte</t>
  </si>
  <si>
    <t>* Abbonamenti e riviste</t>
  </si>
  <si>
    <t xml:space="preserve">* Appalto servizio assistenza geriatrica e pulizia </t>
  </si>
  <si>
    <t>* Servizio assistenza geriatrica Alzheimer</t>
  </si>
  <si>
    <t>* Trasporti</t>
  </si>
  <si>
    <t>Proventi vari per servizi</t>
  </si>
  <si>
    <t>Contributo Ente Proprietario</t>
  </si>
  <si>
    <t>* Appalto lavanderia biancheria piana e vestiario personale dip.</t>
  </si>
  <si>
    <t>* Appalto gestione notturna dormirìtorio</t>
  </si>
  <si>
    <t xml:space="preserve">* Noleggio strutture e attrezzature </t>
  </si>
  <si>
    <t>* Compenso Assistente Sociale e Psicologo</t>
  </si>
  <si>
    <t>* Inps e Inail Collaborazioni a Progetto</t>
  </si>
  <si>
    <t>* costi indeducibili</t>
  </si>
  <si>
    <t>* Contributo Ente Proprietario</t>
  </si>
  <si>
    <t>* Altri proventi vari</t>
  </si>
  <si>
    <t>* Spese canone e aggiornamenti softweare</t>
  </si>
  <si>
    <t>* Spese rilegature bilanci</t>
  </si>
  <si>
    <t>* Spese gare d'appalto</t>
  </si>
  <si>
    <t>* Spese lavanderia divise personale dipendente</t>
  </si>
  <si>
    <t>* interessi di mora e sanzioni</t>
  </si>
  <si>
    <t>BILANCIO DELL'ESERCIZIO CHIUSO AL 31 DICEMBRE 2008</t>
  </si>
  <si>
    <t>premio qualità A.S.L.</t>
  </si>
  <si>
    <t>* ossigeno</t>
  </si>
  <si>
    <t>* acquisti per attività di animazione</t>
  </si>
  <si>
    <t>* Rimborso a piè di lista personale</t>
  </si>
  <si>
    <t>* Spese divise personale</t>
  </si>
  <si>
    <t>* Spese per attività socio-ricreative</t>
  </si>
  <si>
    <t>* sicurezza 81/2008</t>
  </si>
  <si>
    <t xml:space="preserve">premio qualità A.S.L. </t>
  </si>
  <si>
    <t>* Spese pedaggi autostradali</t>
  </si>
  <si>
    <t>* Spese assistenza informatica</t>
  </si>
  <si>
    <t>* Spese pubblicità</t>
  </si>
  <si>
    <t>* Sicurezza Legge 81/2008</t>
  </si>
  <si>
    <t>* Compensi fisioterapisti a domicilio</t>
  </si>
  <si>
    <t>* Appalto pulizia</t>
  </si>
  <si>
    <t>* Trasporti c/terzi</t>
  </si>
  <si>
    <t>* Spese manutenzione e riparazioni varie</t>
  </si>
  <si>
    <t>* Acquisto per attività di animazione</t>
  </si>
  <si>
    <t>* Appalto pulizie</t>
  </si>
  <si>
    <t>* Spese di formazione</t>
  </si>
  <si>
    <t>* Spese attività socio-ricreative</t>
  </si>
  <si>
    <t xml:space="preserve">* Spese pubblicità </t>
  </si>
  <si>
    <t xml:space="preserve">* Spese gestione servizio informagiovani </t>
  </si>
  <si>
    <t>* Quota associativa Provincia di Mantova</t>
  </si>
  <si>
    <t>* Diritti SIAE</t>
  </si>
  <si>
    <t xml:space="preserve">INFORMA GIOVANI </t>
  </si>
  <si>
    <t>STUDENTATO</t>
  </si>
  <si>
    <t>Proventi Studentato</t>
  </si>
  <si>
    <t>* Spese telefoniche</t>
  </si>
  <si>
    <t>* Prestazioni occasionali</t>
  </si>
  <si>
    <t>* Spese di vigilanza</t>
  </si>
  <si>
    <t>* Spese di pulizie</t>
  </si>
  <si>
    <t>* Spese di pubblicità</t>
  </si>
  <si>
    <t>* Contributi Piano di zona</t>
  </si>
  <si>
    <t>* Servizio assistenza geriatrica</t>
  </si>
  <si>
    <t>* Proventi Contratto di Servizio e affitti Farmacie Mantovane Srl</t>
  </si>
  <si>
    <t>* Altri ricavi personale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</si>
</sst>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[$€]\ #,##0.00;[Red]&quot;-&quot;[$€]\ #,##0.00"/>
    <numFmt numFmtId="181" formatCode="#,##0.00;[Red]#,##0.00"/>
    <numFmt numFmtId="182" formatCode="#,##0.00_ ;\-#,##0.00\ "/>
  </numFmts>
  <fonts count="26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sz val="11"/>
      <color indexed="8"/>
      <name val="Geneva"/>
      <family val="0"/>
    </font>
    <font>
      <sz val="12"/>
      <color indexed="8"/>
      <name val="Geneva"/>
      <family val="0"/>
    </font>
    <font>
      <b/>
      <sz val="20"/>
      <color indexed="8"/>
      <name val="Geneva"/>
      <family val="0"/>
    </font>
    <font>
      <sz val="20"/>
      <name val="Geneva"/>
      <family val="0"/>
    </font>
    <font>
      <b/>
      <sz val="14"/>
      <color indexed="8"/>
      <name val="Geneva"/>
      <family val="0"/>
    </font>
    <font>
      <sz val="14"/>
      <name val="Geneva"/>
      <family val="0"/>
    </font>
    <font>
      <sz val="11"/>
      <name val="Geneva"/>
      <family val="0"/>
    </font>
    <font>
      <sz val="10"/>
      <color indexed="8"/>
      <name val="Geneva"/>
      <family val="0"/>
    </font>
    <font>
      <b/>
      <sz val="14"/>
      <name val="Geneva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3" fontId="14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3" fontId="14" fillId="2" borderId="2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3" fontId="14" fillId="2" borderId="7" xfId="0" applyNumberFormat="1" applyFont="1" applyFill="1" applyBorder="1" applyAlignment="1" applyProtection="1">
      <alignment horizontal="center"/>
      <protection locked="0"/>
    </xf>
    <xf numFmtId="3" fontId="5" fillId="2" borderId="8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3" fontId="15" fillId="2" borderId="0" xfId="0" applyNumberFormat="1" applyFont="1" applyFill="1" applyBorder="1" applyAlignment="1" applyProtection="1">
      <alignment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3" fontId="15" fillId="2" borderId="1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9" fillId="2" borderId="12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/>
    </xf>
    <xf numFmtId="0" fontId="0" fillId="2" borderId="13" xfId="0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3" fontId="0" fillId="2" borderId="13" xfId="0" applyNumberForma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8" fillId="2" borderId="13" xfId="0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3" fontId="12" fillId="2" borderId="17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4" fontId="12" fillId="2" borderId="12" xfId="0" applyNumberFormat="1" applyFont="1" applyFill="1" applyBorder="1" applyAlignment="1" applyProtection="1">
      <alignment/>
      <protection locked="0"/>
    </xf>
    <xf numFmtId="4" fontId="13" fillId="2" borderId="12" xfId="0" applyNumberFormat="1" applyFont="1" applyFill="1" applyBorder="1" applyAlignment="1" applyProtection="1">
      <alignment/>
      <protection locked="0"/>
    </xf>
    <xf numFmtId="4" fontId="11" fillId="2" borderId="18" xfId="0" applyNumberFormat="1" applyFont="1" applyFill="1" applyBorder="1" applyAlignment="1" applyProtection="1">
      <alignment/>
      <protection locked="0"/>
    </xf>
    <xf numFmtId="4" fontId="11" fillId="2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4" fontId="17" fillId="2" borderId="12" xfId="0" applyNumberFormat="1" applyFont="1" applyFill="1" applyBorder="1" applyAlignment="1" applyProtection="1">
      <alignment/>
      <protection/>
    </xf>
    <xf numFmtId="4" fontId="17" fillId="2" borderId="18" xfId="0" applyNumberFormat="1" applyFont="1" applyFill="1" applyBorder="1" applyAlignment="1" applyProtection="1">
      <alignment/>
      <protection/>
    </xf>
    <xf numFmtId="4" fontId="17" fillId="2" borderId="12" xfId="0" applyNumberFormat="1" applyFont="1" applyFill="1" applyBorder="1" applyAlignment="1" applyProtection="1">
      <alignment/>
      <protection locked="0"/>
    </xf>
    <xf numFmtId="4" fontId="12" fillId="0" borderId="18" xfId="0" applyNumberFormat="1" applyFont="1" applyFill="1" applyBorder="1" applyAlignment="1" applyProtection="1">
      <alignment/>
      <protection locked="0"/>
    </xf>
    <xf numFmtId="4" fontId="16" fillId="2" borderId="12" xfId="0" applyNumberFormat="1" applyFont="1" applyFill="1" applyBorder="1" applyAlignment="1" applyProtection="1">
      <alignment/>
      <protection locked="0"/>
    </xf>
    <xf numFmtId="4" fontId="14" fillId="2" borderId="12" xfId="0" applyNumberFormat="1" applyFont="1" applyFill="1" applyBorder="1" applyAlignment="1" applyProtection="1">
      <alignment/>
      <protection locked="0"/>
    </xf>
    <xf numFmtId="4" fontId="0" fillId="2" borderId="0" xfId="0" applyNumberFormat="1" applyFill="1" applyBorder="1" applyAlignment="1">
      <alignment/>
    </xf>
    <xf numFmtId="4" fontId="17" fillId="0" borderId="12" xfId="0" applyNumberFormat="1" applyFont="1" applyFill="1" applyBorder="1" applyAlignment="1" applyProtection="1">
      <alignment/>
      <protection locked="0"/>
    </xf>
    <xf numFmtId="3" fontId="14" fillId="2" borderId="19" xfId="0" applyNumberFormat="1" applyFont="1" applyFill="1" applyBorder="1" applyAlignment="1" applyProtection="1">
      <alignment horizontal="center"/>
      <protection locked="0"/>
    </xf>
    <xf numFmtId="3" fontId="5" fillId="2" borderId="19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22" fillId="2" borderId="0" xfId="0" applyFont="1" applyFill="1" applyBorder="1" applyAlignment="1" applyProtection="1">
      <alignment horizontal="left"/>
      <protection locked="0"/>
    </xf>
    <xf numFmtId="4" fontId="23" fillId="2" borderId="11" xfId="0" applyNumberFormat="1" applyFont="1" applyFill="1" applyBorder="1" applyAlignment="1" applyProtection="1">
      <alignment/>
      <protection/>
    </xf>
    <xf numFmtId="4" fontId="23" fillId="2" borderId="12" xfId="0" applyNumberFormat="1" applyFont="1" applyFill="1" applyBorder="1" applyAlignment="1" applyProtection="1">
      <alignment/>
      <protection locked="0"/>
    </xf>
    <xf numFmtId="4" fontId="23" fillId="2" borderId="12" xfId="0" applyNumberFormat="1" applyFont="1" applyFill="1" applyBorder="1" applyAlignment="1" applyProtection="1">
      <alignment/>
      <protection/>
    </xf>
    <xf numFmtId="4" fontId="23" fillId="0" borderId="12" xfId="0" applyNumberFormat="1" applyFont="1" applyFill="1" applyBorder="1" applyAlignment="1" applyProtection="1">
      <alignment/>
      <protection locked="0"/>
    </xf>
    <xf numFmtId="4" fontId="24" fillId="2" borderId="12" xfId="0" applyNumberFormat="1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 locked="0"/>
    </xf>
    <xf numFmtId="4" fontId="23" fillId="2" borderId="18" xfId="0" applyNumberFormat="1" applyFont="1" applyFill="1" applyBorder="1" applyAlignment="1" applyProtection="1">
      <alignment/>
      <protection/>
    </xf>
    <xf numFmtId="4" fontId="23" fillId="2" borderId="18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23" fillId="0" borderId="18" xfId="0" applyNumberFormat="1" applyFont="1" applyFill="1" applyBorder="1" applyAlignment="1" applyProtection="1">
      <alignment/>
      <protection locked="0"/>
    </xf>
    <xf numFmtId="4" fontId="23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" fontId="23" fillId="2" borderId="0" xfId="0" applyNumberFormat="1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" fontId="24" fillId="2" borderId="13" xfId="0" applyNumberFormat="1" applyFont="1" applyFill="1" applyBorder="1" applyAlignment="1" applyProtection="1">
      <alignment/>
      <protection/>
    </xf>
    <xf numFmtId="3" fontId="24" fillId="2" borderId="13" xfId="0" applyNumberFormat="1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horizontal="left"/>
      <protection locked="0"/>
    </xf>
    <xf numFmtId="4" fontId="24" fillId="2" borderId="13" xfId="0" applyNumberFormat="1" applyFont="1" applyFill="1" applyBorder="1" applyAlignment="1" applyProtection="1">
      <alignment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4" fontId="24" fillId="2" borderId="0" xfId="0" applyNumberFormat="1" applyFont="1" applyFill="1" applyBorder="1" applyAlignment="1" applyProtection="1">
      <alignment/>
      <protection locked="0"/>
    </xf>
    <xf numFmtId="4" fontId="4" fillId="2" borderId="13" xfId="0" applyNumberFormat="1" applyFont="1" applyFill="1" applyBorder="1" applyAlignment="1" applyProtection="1">
      <alignment/>
      <protection locked="0"/>
    </xf>
    <xf numFmtId="4" fontId="4" fillId="2" borderId="12" xfId="0" applyNumberFormat="1" applyFont="1" applyFill="1" applyBorder="1" applyAlignment="1" applyProtection="1">
      <alignment/>
      <protection locked="0"/>
    </xf>
    <xf numFmtId="4" fontId="5" fillId="2" borderId="0" xfId="0" applyNumberFormat="1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4" fontId="23" fillId="2" borderId="20" xfId="0" applyNumberFormat="1" applyFont="1" applyFill="1" applyBorder="1" applyAlignment="1" applyProtection="1">
      <alignment/>
      <protection locked="0"/>
    </xf>
    <xf numFmtId="4" fontId="23" fillId="0" borderId="20" xfId="0" applyNumberFormat="1" applyFont="1" applyFill="1" applyBorder="1" applyAlignment="1" applyProtection="1">
      <alignment/>
      <protection locked="0"/>
    </xf>
    <xf numFmtId="4" fontId="11" fillId="2" borderId="12" xfId="0" applyNumberFormat="1" applyFont="1" applyFill="1" applyBorder="1" applyAlignment="1" applyProtection="1">
      <alignment/>
      <protection locked="0"/>
    </xf>
    <xf numFmtId="4" fontId="23" fillId="0" borderId="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/>
      <protection locked="0"/>
    </xf>
    <xf numFmtId="4" fontId="25" fillId="2" borderId="13" xfId="0" applyNumberFormat="1" applyFont="1" applyFill="1" applyBorder="1" applyAlignment="1" applyProtection="1">
      <alignment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4" fontId="17" fillId="2" borderId="0" xfId="0" applyNumberFormat="1" applyFont="1" applyFill="1" applyBorder="1" applyAlignment="1" applyProtection="1">
      <alignment/>
      <protection/>
    </xf>
    <xf numFmtId="0" fontId="18" fillId="2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/>
    </xf>
    <xf numFmtId="0" fontId="19" fillId="2" borderId="5" xfId="0" applyFont="1" applyFill="1" applyBorder="1" applyAlignment="1">
      <alignment/>
    </xf>
    <xf numFmtId="3" fontId="20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14" fillId="2" borderId="9" xfId="0" applyNumberFormat="1" applyFont="1" applyFill="1" applyBorder="1" applyAlignment="1" applyProtection="1">
      <alignment horizontal="center"/>
      <protection locked="0"/>
    </xf>
    <xf numFmtId="0" fontId="14" fillId="2" borderId="21" xfId="0" applyNumberFormat="1" applyFont="1" applyFill="1" applyBorder="1" applyAlignment="1" applyProtection="1">
      <alignment horizontal="center"/>
      <protection locked="0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21">
      <selection activeCell="G140" sqref="G140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64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3755994.42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1822883.61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43</v>
      </c>
      <c r="F21" s="80">
        <f>1671981.06+150902.55</f>
        <v>1822883.61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f>15877.32-14880.81</f>
        <v>996.5100000000002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SUM(F28:F31)</f>
        <v>1932114.3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41</v>
      </c>
      <c r="F28" s="80">
        <v>1802715.64</v>
      </c>
      <c r="G28" s="34"/>
    </row>
    <row r="29" spans="1:7" ht="12.75" customHeight="1">
      <c r="A29" s="21"/>
      <c r="B29" s="28"/>
      <c r="C29" s="76"/>
      <c r="D29" s="78" t="s">
        <v>30</v>
      </c>
      <c r="E29" s="77" t="s">
        <v>206</v>
      </c>
      <c r="F29" s="80">
        <v>48538.19</v>
      </c>
      <c r="G29" s="34"/>
    </row>
    <row r="30" spans="1:7" ht="12.75" customHeight="1">
      <c r="A30" s="21"/>
      <c r="B30" s="28"/>
      <c r="C30" s="76"/>
      <c r="D30" s="78" t="s">
        <v>30</v>
      </c>
      <c r="E30" s="77" t="s">
        <v>44</v>
      </c>
      <c r="F30" s="80">
        <f>180.4+2769.3+315.49+439.17</f>
        <v>3704.3600000000006</v>
      </c>
      <c r="G30" s="34"/>
    </row>
    <row r="31" spans="1:7" ht="12.75" customHeight="1">
      <c r="A31" s="21"/>
      <c r="B31" s="28"/>
      <c r="C31" s="76"/>
      <c r="D31" s="76" t="s">
        <v>30</v>
      </c>
      <c r="E31" s="76" t="s">
        <v>73</v>
      </c>
      <c r="F31" s="83">
        <v>77156.11</v>
      </c>
      <c r="G31" s="33"/>
    </row>
    <row r="32" spans="1:7" ht="12.75" customHeight="1">
      <c r="A32" s="21"/>
      <c r="B32" s="28"/>
      <c r="C32" s="21"/>
      <c r="D32" s="21"/>
      <c r="E32" s="21"/>
      <c r="F32" s="59"/>
      <c r="G32" s="33"/>
    </row>
    <row r="33" spans="1:7" s="37" customFormat="1" ht="15.75" customHeight="1">
      <c r="A33" s="35"/>
      <c r="B33" s="75" t="s">
        <v>16</v>
      </c>
      <c r="C33" s="35"/>
      <c r="D33" s="35"/>
      <c r="E33" s="36"/>
      <c r="F33" s="60"/>
      <c r="G33" s="84">
        <f>-(F35+F50+F80+F84+F91+F99+F101+F103+F105)</f>
        <v>-3940491.3699999996</v>
      </c>
    </row>
    <row r="34" spans="1:7" ht="12.75" customHeight="1">
      <c r="A34" s="21"/>
      <c r="B34" s="28"/>
      <c r="C34" s="79" t="s">
        <v>17</v>
      </c>
      <c r="D34" s="21"/>
      <c r="F34" s="59" t="s">
        <v>0</v>
      </c>
      <c r="G34" s="33"/>
    </row>
    <row r="35" spans="1:7" ht="12.75" customHeight="1">
      <c r="A35" s="21"/>
      <c r="B35" s="28"/>
      <c r="D35" s="79" t="s">
        <v>18</v>
      </c>
      <c r="E35" s="38"/>
      <c r="F35" s="65">
        <f>SUM(F36:F48)</f>
        <v>344632.04999999993</v>
      </c>
      <c r="G35" s="33"/>
    </row>
    <row r="36" spans="1:7" ht="12.75" customHeight="1">
      <c r="A36" s="21"/>
      <c r="B36" s="28"/>
      <c r="D36" s="21"/>
      <c r="E36" s="85" t="s">
        <v>59</v>
      </c>
      <c r="F36" s="86">
        <v>3011.61</v>
      </c>
      <c r="G36" s="33"/>
    </row>
    <row r="37" spans="1:7" ht="12.75" customHeight="1">
      <c r="A37" s="21"/>
      <c r="B37" s="28"/>
      <c r="D37" s="21"/>
      <c r="E37" s="85" t="s">
        <v>56</v>
      </c>
      <c r="F37" s="87">
        <v>29308.12</v>
      </c>
      <c r="G37" s="33"/>
    </row>
    <row r="38" spans="1:7" ht="12.75" customHeight="1">
      <c r="A38" s="21"/>
      <c r="B38" s="28"/>
      <c r="D38" s="21"/>
      <c r="E38" s="85" t="s">
        <v>42</v>
      </c>
      <c r="F38" s="87">
        <v>91636.77</v>
      </c>
      <c r="G38" s="33"/>
    </row>
    <row r="39" spans="1:7" ht="12.75" customHeight="1">
      <c r="A39" s="21"/>
      <c r="B39" s="28"/>
      <c r="D39" s="21"/>
      <c r="E39" s="85" t="s">
        <v>65</v>
      </c>
      <c r="F39" s="87">
        <v>60177.67</v>
      </c>
      <c r="G39" s="33"/>
    </row>
    <row r="40" spans="1:7" ht="12.75" customHeight="1">
      <c r="A40" s="21"/>
      <c r="B40" s="28"/>
      <c r="D40" s="21"/>
      <c r="E40" s="85" t="s">
        <v>57</v>
      </c>
      <c r="F40" s="87">
        <f>25155.66+2815.3</f>
        <v>27970.96</v>
      </c>
      <c r="G40" s="33"/>
    </row>
    <row r="41" spans="1:7" ht="12.75" customHeight="1">
      <c r="A41" s="21"/>
      <c r="B41" s="28"/>
      <c r="D41" s="21"/>
      <c r="E41" s="85" t="s">
        <v>208</v>
      </c>
      <c r="F41" s="87">
        <v>11.13</v>
      </c>
      <c r="G41" s="33"/>
    </row>
    <row r="42" spans="1:7" ht="12.75" customHeight="1">
      <c r="A42" s="21"/>
      <c r="B42" s="28"/>
      <c r="D42" s="21"/>
      <c r="E42" s="85" t="s">
        <v>207</v>
      </c>
      <c r="F42" s="87">
        <v>14764.77</v>
      </c>
      <c r="G42" s="33"/>
    </row>
    <row r="43" spans="1:7" ht="12.75" customHeight="1">
      <c r="A43" s="21"/>
      <c r="B43" s="28"/>
      <c r="D43" s="21"/>
      <c r="E43" s="88" t="s">
        <v>45</v>
      </c>
      <c r="F43" s="89">
        <v>52706.35</v>
      </c>
      <c r="G43" s="33"/>
    </row>
    <row r="44" spans="1:7" ht="12.75" customHeight="1">
      <c r="A44" s="21"/>
      <c r="B44" s="28"/>
      <c r="D44" s="21"/>
      <c r="E44" s="88" t="s">
        <v>182</v>
      </c>
      <c r="F44" s="89">
        <v>228</v>
      </c>
      <c r="G44" s="33"/>
    </row>
    <row r="45" spans="1:7" ht="12.75" customHeight="1">
      <c r="A45" s="21"/>
      <c r="B45" s="28"/>
      <c r="D45" s="21"/>
      <c r="E45" s="85" t="s">
        <v>66</v>
      </c>
      <c r="F45" s="87">
        <v>266.67</v>
      </c>
      <c r="G45" s="33"/>
    </row>
    <row r="46" spans="1:7" ht="12.75" customHeight="1">
      <c r="A46" s="21"/>
      <c r="B46" s="28"/>
      <c r="D46" s="21"/>
      <c r="E46" s="85" t="s">
        <v>48</v>
      </c>
      <c r="F46" s="87">
        <v>3092.2</v>
      </c>
      <c r="G46" s="33"/>
    </row>
    <row r="47" spans="1:7" ht="12.75" customHeight="1">
      <c r="A47" s="21"/>
      <c r="B47" s="28"/>
      <c r="C47" s="21"/>
      <c r="D47" s="21"/>
      <c r="E47" s="85" t="s">
        <v>46</v>
      </c>
      <c r="F47" s="87">
        <v>61457.8</v>
      </c>
      <c r="G47" s="33"/>
    </row>
    <row r="48" spans="1:7" ht="12.75" customHeight="1">
      <c r="A48" s="21"/>
      <c r="B48" s="28"/>
      <c r="D48" s="21"/>
      <c r="E48" s="85"/>
      <c r="F48" s="83"/>
      <c r="G48" s="33"/>
    </row>
    <row r="49" spans="1:7" ht="12.75" customHeight="1">
      <c r="A49" s="21"/>
      <c r="B49" s="28"/>
      <c r="D49" s="21"/>
      <c r="E49" s="38"/>
      <c r="F49" s="62"/>
      <c r="G49" s="33"/>
    </row>
    <row r="50" spans="1:7" ht="12.75" customHeight="1">
      <c r="A50" s="21"/>
      <c r="B50" s="28"/>
      <c r="C50" s="79" t="s">
        <v>19</v>
      </c>
      <c r="D50" s="21"/>
      <c r="E50" s="38"/>
      <c r="F50" s="65">
        <f>SUM(F51:F78)</f>
        <v>1961861.14</v>
      </c>
      <c r="G50" s="33"/>
    </row>
    <row r="51" spans="1:7" ht="12.75" customHeight="1">
      <c r="A51" s="21"/>
      <c r="B51" s="28"/>
      <c r="C51" s="21"/>
      <c r="D51" s="21"/>
      <c r="E51" s="85" t="s">
        <v>77</v>
      </c>
      <c r="F51" s="86">
        <v>14910.66</v>
      </c>
      <c r="G51" s="33"/>
    </row>
    <row r="52" spans="1:7" ht="12.75" customHeight="1">
      <c r="A52" s="21"/>
      <c r="B52" s="28"/>
      <c r="C52" s="21"/>
      <c r="D52" s="21"/>
      <c r="E52" s="85" t="s">
        <v>78</v>
      </c>
      <c r="F52" s="87">
        <v>55321.33</v>
      </c>
      <c r="G52" s="33"/>
    </row>
    <row r="53" spans="1:7" ht="12.75" customHeight="1">
      <c r="A53" s="21"/>
      <c r="B53" s="28"/>
      <c r="C53" s="21"/>
      <c r="D53" s="21"/>
      <c r="E53" s="85" t="s">
        <v>79</v>
      </c>
      <c r="F53" s="87">
        <f>8524.21+2834.07</f>
        <v>11358.279999999999</v>
      </c>
      <c r="G53" s="33"/>
    </row>
    <row r="54" spans="1:7" ht="12.75" customHeight="1">
      <c r="A54" s="21"/>
      <c r="B54" s="28"/>
      <c r="C54" s="21"/>
      <c r="D54" s="21"/>
      <c r="E54" s="85" t="s">
        <v>80</v>
      </c>
      <c r="F54" s="87">
        <f>130810.39+13731.52</f>
        <v>144541.91</v>
      </c>
      <c r="G54" s="33"/>
    </row>
    <row r="55" spans="1:7" ht="12.75" customHeight="1">
      <c r="A55" s="21"/>
      <c r="B55" s="28"/>
      <c r="C55" s="21"/>
      <c r="D55" s="21"/>
      <c r="E55" s="85" t="s">
        <v>81</v>
      </c>
      <c r="F55" s="87">
        <v>1602</v>
      </c>
      <c r="G55" s="33"/>
    </row>
    <row r="56" spans="1:7" ht="12.75" customHeight="1">
      <c r="A56" s="21"/>
      <c r="B56" s="28"/>
      <c r="C56" s="21"/>
      <c r="D56" s="21"/>
      <c r="E56" s="85" t="s">
        <v>82</v>
      </c>
      <c r="F56" s="87">
        <f>5038.32+201.25</f>
        <v>5239.57</v>
      </c>
      <c r="G56" s="33"/>
    </row>
    <row r="57" spans="1:7" ht="12.75" customHeight="1">
      <c r="A57" s="21"/>
      <c r="B57" s="28"/>
      <c r="C57" s="21"/>
      <c r="D57" s="21"/>
      <c r="E57" s="85" t="s">
        <v>83</v>
      </c>
      <c r="F57" s="87">
        <v>5644.16</v>
      </c>
      <c r="G57" s="33"/>
    </row>
    <row r="58" spans="1:7" ht="12.75" customHeight="1">
      <c r="A58" s="21"/>
      <c r="B58" s="28"/>
      <c r="C58" s="21"/>
      <c r="D58" s="21"/>
      <c r="E58" s="85" t="s">
        <v>84</v>
      </c>
      <c r="F58" s="87">
        <v>246.8</v>
      </c>
      <c r="G58" s="33"/>
    </row>
    <row r="59" spans="1:7" ht="12.75" customHeight="1">
      <c r="A59" s="21"/>
      <c r="B59" s="28"/>
      <c r="C59" s="21"/>
      <c r="D59" s="21"/>
      <c r="E59" s="85" t="s">
        <v>85</v>
      </c>
      <c r="F59" s="87">
        <f>5200.84+4308+1430</f>
        <v>10938.84</v>
      </c>
      <c r="G59" s="33"/>
    </row>
    <row r="60" spans="1:7" ht="12.75" customHeight="1">
      <c r="A60" s="21"/>
      <c r="B60" s="28"/>
      <c r="C60" s="21"/>
      <c r="D60" s="21"/>
      <c r="E60" s="85" t="s">
        <v>86</v>
      </c>
      <c r="F60" s="87">
        <v>3015</v>
      </c>
      <c r="G60" s="33"/>
    </row>
    <row r="61" spans="1:7" ht="12.75" customHeight="1">
      <c r="A61" s="21"/>
      <c r="B61" s="28"/>
      <c r="C61" s="21"/>
      <c r="D61" s="21"/>
      <c r="E61" s="85" t="s">
        <v>209</v>
      </c>
      <c r="F61" s="87">
        <v>30</v>
      </c>
      <c r="G61" s="33"/>
    </row>
    <row r="62" spans="1:7" ht="12.75" customHeight="1">
      <c r="A62" s="21"/>
      <c r="B62" s="28"/>
      <c r="C62" s="21"/>
      <c r="D62" s="21"/>
      <c r="E62" s="85" t="s">
        <v>87</v>
      </c>
      <c r="F62" s="87">
        <f>720+1200</f>
        <v>1920</v>
      </c>
      <c r="G62" s="33"/>
    </row>
    <row r="63" spans="1:7" ht="12.75" customHeight="1">
      <c r="A63" s="21"/>
      <c r="B63" s="28"/>
      <c r="C63" s="21"/>
      <c r="D63" s="21"/>
      <c r="E63" s="85" t="s">
        <v>211</v>
      </c>
      <c r="F63" s="87">
        <v>713.29</v>
      </c>
      <c r="G63" s="33"/>
    </row>
    <row r="64" spans="1:7" ht="12.75" customHeight="1">
      <c r="A64" s="21"/>
      <c r="B64" s="28"/>
      <c r="C64" s="21"/>
      <c r="D64" s="21"/>
      <c r="E64" s="85" t="s">
        <v>88</v>
      </c>
      <c r="F64" s="87">
        <v>63.86</v>
      </c>
      <c r="G64" s="33"/>
    </row>
    <row r="65" spans="1:7" ht="12.75" customHeight="1">
      <c r="A65" s="21"/>
      <c r="B65" s="28"/>
      <c r="C65" s="21"/>
      <c r="D65" s="21"/>
      <c r="E65" s="85" t="s">
        <v>180</v>
      </c>
      <c r="F65" s="87">
        <f>715.61+44.34+2045.28</f>
        <v>2805.23</v>
      </c>
      <c r="G65" s="33"/>
    </row>
    <row r="66" spans="1:7" ht="12.75" customHeight="1">
      <c r="A66" s="21"/>
      <c r="B66" s="28"/>
      <c r="C66" s="21"/>
      <c r="D66" s="21"/>
      <c r="E66" s="85" t="s">
        <v>89</v>
      </c>
      <c r="F66" s="87">
        <v>936</v>
      </c>
      <c r="G66" s="33"/>
    </row>
    <row r="67" spans="1:7" ht="12.75" customHeight="1">
      <c r="A67" s="21"/>
      <c r="B67" s="28"/>
      <c r="C67" s="21"/>
      <c r="D67" s="21"/>
      <c r="E67" s="85" t="s">
        <v>90</v>
      </c>
      <c r="F67" s="87">
        <f>41570.94+4322.26</f>
        <v>45893.200000000004</v>
      </c>
      <c r="G67" s="33"/>
    </row>
    <row r="68" spans="1:7" ht="12.75" customHeight="1">
      <c r="A68" s="21"/>
      <c r="B68" s="28"/>
      <c r="C68" s="21"/>
      <c r="D68" s="21"/>
      <c r="E68" s="85" t="s">
        <v>91</v>
      </c>
      <c r="F68" s="87">
        <v>14777.74</v>
      </c>
      <c r="G68" s="33"/>
    </row>
    <row r="69" spans="1:7" ht="12.75" customHeight="1">
      <c r="A69" s="21"/>
      <c r="B69" s="28"/>
      <c r="C69" s="21"/>
      <c r="D69" s="21"/>
      <c r="E69" s="85" t="s">
        <v>210</v>
      </c>
      <c r="F69" s="87">
        <v>350.15</v>
      </c>
      <c r="G69" s="33"/>
    </row>
    <row r="70" spans="1:7" ht="12.75" customHeight="1">
      <c r="A70" s="21"/>
      <c r="B70" s="28"/>
      <c r="C70" s="21"/>
      <c r="D70" s="21"/>
      <c r="E70" s="85" t="s">
        <v>92</v>
      </c>
      <c r="F70" s="87">
        <v>67642.84</v>
      </c>
      <c r="G70" s="33"/>
    </row>
    <row r="71" spans="1:7" ht="12.75" customHeight="1">
      <c r="A71" s="21"/>
      <c r="B71" s="28"/>
      <c r="C71" s="21"/>
      <c r="D71" s="21"/>
      <c r="E71" s="85" t="s">
        <v>93</v>
      </c>
      <c r="F71" s="87">
        <v>10655.18</v>
      </c>
      <c r="G71" s="33"/>
    </row>
    <row r="72" spans="1:7" ht="12.75" customHeight="1">
      <c r="A72" s="21"/>
      <c r="B72" s="28"/>
      <c r="C72" s="21"/>
      <c r="D72" s="21"/>
      <c r="E72" s="85" t="s">
        <v>94</v>
      </c>
      <c r="F72" s="89">
        <v>14457.48</v>
      </c>
      <c r="G72" s="33"/>
    </row>
    <row r="73" spans="1:7" ht="12.75" customHeight="1">
      <c r="A73" s="21"/>
      <c r="B73" s="28"/>
      <c r="C73" s="21"/>
      <c r="D73" s="21"/>
      <c r="E73" s="85" t="s">
        <v>95</v>
      </c>
      <c r="F73" s="87">
        <v>8785.92</v>
      </c>
      <c r="G73" s="33"/>
    </row>
    <row r="74" spans="1:7" s="1" customFormat="1" ht="12.75" customHeight="1">
      <c r="A74" s="56"/>
      <c r="B74" s="57"/>
      <c r="C74" s="63"/>
      <c r="D74" s="63"/>
      <c r="E74" s="88" t="s">
        <v>96</v>
      </c>
      <c r="F74" s="90">
        <f>2400+16228.3</f>
        <v>18628.3</v>
      </c>
      <c r="G74" s="58"/>
    </row>
    <row r="75" spans="1:7" ht="12.75" customHeight="1">
      <c r="A75" s="21"/>
      <c r="B75" s="28"/>
      <c r="C75" s="21"/>
      <c r="D75" s="21"/>
      <c r="E75" s="85" t="s">
        <v>98</v>
      </c>
      <c r="F75" s="87">
        <v>386399.23</v>
      </c>
      <c r="G75" s="33"/>
    </row>
    <row r="76" spans="1:7" ht="13.5" customHeight="1">
      <c r="A76" s="21"/>
      <c r="B76" s="28"/>
      <c r="C76" s="21"/>
      <c r="D76" s="21"/>
      <c r="E76" s="85" t="s">
        <v>97</v>
      </c>
      <c r="F76" s="87">
        <v>1132182.89</v>
      </c>
      <c r="G76" s="33"/>
    </row>
    <row r="77" spans="1:7" ht="12.75" customHeight="1">
      <c r="A77" s="21"/>
      <c r="B77" s="28"/>
      <c r="C77" s="21"/>
      <c r="D77" s="21"/>
      <c r="E77" s="85" t="s">
        <v>99</v>
      </c>
      <c r="F77" s="87">
        <v>2801.28</v>
      </c>
      <c r="G77" s="33"/>
    </row>
    <row r="78" spans="1:7" ht="12.75" customHeight="1">
      <c r="A78" s="21"/>
      <c r="B78" s="28"/>
      <c r="C78" s="21"/>
      <c r="D78" s="21"/>
      <c r="E78" s="85"/>
      <c r="F78" s="90"/>
      <c r="G78" s="61"/>
    </row>
    <row r="79" spans="1:7" ht="12.75" customHeight="1">
      <c r="A79" s="21"/>
      <c r="B79" s="28"/>
      <c r="C79" s="21"/>
      <c r="D79" s="21"/>
      <c r="E79" s="39"/>
      <c r="F79" s="62"/>
      <c r="G79" s="62"/>
    </row>
    <row r="80" spans="1:7" ht="12.75" customHeight="1">
      <c r="A80" s="21"/>
      <c r="B80" s="28"/>
      <c r="C80" s="79" t="s">
        <v>20</v>
      </c>
      <c r="D80" s="21"/>
      <c r="E80" s="38"/>
      <c r="F80" s="64">
        <f>SUM(F81:F82)</f>
        <v>12961.68</v>
      </c>
      <c r="G80" s="33"/>
    </row>
    <row r="81" spans="1:7" ht="12.75" customHeight="1">
      <c r="A81" s="21"/>
      <c r="B81" s="28"/>
      <c r="C81" s="21"/>
      <c r="D81" s="21"/>
      <c r="E81" s="39" t="s">
        <v>58</v>
      </c>
      <c r="F81" s="87">
        <v>12961.68</v>
      </c>
      <c r="G81" s="33"/>
    </row>
    <row r="82" spans="1:7" ht="12.75" customHeight="1">
      <c r="A82" s="21"/>
      <c r="B82" s="28"/>
      <c r="C82" s="21"/>
      <c r="D82" s="21"/>
      <c r="E82" s="39"/>
      <c r="F82" s="67"/>
      <c r="G82" s="33"/>
    </row>
    <row r="83" spans="1:7" ht="12.75" customHeight="1">
      <c r="A83" s="21"/>
      <c r="B83" s="28"/>
      <c r="C83" s="21"/>
      <c r="D83" s="21"/>
      <c r="E83" s="39"/>
      <c r="F83" s="61"/>
      <c r="G83" s="33"/>
    </row>
    <row r="84" spans="1:7" ht="12.75" customHeight="1">
      <c r="A84" s="21"/>
      <c r="B84" s="28"/>
      <c r="C84" s="79" t="s">
        <v>21</v>
      </c>
      <c r="D84" s="21"/>
      <c r="E84" s="38"/>
      <c r="F84" s="65">
        <f>SUM(F85:F89)</f>
        <v>1419267.2699999998</v>
      </c>
      <c r="G84" s="33"/>
    </row>
    <row r="85" spans="1:7" ht="12.75" customHeight="1">
      <c r="A85" s="21"/>
      <c r="B85" s="28"/>
      <c r="D85" s="92" t="s">
        <v>22</v>
      </c>
      <c r="E85" s="41"/>
      <c r="F85" s="90">
        <f>883905.5+17274.98+47433.48+65281.72+42163.54</f>
        <v>1056059.22</v>
      </c>
      <c r="G85" s="33"/>
    </row>
    <row r="86" spans="1:7" ht="12.75" customHeight="1">
      <c r="A86" s="21"/>
      <c r="B86" s="28"/>
      <c r="D86" s="92" t="s">
        <v>23</v>
      </c>
      <c r="E86" s="41"/>
      <c r="F86" s="87">
        <f>226525.81+6232.63+5141.9+9424.08+16320.43</f>
        <v>263644.85</v>
      </c>
      <c r="G86" s="33"/>
    </row>
    <row r="87" spans="1:7" ht="12.75" customHeight="1">
      <c r="A87" s="21"/>
      <c r="B87" s="28"/>
      <c r="D87" s="92" t="s">
        <v>24</v>
      </c>
      <c r="E87" s="41"/>
      <c r="F87" s="87">
        <v>99563.2</v>
      </c>
      <c r="G87" s="33"/>
    </row>
    <row r="88" spans="1:7" ht="12.75" customHeight="1">
      <c r="A88" s="21"/>
      <c r="B88" s="28"/>
      <c r="D88" s="92" t="s">
        <v>25</v>
      </c>
      <c r="E88" s="41"/>
      <c r="F88" s="87">
        <v>0</v>
      </c>
      <c r="G88" s="33"/>
    </row>
    <row r="89" spans="1:7" ht="12.75" customHeight="1">
      <c r="A89" s="21"/>
      <c r="B89" s="28"/>
      <c r="D89" s="92" t="s">
        <v>26</v>
      </c>
      <c r="E89" s="41"/>
      <c r="F89" s="87">
        <v>0</v>
      </c>
      <c r="G89" s="33"/>
    </row>
    <row r="90" spans="1:7" ht="12.75" customHeight="1">
      <c r="A90" s="21"/>
      <c r="B90" s="28"/>
      <c r="D90" s="40"/>
      <c r="E90" s="41"/>
      <c r="F90" s="61"/>
      <c r="G90" s="33"/>
    </row>
    <row r="91" spans="1:7" ht="12.75" customHeight="1">
      <c r="A91" s="21"/>
      <c r="B91" s="28"/>
      <c r="C91" s="79" t="s">
        <v>27</v>
      </c>
      <c r="D91" s="21"/>
      <c r="E91" s="38"/>
      <c r="F91" s="65">
        <f>SUM(F92:F96)</f>
        <v>150149.62</v>
      </c>
      <c r="G91" s="33"/>
    </row>
    <row r="92" spans="1:7" ht="12.75" customHeight="1">
      <c r="A92" s="21"/>
      <c r="B92" s="28"/>
      <c r="C92" s="21"/>
      <c r="D92" s="92" t="s">
        <v>28</v>
      </c>
      <c r="E92" s="41"/>
      <c r="F92" s="90">
        <v>862</v>
      </c>
      <c r="G92" s="33"/>
    </row>
    <row r="93" spans="1:7" ht="12.75" customHeight="1">
      <c r="A93" s="21"/>
      <c r="B93" s="28"/>
      <c r="D93" s="92" t="s">
        <v>29</v>
      </c>
      <c r="E93" s="42"/>
      <c r="F93" s="87">
        <v>149287.62</v>
      </c>
      <c r="G93" s="33"/>
    </row>
    <row r="94" spans="1:7" ht="12.75" customHeight="1">
      <c r="A94" s="21"/>
      <c r="B94" s="28"/>
      <c r="D94" s="92" t="s">
        <v>31</v>
      </c>
      <c r="E94" s="41"/>
      <c r="F94" s="87">
        <v>0</v>
      </c>
      <c r="G94" s="33"/>
    </row>
    <row r="95" spans="1:7" ht="12.75" customHeight="1">
      <c r="A95" s="21"/>
      <c r="B95" s="28"/>
      <c r="D95" s="92" t="s">
        <v>32</v>
      </c>
      <c r="E95" s="41"/>
      <c r="F95" s="87"/>
      <c r="G95" s="33"/>
    </row>
    <row r="96" spans="1:7" ht="12.75" customHeight="1">
      <c r="A96" s="21"/>
      <c r="B96" s="28"/>
      <c r="D96" s="40"/>
      <c r="E96" s="93" t="s">
        <v>33</v>
      </c>
      <c r="F96" s="87">
        <v>0</v>
      </c>
      <c r="G96" s="33"/>
    </row>
    <row r="97" spans="1:7" ht="12.75" customHeight="1">
      <c r="A97" s="21"/>
      <c r="B97" s="28"/>
      <c r="D97" s="40"/>
      <c r="E97" s="42"/>
      <c r="F97" s="62"/>
      <c r="G97" s="33"/>
    </row>
    <row r="98" spans="1:7" ht="12.75" customHeight="1">
      <c r="A98" s="21"/>
      <c r="B98" s="28"/>
      <c r="C98" s="79" t="s">
        <v>34</v>
      </c>
      <c r="D98" s="21"/>
      <c r="E98" s="38"/>
      <c r="F98" s="59"/>
      <c r="G98" s="33"/>
    </row>
    <row r="99" spans="1:7" ht="12.75" customHeight="1">
      <c r="A99" s="21"/>
      <c r="B99" s="28"/>
      <c r="D99" s="21"/>
      <c r="E99" s="94" t="s">
        <v>35</v>
      </c>
      <c r="F99" s="66">
        <v>0</v>
      </c>
      <c r="G99" s="33"/>
    </row>
    <row r="100" spans="1:7" ht="12.75" customHeight="1">
      <c r="A100" s="21"/>
      <c r="B100" s="28"/>
      <c r="D100" s="21"/>
      <c r="E100" s="43"/>
      <c r="F100" s="59"/>
      <c r="G100" s="33"/>
    </row>
    <row r="101" spans="1:7" ht="12.75" customHeight="1">
      <c r="A101" s="21"/>
      <c r="B101" s="28"/>
      <c r="C101" s="79" t="s">
        <v>36</v>
      </c>
      <c r="D101" s="21"/>
      <c r="E101" s="38"/>
      <c r="F101" s="66">
        <v>0</v>
      </c>
      <c r="G101" s="33"/>
    </row>
    <row r="102" spans="1:7" ht="12.75" customHeight="1">
      <c r="A102" s="21"/>
      <c r="B102" s="28"/>
      <c r="C102" s="21"/>
      <c r="D102" s="21"/>
      <c r="E102" s="38"/>
      <c r="F102" s="59"/>
      <c r="G102" s="33"/>
    </row>
    <row r="103" spans="1:7" ht="12.75" customHeight="1">
      <c r="A103" s="21"/>
      <c r="B103" s="28"/>
      <c r="C103" s="79" t="s">
        <v>37</v>
      </c>
      <c r="D103" s="21"/>
      <c r="E103" s="38"/>
      <c r="F103" s="66">
        <v>0</v>
      </c>
      <c r="G103" s="33"/>
    </row>
    <row r="104" spans="1:7" ht="12.75" customHeight="1">
      <c r="A104" s="21"/>
      <c r="B104" s="28"/>
      <c r="C104" s="21"/>
      <c r="D104" s="21"/>
      <c r="E104" s="38"/>
      <c r="F104" s="59"/>
      <c r="G104" s="33"/>
    </row>
    <row r="105" spans="1:7" ht="12.75" customHeight="1">
      <c r="A105" s="21"/>
      <c r="B105" s="28"/>
      <c r="C105" s="79" t="s">
        <v>38</v>
      </c>
      <c r="D105" s="21"/>
      <c r="E105" s="38"/>
      <c r="F105" s="66">
        <f>SUM(F106:F113)</f>
        <v>51619.61000000001</v>
      </c>
      <c r="G105" s="33"/>
    </row>
    <row r="106" spans="1:7" ht="12.75" customHeight="1">
      <c r="A106" s="21"/>
      <c r="B106" s="28"/>
      <c r="C106" s="21"/>
      <c r="D106" s="21"/>
      <c r="E106" s="85" t="s">
        <v>61</v>
      </c>
      <c r="F106" s="96">
        <v>2968.68</v>
      </c>
      <c r="G106" s="33"/>
    </row>
    <row r="107" spans="1:7" ht="12.75" customHeight="1">
      <c r="A107" s="21"/>
      <c r="B107" s="28"/>
      <c r="C107" s="21"/>
      <c r="D107" s="21"/>
      <c r="E107" s="85" t="s">
        <v>197</v>
      </c>
      <c r="F107" s="96">
        <v>2.5</v>
      </c>
      <c r="G107" s="33"/>
    </row>
    <row r="108" spans="1:7" ht="12.75" customHeight="1">
      <c r="A108" s="21"/>
      <c r="B108" s="28"/>
      <c r="C108" s="21"/>
      <c r="D108" s="21"/>
      <c r="E108" s="85" t="s">
        <v>62</v>
      </c>
      <c r="F108" s="96">
        <v>1074.3</v>
      </c>
      <c r="G108" s="33"/>
    </row>
    <row r="109" spans="1:7" ht="12.75" customHeight="1">
      <c r="A109" s="21"/>
      <c r="B109" s="28"/>
      <c r="C109" s="21"/>
      <c r="D109" s="21"/>
      <c r="E109" s="95" t="s">
        <v>71</v>
      </c>
      <c r="F109" s="96">
        <v>7641.12</v>
      </c>
      <c r="G109" s="33"/>
    </row>
    <row r="110" spans="1:7" ht="12.75" customHeight="1">
      <c r="A110" s="21"/>
      <c r="B110" s="28"/>
      <c r="C110" s="21"/>
      <c r="D110" s="21"/>
      <c r="E110" s="85" t="s">
        <v>74</v>
      </c>
      <c r="F110" s="96">
        <v>30886.09</v>
      </c>
      <c r="G110" s="33"/>
    </row>
    <row r="111" spans="1:7" ht="12.75" customHeight="1">
      <c r="A111" s="21"/>
      <c r="B111" s="28"/>
      <c r="C111" s="21"/>
      <c r="D111" s="21"/>
      <c r="E111" s="85" t="s">
        <v>47</v>
      </c>
      <c r="F111" s="96">
        <v>1906.4</v>
      </c>
      <c r="G111" s="33"/>
    </row>
    <row r="112" spans="1:7" ht="12.75" customHeight="1">
      <c r="A112" s="21"/>
      <c r="B112" s="28"/>
      <c r="C112" s="21"/>
      <c r="D112" s="21"/>
      <c r="E112" s="85" t="s">
        <v>212</v>
      </c>
      <c r="F112" s="96">
        <v>6506.4</v>
      </c>
      <c r="G112" s="33"/>
    </row>
    <row r="113" spans="1:7" ht="13.5" customHeight="1">
      <c r="A113" s="21"/>
      <c r="B113" s="28"/>
      <c r="C113" s="21"/>
      <c r="D113" s="21"/>
      <c r="E113" s="85" t="s">
        <v>67</v>
      </c>
      <c r="F113" s="87">
        <v>634.12</v>
      </c>
      <c r="G113" s="33"/>
    </row>
    <row r="114" spans="1:7" ht="12.75" customHeight="1">
      <c r="A114" s="21"/>
      <c r="B114" s="28"/>
      <c r="C114" s="21"/>
      <c r="D114" s="21"/>
      <c r="E114" s="43"/>
      <c r="F114" s="59" t="s">
        <v>0</v>
      </c>
      <c r="G114" s="33"/>
    </row>
    <row r="115" spans="1:9" ht="16.5" customHeight="1">
      <c r="A115" s="44"/>
      <c r="B115" s="75" t="s">
        <v>39</v>
      </c>
      <c r="C115" s="45"/>
      <c r="D115" s="45"/>
      <c r="E115" s="39"/>
      <c r="F115" s="59" t="s">
        <v>0</v>
      </c>
      <c r="G115" s="98">
        <f>SUM(G19:G113)</f>
        <v>-184496.94999999972</v>
      </c>
      <c r="I115" s="70"/>
    </row>
    <row r="116" spans="1:7" ht="12.75" customHeight="1">
      <c r="A116" s="21"/>
      <c r="B116" s="97" t="s">
        <v>40</v>
      </c>
      <c r="C116" s="21"/>
      <c r="D116" s="21"/>
      <c r="E116" s="43"/>
      <c r="F116" s="59" t="s">
        <v>0</v>
      </c>
      <c r="G116" s="46"/>
    </row>
    <row r="117" spans="2:7" ht="12" customHeight="1">
      <c r="B117" s="47"/>
      <c r="E117" s="38"/>
      <c r="F117" s="59" t="s">
        <v>0</v>
      </c>
      <c r="G117" s="46"/>
    </row>
    <row r="118" spans="2:7" ht="16.5" customHeight="1">
      <c r="B118" s="75" t="s">
        <v>52</v>
      </c>
      <c r="C118" s="35"/>
      <c r="D118" s="35"/>
      <c r="E118" s="48"/>
      <c r="F118" s="60"/>
      <c r="G118" s="98">
        <f>SUM(F120:F122)</f>
        <v>0</v>
      </c>
    </row>
    <row r="119" spans="2:7" ht="12">
      <c r="B119" s="47"/>
      <c r="E119" s="38"/>
      <c r="F119" s="59"/>
      <c r="G119" s="46"/>
    </row>
    <row r="120" spans="2:7" ht="15">
      <c r="B120" s="28"/>
      <c r="C120" s="79" t="s">
        <v>49</v>
      </c>
      <c r="D120" s="21"/>
      <c r="E120" s="38"/>
      <c r="F120" s="64">
        <v>0</v>
      </c>
      <c r="G120" s="46"/>
    </row>
    <row r="121" spans="2:7" ht="15">
      <c r="B121" s="47"/>
      <c r="C121" s="79" t="s">
        <v>50</v>
      </c>
      <c r="E121" s="38"/>
      <c r="F121" s="71">
        <v>0</v>
      </c>
      <c r="G121" s="46"/>
    </row>
    <row r="122" spans="2:7" ht="15">
      <c r="B122" s="47"/>
      <c r="C122" s="79" t="s">
        <v>51</v>
      </c>
      <c r="E122" s="38"/>
      <c r="F122" s="66">
        <v>0</v>
      </c>
      <c r="G122" s="46"/>
    </row>
    <row r="123" spans="2:7" ht="12">
      <c r="B123" s="47"/>
      <c r="E123" s="38"/>
      <c r="F123" s="59"/>
      <c r="G123" s="46"/>
    </row>
    <row r="124" spans="2:7" ht="18">
      <c r="B124" s="75" t="s">
        <v>75</v>
      </c>
      <c r="C124" s="35"/>
      <c r="D124" s="35"/>
      <c r="E124" s="48"/>
      <c r="F124" s="69">
        <v>0</v>
      </c>
      <c r="G124" s="99">
        <v>0</v>
      </c>
    </row>
    <row r="125" spans="2:7" ht="12">
      <c r="B125" s="47"/>
      <c r="E125" s="38"/>
      <c r="F125" s="59"/>
      <c r="G125" s="46"/>
    </row>
    <row r="126" spans="2:7" ht="18">
      <c r="B126" s="75" t="s">
        <v>76</v>
      </c>
      <c r="C126" s="35"/>
      <c r="D126" s="35"/>
      <c r="E126" s="48"/>
      <c r="F126" s="60"/>
      <c r="G126" s="98">
        <f>F128+F129</f>
        <v>27169.17</v>
      </c>
    </row>
    <row r="127" spans="2:7" ht="12">
      <c r="B127" s="47"/>
      <c r="E127" s="38"/>
      <c r="F127" s="59"/>
      <c r="G127" s="46"/>
    </row>
    <row r="128" spans="2:7" ht="14.25">
      <c r="B128" s="47"/>
      <c r="C128" s="79" t="s">
        <v>53</v>
      </c>
      <c r="E128" s="38"/>
      <c r="F128" s="68">
        <v>28702.19</v>
      </c>
      <c r="G128" s="46"/>
    </row>
    <row r="129" spans="2:7" ht="14.25">
      <c r="B129" s="47"/>
      <c r="C129" s="79" t="s">
        <v>54</v>
      </c>
      <c r="E129" s="38"/>
      <c r="F129" s="68">
        <v>-1533.02</v>
      </c>
      <c r="G129" s="46"/>
    </row>
    <row r="130" spans="2:7" ht="12">
      <c r="B130" s="47"/>
      <c r="E130" s="38"/>
      <c r="F130" s="59"/>
      <c r="G130" s="46"/>
    </row>
    <row r="131" spans="2:7" ht="12">
      <c r="B131" s="47"/>
      <c r="E131" s="38"/>
      <c r="F131" s="59"/>
      <c r="G131" s="46"/>
    </row>
    <row r="132" spans="2:9" ht="18">
      <c r="B132" s="31"/>
      <c r="E132" s="100" t="s">
        <v>55</v>
      </c>
      <c r="F132" s="59"/>
      <c r="G132" s="101">
        <f>G115+G118+G124+G126</f>
        <v>-157327.77999999974</v>
      </c>
      <c r="I132" s="70"/>
    </row>
    <row r="133" spans="2:7" ht="12">
      <c r="B133" s="49"/>
      <c r="C133" s="50"/>
      <c r="D133" s="50"/>
      <c r="E133" s="51"/>
      <c r="F133" s="52"/>
      <c r="G133" s="53"/>
    </row>
    <row r="137" spans="5:7" ht="15.75">
      <c r="E137" s="103" t="s">
        <v>110</v>
      </c>
      <c r="G137" s="107">
        <f>773348.29*48.65/100</f>
        <v>376233.943085</v>
      </c>
    </row>
    <row r="139" spans="5:7" ht="15.75">
      <c r="E139" s="103" t="s">
        <v>111</v>
      </c>
      <c r="G139" s="107">
        <f>-886714.22*48.65/100+2.63</f>
        <v>-431383.8380299999</v>
      </c>
    </row>
    <row r="141" spans="5:7" ht="18">
      <c r="E141" s="103" t="s">
        <v>104</v>
      </c>
      <c r="G141" s="104">
        <f>SUM(G132:G139)</f>
        <v>-212477.6749449997</v>
      </c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5" r:id="rId1"/>
  <rowBreaks count="1" manualBreakCount="1">
    <brk id="123" max="7" man="1"/>
  </rowBreaks>
  <ignoredErrors>
    <ignoredError sqref="G132 G138 G140:G14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4"/>
  <sheetViews>
    <sheetView workbookViewId="0" topLeftCell="A88">
      <selection activeCell="G103" sqref="G103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230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69333.33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58333.33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152</v>
      </c>
      <c r="F21" s="80">
        <v>58333.33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SUM(F28)</f>
        <v>11000</v>
      </c>
      <c r="G27" s="33"/>
    </row>
    <row r="28" spans="1:7" ht="12.75" customHeight="1">
      <c r="A28" s="21"/>
      <c r="B28" s="28"/>
      <c r="C28" s="21"/>
      <c r="D28" s="78" t="s">
        <v>30</v>
      </c>
      <c r="E28" s="77" t="s">
        <v>44</v>
      </c>
      <c r="F28" s="81">
        <v>11000</v>
      </c>
      <c r="G28" s="33"/>
    </row>
    <row r="29" spans="1:7" ht="12.75" customHeight="1">
      <c r="A29" s="21"/>
      <c r="B29" s="28"/>
      <c r="C29" s="21"/>
      <c r="D29" s="78"/>
      <c r="E29" s="77"/>
      <c r="F29" s="59"/>
      <c r="G29" s="33"/>
    </row>
    <row r="30" spans="1:7" ht="12.75" customHeight="1">
      <c r="A30" s="21"/>
      <c r="B30" s="28"/>
      <c r="C30" s="21"/>
      <c r="D30" s="78"/>
      <c r="E30" s="77"/>
      <c r="F30" s="59"/>
      <c r="G30" s="33"/>
    </row>
    <row r="31" spans="1:7" s="37" customFormat="1" ht="15.75" customHeight="1">
      <c r="A31" s="35"/>
      <c r="B31" s="75" t="s">
        <v>16</v>
      </c>
      <c r="C31" s="35"/>
      <c r="D31" s="35"/>
      <c r="E31" s="36"/>
      <c r="F31" s="60"/>
      <c r="G31" s="84">
        <f>-(F33+F38+F48+F50+F57+F65+F67+F69+F71)</f>
        <v>-67840.76999999999</v>
      </c>
    </row>
    <row r="32" spans="1:7" ht="12.75" customHeight="1">
      <c r="A32" s="21"/>
      <c r="B32" s="28"/>
      <c r="C32" s="79" t="s">
        <v>17</v>
      </c>
      <c r="D32" s="21"/>
      <c r="F32" s="59" t="s">
        <v>0</v>
      </c>
      <c r="G32" s="33"/>
    </row>
    <row r="33" spans="1:7" ht="12.75" customHeight="1">
      <c r="A33" s="21"/>
      <c r="B33" s="28"/>
      <c r="D33" s="79" t="s">
        <v>18</v>
      </c>
      <c r="E33" s="38"/>
      <c r="F33" s="65">
        <f>SUM(F34:F36)</f>
        <v>644.27</v>
      </c>
      <c r="G33" s="33"/>
    </row>
    <row r="34" spans="1:7" ht="12.75" customHeight="1">
      <c r="A34" s="21"/>
      <c r="B34" s="28"/>
      <c r="D34" s="21"/>
      <c r="E34" s="85" t="s">
        <v>147</v>
      </c>
      <c r="F34" s="87">
        <v>41.94</v>
      </c>
      <c r="G34" s="33"/>
    </row>
    <row r="35" spans="1:7" ht="12.75" customHeight="1">
      <c r="A35" s="21"/>
      <c r="B35" s="28"/>
      <c r="D35" s="21"/>
      <c r="E35" s="85" t="s">
        <v>116</v>
      </c>
      <c r="F35" s="96">
        <v>602.33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SUM(F39:F46)</f>
        <v>54401.33</v>
      </c>
      <c r="G38" s="33"/>
    </row>
    <row r="39" spans="1:7" ht="12.75" customHeight="1">
      <c r="A39" s="21"/>
      <c r="B39" s="28"/>
      <c r="C39" s="79"/>
      <c r="D39" s="21"/>
      <c r="E39" s="38" t="s">
        <v>224</v>
      </c>
      <c r="F39" s="91">
        <v>750</v>
      </c>
      <c r="G39" s="46"/>
    </row>
    <row r="40" spans="1:256" ht="12.75" customHeight="1">
      <c r="A40" s="77"/>
      <c r="B40" s="108"/>
      <c r="C40" s="77"/>
      <c r="D40" s="77"/>
      <c r="E40" s="85" t="s">
        <v>84</v>
      </c>
      <c r="F40" s="106">
        <v>24.2</v>
      </c>
      <c r="G40" s="85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75" customHeight="1">
      <c r="A41" s="77"/>
      <c r="B41" s="108"/>
      <c r="C41" s="77"/>
      <c r="D41" s="77"/>
      <c r="E41" s="85" t="s">
        <v>215</v>
      </c>
      <c r="F41" s="81">
        <v>2042.84</v>
      </c>
      <c r="G41" s="85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ht="12.75" customHeight="1">
      <c r="A42" s="77"/>
      <c r="B42" s="108"/>
      <c r="C42" s="77"/>
      <c r="D42" s="77"/>
      <c r="E42" s="85" t="s">
        <v>225</v>
      </c>
      <c r="F42" s="106">
        <v>937.21</v>
      </c>
      <c r="G42" s="85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ht="12.75" customHeight="1">
      <c r="A43" s="77"/>
      <c r="B43" s="108"/>
      <c r="C43" s="77"/>
      <c r="D43" s="77"/>
      <c r="E43" s="85" t="s">
        <v>226</v>
      </c>
      <c r="F43" s="106">
        <v>1256.33</v>
      </c>
      <c r="G43" s="85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ht="12.75" customHeight="1">
      <c r="A44" s="77"/>
      <c r="B44" s="108"/>
      <c r="C44" s="77"/>
      <c r="D44" s="77"/>
      <c r="E44" s="85" t="s">
        <v>227</v>
      </c>
      <c r="F44" s="115">
        <v>30679.74</v>
      </c>
      <c r="G44" s="85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7" ht="12.75" customHeight="1">
      <c r="A45" s="21"/>
      <c r="B45" s="28"/>
      <c r="C45" s="21"/>
      <c r="D45" s="21"/>
      <c r="E45" s="85" t="s">
        <v>70</v>
      </c>
      <c r="F45" s="96">
        <v>16461.32</v>
      </c>
      <c r="G45" s="33"/>
    </row>
    <row r="46" spans="1:7" ht="12.75" customHeight="1">
      <c r="A46" s="21"/>
      <c r="B46" s="28"/>
      <c r="C46" s="21"/>
      <c r="D46" s="21"/>
      <c r="E46" s="85" t="s">
        <v>136</v>
      </c>
      <c r="F46" s="96">
        <v>2249.69</v>
      </c>
      <c r="G46" s="33"/>
    </row>
    <row r="47" spans="1:7" ht="12.75" customHeight="1">
      <c r="A47" s="21"/>
      <c r="B47" s="28"/>
      <c r="C47" s="21"/>
      <c r="D47" s="21"/>
      <c r="E47" s="39"/>
      <c r="F47" s="62"/>
      <c r="G47" s="111"/>
    </row>
    <row r="48" spans="1:7" ht="12.75" customHeight="1">
      <c r="A48" s="21"/>
      <c r="B48" s="28"/>
      <c r="C48" s="79" t="s">
        <v>20</v>
      </c>
      <c r="D48" s="21"/>
      <c r="E48" s="38"/>
      <c r="F48" s="64">
        <v>0</v>
      </c>
      <c r="G48" s="33"/>
    </row>
    <row r="49" spans="1:7" ht="12.75" customHeight="1">
      <c r="A49" s="21"/>
      <c r="B49" s="28"/>
      <c r="C49" s="21"/>
      <c r="D49" s="21"/>
      <c r="E49" s="39"/>
      <c r="F49" s="61"/>
      <c r="G49" s="33"/>
    </row>
    <row r="50" spans="1:7" ht="12.75" customHeight="1">
      <c r="A50" s="21"/>
      <c r="B50" s="28"/>
      <c r="C50" s="79" t="s">
        <v>21</v>
      </c>
      <c r="D50" s="21"/>
      <c r="E50" s="38"/>
      <c r="F50" s="65">
        <f>SUM(F51:F55)</f>
        <v>0</v>
      </c>
      <c r="G50" s="33"/>
    </row>
    <row r="51" spans="1:7" ht="12.75" customHeight="1">
      <c r="A51" s="21"/>
      <c r="B51" s="28"/>
      <c r="D51" s="92" t="s">
        <v>22</v>
      </c>
      <c r="E51" s="41"/>
      <c r="F51" s="90">
        <v>0</v>
      </c>
      <c r="G51" s="33"/>
    </row>
    <row r="52" spans="1:7" ht="12.75" customHeight="1">
      <c r="A52" s="21"/>
      <c r="B52" s="28"/>
      <c r="D52" s="92" t="s">
        <v>23</v>
      </c>
      <c r="E52" s="41"/>
      <c r="F52" s="87">
        <v>0</v>
      </c>
      <c r="G52" s="33"/>
    </row>
    <row r="53" spans="1:7" ht="12.75" customHeight="1">
      <c r="A53" s="21"/>
      <c r="B53" s="28"/>
      <c r="D53" s="92" t="s">
        <v>24</v>
      </c>
      <c r="E53" s="41"/>
      <c r="F53" s="87">
        <v>0</v>
      </c>
      <c r="G53" s="33"/>
    </row>
    <row r="54" spans="1:7" ht="12.75" customHeight="1">
      <c r="A54" s="21"/>
      <c r="B54" s="28"/>
      <c r="D54" s="92" t="s">
        <v>25</v>
      </c>
      <c r="E54" s="41"/>
      <c r="F54" s="87">
        <v>0</v>
      </c>
      <c r="G54" s="33"/>
    </row>
    <row r="55" spans="1:7" ht="12.75" customHeight="1">
      <c r="A55" s="21"/>
      <c r="B55" s="28"/>
      <c r="D55" s="92" t="s">
        <v>26</v>
      </c>
      <c r="E55" s="41"/>
      <c r="F55" s="87">
        <v>0</v>
      </c>
      <c r="G55" s="33"/>
    </row>
    <row r="56" spans="1:7" ht="12.75" customHeight="1">
      <c r="A56" s="21"/>
      <c r="B56" s="28"/>
      <c r="D56" s="40"/>
      <c r="E56" s="41"/>
      <c r="F56" s="61"/>
      <c r="G56" s="33"/>
    </row>
    <row r="57" spans="1:7" ht="12.75" customHeight="1">
      <c r="A57" s="21"/>
      <c r="B57" s="28"/>
      <c r="C57" s="79" t="s">
        <v>27</v>
      </c>
      <c r="D57" s="21"/>
      <c r="E57" s="38"/>
      <c r="F57" s="65">
        <f>SUM(F58:F62)</f>
        <v>4127.2</v>
      </c>
      <c r="G57" s="33"/>
    </row>
    <row r="58" spans="1:7" ht="12.75" customHeight="1">
      <c r="A58" s="21"/>
      <c r="B58" s="28"/>
      <c r="C58" s="21"/>
      <c r="D58" s="92" t="s">
        <v>28</v>
      </c>
      <c r="E58" s="41"/>
      <c r="F58" s="90">
        <v>2190.24</v>
      </c>
      <c r="G58" s="33"/>
    </row>
    <row r="59" spans="1:7" ht="12.75" customHeight="1">
      <c r="A59" s="21"/>
      <c r="B59" s="28"/>
      <c r="D59" s="92" t="s">
        <v>29</v>
      </c>
      <c r="E59" s="42"/>
      <c r="F59" s="87">
        <v>1936.96</v>
      </c>
      <c r="G59" s="33"/>
    </row>
    <row r="60" spans="1:7" ht="12.75" customHeight="1">
      <c r="A60" s="21"/>
      <c r="B60" s="28"/>
      <c r="D60" s="92" t="s">
        <v>31</v>
      </c>
      <c r="E60" s="41"/>
      <c r="F60" s="87">
        <v>0</v>
      </c>
      <c r="G60" s="33"/>
    </row>
    <row r="61" spans="1:7" ht="12.75" customHeight="1">
      <c r="A61" s="21"/>
      <c r="B61" s="28"/>
      <c r="D61" s="92" t="s">
        <v>32</v>
      </c>
      <c r="E61" s="41"/>
      <c r="F61" s="87"/>
      <c r="G61" s="33"/>
    </row>
    <row r="62" spans="1:7" ht="12.75" customHeight="1">
      <c r="A62" s="21"/>
      <c r="B62" s="28"/>
      <c r="D62" s="40"/>
      <c r="E62" s="93" t="s">
        <v>33</v>
      </c>
      <c r="F62" s="87">
        <v>0</v>
      </c>
      <c r="G62" s="33"/>
    </row>
    <row r="63" spans="1:7" ht="12.75" customHeight="1">
      <c r="A63" s="21"/>
      <c r="B63" s="28"/>
      <c r="D63" s="40"/>
      <c r="E63" s="42"/>
      <c r="F63" s="62"/>
      <c r="G63" s="33"/>
    </row>
    <row r="64" spans="1:7" ht="12.75" customHeight="1">
      <c r="A64" s="21"/>
      <c r="B64" s="28"/>
      <c r="C64" s="79" t="s">
        <v>34</v>
      </c>
      <c r="D64" s="21"/>
      <c r="E64" s="38"/>
      <c r="F64" s="59"/>
      <c r="G64" s="33"/>
    </row>
    <row r="65" spans="1:7" ht="12.75" customHeight="1">
      <c r="A65" s="21"/>
      <c r="B65" s="28"/>
      <c r="D65" s="21"/>
      <c r="E65" s="94" t="s">
        <v>35</v>
      </c>
      <c r="F65" s="66">
        <v>0</v>
      </c>
      <c r="G65" s="33"/>
    </row>
    <row r="66" spans="1:7" ht="12.75" customHeight="1">
      <c r="A66" s="21"/>
      <c r="B66" s="28"/>
      <c r="D66" s="21"/>
      <c r="E66" s="43"/>
      <c r="F66" s="59"/>
      <c r="G66" s="33"/>
    </row>
    <row r="67" spans="1:7" ht="12.75" customHeight="1">
      <c r="A67" s="21"/>
      <c r="B67" s="28"/>
      <c r="C67" s="79" t="s">
        <v>36</v>
      </c>
      <c r="D67" s="21"/>
      <c r="E67" s="38"/>
      <c r="F67" s="66">
        <v>0</v>
      </c>
      <c r="G67" s="33"/>
    </row>
    <row r="68" spans="1:7" ht="12.75" customHeight="1">
      <c r="A68" s="21"/>
      <c r="B68" s="28"/>
      <c r="C68" s="21"/>
      <c r="D68" s="21"/>
      <c r="E68" s="38"/>
      <c r="F68" s="59"/>
      <c r="G68" s="33"/>
    </row>
    <row r="69" spans="1:7" ht="12.75" customHeight="1">
      <c r="A69" s="21"/>
      <c r="B69" s="28"/>
      <c r="C69" s="79" t="s">
        <v>37</v>
      </c>
      <c r="D69" s="21"/>
      <c r="E69" s="38"/>
      <c r="F69" s="66">
        <v>0</v>
      </c>
      <c r="G69" s="33"/>
    </row>
    <row r="70" spans="1:7" ht="12.75" customHeight="1">
      <c r="A70" s="21"/>
      <c r="B70" s="28"/>
      <c r="C70" s="21"/>
      <c r="D70" s="21"/>
      <c r="E70" s="38"/>
      <c r="F70" s="59"/>
      <c r="G70" s="33"/>
    </row>
    <row r="71" spans="1:7" ht="12.75" customHeight="1">
      <c r="A71" s="21"/>
      <c r="B71" s="28"/>
      <c r="C71" s="79" t="s">
        <v>38</v>
      </c>
      <c r="D71" s="21"/>
      <c r="E71" s="38"/>
      <c r="F71" s="66">
        <f>SUM(F72:F74)</f>
        <v>8667.97</v>
      </c>
      <c r="G71" s="33"/>
    </row>
    <row r="72" spans="1:7" ht="12.75" customHeight="1">
      <c r="A72" s="21"/>
      <c r="B72" s="28"/>
      <c r="C72" s="79"/>
      <c r="D72" s="21"/>
      <c r="E72" s="38" t="s">
        <v>228</v>
      </c>
      <c r="F72" s="81">
        <v>7200</v>
      </c>
      <c r="G72" s="33"/>
    </row>
    <row r="73" spans="1:7" ht="12.75" customHeight="1">
      <c r="A73" s="21"/>
      <c r="B73" s="28"/>
      <c r="C73" s="79"/>
      <c r="D73" s="21"/>
      <c r="E73" s="85" t="s">
        <v>151</v>
      </c>
      <c r="F73" s="81">
        <v>994.75</v>
      </c>
      <c r="G73" s="33"/>
    </row>
    <row r="74" spans="1:7" ht="12.75" customHeight="1">
      <c r="A74" s="21"/>
      <c r="B74" s="28"/>
      <c r="C74" s="79"/>
      <c r="D74" s="21"/>
      <c r="E74" s="85" t="s">
        <v>229</v>
      </c>
      <c r="F74" s="81">
        <v>473.22</v>
      </c>
      <c r="G74" s="33"/>
    </row>
    <row r="75" spans="1:7" ht="12.75" customHeight="1">
      <c r="A75" s="21"/>
      <c r="B75" s="28"/>
      <c r="C75" s="79"/>
      <c r="D75" s="21"/>
      <c r="E75" s="85"/>
      <c r="F75" s="81"/>
      <c r="G75" s="33"/>
    </row>
    <row r="76" spans="1:7" ht="12.75" customHeight="1">
      <c r="A76" s="21"/>
      <c r="B76" s="28"/>
      <c r="C76" s="21"/>
      <c r="D76" s="21"/>
      <c r="E76" s="43"/>
      <c r="F76" s="59" t="s">
        <v>0</v>
      </c>
      <c r="G76" s="33"/>
    </row>
    <row r="77" spans="1:9" ht="16.5" customHeight="1">
      <c r="A77" s="44"/>
      <c r="B77" s="75" t="s">
        <v>39</v>
      </c>
      <c r="C77" s="45"/>
      <c r="D77" s="45"/>
      <c r="E77" s="39"/>
      <c r="F77" s="59" t="s">
        <v>0</v>
      </c>
      <c r="G77" s="98">
        <f>SUM(G19:G71)</f>
        <v>1492.5600000000122</v>
      </c>
      <c r="I77" s="70"/>
    </row>
    <row r="78" spans="1:7" ht="12.75" customHeight="1">
      <c r="A78" s="21"/>
      <c r="B78" s="97" t="s">
        <v>40</v>
      </c>
      <c r="C78" s="21"/>
      <c r="D78" s="21"/>
      <c r="E78" s="43"/>
      <c r="F78" s="59" t="s">
        <v>0</v>
      </c>
      <c r="G78" s="46"/>
    </row>
    <row r="79" spans="2:7" ht="12" customHeight="1">
      <c r="B79" s="47"/>
      <c r="E79" s="38"/>
      <c r="F79" s="59" t="s">
        <v>0</v>
      </c>
      <c r="G79" s="46"/>
    </row>
    <row r="80" spans="2:7" ht="16.5" customHeight="1">
      <c r="B80" s="75" t="s">
        <v>52</v>
      </c>
      <c r="C80" s="35"/>
      <c r="D80" s="35"/>
      <c r="E80" s="48"/>
      <c r="F80" s="60"/>
      <c r="G80" s="98">
        <f>SUM(F82:F84)</f>
        <v>0</v>
      </c>
    </row>
    <row r="81" spans="2:7" ht="12">
      <c r="B81" s="47"/>
      <c r="E81" s="38"/>
      <c r="F81" s="59"/>
      <c r="G81" s="46"/>
    </row>
    <row r="82" spans="2:7" ht="15">
      <c r="B82" s="28"/>
      <c r="C82" s="79" t="s">
        <v>49</v>
      </c>
      <c r="D82" s="21"/>
      <c r="E82" s="38"/>
      <c r="F82" s="64">
        <v>0</v>
      </c>
      <c r="G82" s="46"/>
    </row>
    <row r="83" spans="2:7" ht="15">
      <c r="B83" s="47"/>
      <c r="C83" s="79" t="s">
        <v>50</v>
      </c>
      <c r="E83" s="38"/>
      <c r="F83" s="71">
        <v>0</v>
      </c>
      <c r="G83" s="46"/>
    </row>
    <row r="84" spans="2:7" ht="15">
      <c r="B84" s="47"/>
      <c r="C84" s="79" t="s">
        <v>51</v>
      </c>
      <c r="E84" s="38"/>
      <c r="F84" s="66">
        <v>0</v>
      </c>
      <c r="G84" s="46"/>
    </row>
    <row r="85" spans="2:7" ht="12">
      <c r="B85" s="47"/>
      <c r="E85" s="38"/>
      <c r="F85" s="59"/>
      <c r="G85" s="46"/>
    </row>
    <row r="86" spans="2:7" ht="18">
      <c r="B86" s="75" t="s">
        <v>75</v>
      </c>
      <c r="C86" s="35"/>
      <c r="D86" s="35"/>
      <c r="E86" s="48"/>
      <c r="F86" s="69">
        <v>0</v>
      </c>
      <c r="G86" s="99">
        <v>0</v>
      </c>
    </row>
    <row r="87" spans="2:7" ht="12">
      <c r="B87" s="47"/>
      <c r="E87" s="38"/>
      <c r="F87" s="59"/>
      <c r="G87" s="46"/>
    </row>
    <row r="88" spans="2:7" ht="18">
      <c r="B88" s="75" t="s">
        <v>76</v>
      </c>
      <c r="C88" s="35"/>
      <c r="D88" s="35"/>
      <c r="E88" s="48"/>
      <c r="F88" s="60"/>
      <c r="G88" s="98">
        <f>F90-F91</f>
        <v>0</v>
      </c>
    </row>
    <row r="89" spans="2:7" ht="12">
      <c r="B89" s="47"/>
      <c r="E89" s="38"/>
      <c r="F89" s="59"/>
      <c r="G89" s="46"/>
    </row>
    <row r="90" spans="2:7" ht="14.25">
      <c r="B90" s="47"/>
      <c r="C90" s="79" t="s">
        <v>53</v>
      </c>
      <c r="E90" s="38"/>
      <c r="F90" s="68">
        <v>0</v>
      </c>
      <c r="G90" s="46"/>
    </row>
    <row r="91" spans="2:7" ht="14.25">
      <c r="B91" s="47"/>
      <c r="C91" s="79" t="s">
        <v>54</v>
      </c>
      <c r="E91" s="38"/>
      <c r="F91" s="68">
        <v>0</v>
      </c>
      <c r="G91" s="46"/>
    </row>
    <row r="92" spans="2:7" ht="12">
      <c r="B92" s="47"/>
      <c r="E92" s="38"/>
      <c r="F92" s="59"/>
      <c r="G92" s="46"/>
    </row>
    <row r="93" spans="2:7" ht="12">
      <c r="B93" s="47"/>
      <c r="E93" s="38"/>
      <c r="F93" s="59"/>
      <c r="G93" s="46"/>
    </row>
    <row r="94" spans="2:9" ht="18">
      <c r="B94" s="31"/>
      <c r="E94" s="100" t="s">
        <v>55</v>
      </c>
      <c r="F94" s="59"/>
      <c r="G94" s="101">
        <f>G77+G80+G86+G88</f>
        <v>1492.5600000000122</v>
      </c>
      <c r="I94" s="70"/>
    </row>
    <row r="95" spans="2:7" ht="12">
      <c r="B95" s="49"/>
      <c r="C95" s="50"/>
      <c r="D95" s="50"/>
      <c r="E95" s="51"/>
      <c r="F95" s="52"/>
      <c r="G95" s="53"/>
    </row>
    <row r="100" spans="5:7" ht="15.75">
      <c r="E100" s="103" t="s">
        <v>110</v>
      </c>
      <c r="G100" s="107">
        <f>773348.29*0.87/100</f>
        <v>6728.130123000001</v>
      </c>
    </row>
    <row r="102" spans="5:7" ht="15.75">
      <c r="E102" s="103" t="s">
        <v>111</v>
      </c>
      <c r="G102" s="107">
        <f>-886714.22*0.87/100-4.58</f>
        <v>-7718.993713999999</v>
      </c>
    </row>
    <row r="104" spans="5:7" ht="18">
      <c r="E104" s="103" t="s">
        <v>156</v>
      </c>
      <c r="G104" s="104">
        <f>G94+G100+G102</f>
        <v>501.6964090000138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9" r:id="rId1"/>
  <ignoredErrors>
    <ignoredError sqref="G94 G103:G104 G10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B86">
      <selection activeCell="G102" sqref="G102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231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33269.87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33003.8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232</v>
      </c>
      <c r="F21" s="80">
        <v>33003.8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SUM(F28)</f>
        <v>266.07</v>
      </c>
      <c r="G27" s="33"/>
    </row>
    <row r="28" spans="1:7" ht="12.75" customHeight="1">
      <c r="A28" s="21"/>
      <c r="B28" s="28"/>
      <c r="C28" s="21"/>
      <c r="D28" s="78" t="s">
        <v>30</v>
      </c>
      <c r="E28" s="77" t="s">
        <v>44</v>
      </c>
      <c r="F28" s="81">
        <v>266.07</v>
      </c>
      <c r="G28" s="33"/>
    </row>
    <row r="29" spans="1:7" ht="12.75" customHeight="1">
      <c r="A29" s="21"/>
      <c r="B29" s="28"/>
      <c r="C29" s="21"/>
      <c r="D29" s="78"/>
      <c r="E29" s="77"/>
      <c r="F29" s="59"/>
      <c r="G29" s="33"/>
    </row>
    <row r="30" spans="1:7" ht="12.75" customHeight="1">
      <c r="A30" s="21"/>
      <c r="B30" s="28"/>
      <c r="C30" s="21"/>
      <c r="D30" s="78"/>
      <c r="E30" s="77"/>
      <c r="F30" s="59"/>
      <c r="G30" s="33"/>
    </row>
    <row r="31" spans="1:7" s="37" customFormat="1" ht="15.75" customHeight="1">
      <c r="A31" s="35"/>
      <c r="B31" s="75" t="s">
        <v>16</v>
      </c>
      <c r="C31" s="35"/>
      <c r="D31" s="35"/>
      <c r="E31" s="36"/>
      <c r="F31" s="60"/>
      <c r="G31" s="84">
        <f>-(F33+F38+F47+F49+F56+F64+F66+F68+F70)</f>
        <v>-32873.65</v>
      </c>
    </row>
    <row r="32" spans="1:7" ht="12.75" customHeight="1">
      <c r="A32" s="21"/>
      <c r="B32" s="28"/>
      <c r="C32" s="79" t="s">
        <v>17</v>
      </c>
      <c r="D32" s="21"/>
      <c r="F32" s="59" t="s">
        <v>0</v>
      </c>
      <c r="G32" s="33"/>
    </row>
    <row r="33" spans="1:7" ht="12.75" customHeight="1">
      <c r="A33" s="21"/>
      <c r="B33" s="28"/>
      <c r="D33" s="79" t="s">
        <v>18</v>
      </c>
      <c r="E33" s="38"/>
      <c r="F33" s="65">
        <f>SUM(F34:F36)</f>
        <v>10119.04</v>
      </c>
      <c r="G33" s="33"/>
    </row>
    <row r="34" spans="1:7" ht="12.75" customHeight="1">
      <c r="A34" s="21"/>
      <c r="B34" s="28"/>
      <c r="D34" s="21"/>
      <c r="E34" s="85" t="s">
        <v>147</v>
      </c>
      <c r="F34" s="87">
        <f>178.62+4254.1</f>
        <v>4432.72</v>
      </c>
      <c r="G34" s="33"/>
    </row>
    <row r="35" spans="1:7" ht="12.75" customHeight="1">
      <c r="A35" s="21"/>
      <c r="B35" s="28"/>
      <c r="D35" s="21"/>
      <c r="E35" s="85" t="s">
        <v>109</v>
      </c>
      <c r="F35" s="96">
        <v>5686.32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SUM(F39:F44)</f>
        <v>14117.529999999999</v>
      </c>
      <c r="G38" s="33"/>
    </row>
    <row r="39" spans="1:7" ht="12.75" customHeight="1">
      <c r="A39" s="21"/>
      <c r="B39" s="28"/>
      <c r="C39" s="79"/>
      <c r="D39" s="21"/>
      <c r="E39" s="38" t="s">
        <v>78</v>
      </c>
      <c r="F39" s="82">
        <v>5720</v>
      </c>
      <c r="G39" s="46"/>
    </row>
    <row r="40" spans="1:256" ht="12.75" customHeight="1">
      <c r="A40" s="77"/>
      <c r="B40" s="108"/>
      <c r="C40" s="77"/>
      <c r="D40" s="77"/>
      <c r="E40" s="85" t="s">
        <v>129</v>
      </c>
      <c r="F40" s="106">
        <f>2765.36+420</f>
        <v>3185.36</v>
      </c>
      <c r="G40" s="85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75" customHeight="1">
      <c r="A41" s="77"/>
      <c r="B41" s="108"/>
      <c r="C41" s="77"/>
      <c r="D41" s="77"/>
      <c r="E41" s="85" t="s">
        <v>233</v>
      </c>
      <c r="F41" s="81">
        <v>387.74</v>
      </c>
      <c r="G41" s="85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ht="12.75" customHeight="1">
      <c r="A42" s="77"/>
      <c r="B42" s="108"/>
      <c r="C42" s="77"/>
      <c r="D42" s="77"/>
      <c r="E42" s="85" t="s">
        <v>234</v>
      </c>
      <c r="F42" s="106">
        <v>300</v>
      </c>
      <c r="G42" s="85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ht="12.75" customHeight="1">
      <c r="A43" s="77"/>
      <c r="B43" s="108"/>
      <c r="C43" s="77"/>
      <c r="D43" s="77"/>
      <c r="E43" s="85" t="s">
        <v>235</v>
      </c>
      <c r="F43" s="106">
        <v>254.38</v>
      </c>
      <c r="G43" s="85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ht="12.75" customHeight="1">
      <c r="A44" s="77"/>
      <c r="B44" s="108"/>
      <c r="C44" s="77"/>
      <c r="D44" s="77"/>
      <c r="E44" s="85" t="s">
        <v>236</v>
      </c>
      <c r="F44" s="106">
        <v>4270.05</v>
      </c>
      <c r="G44" s="85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256" ht="12.75" customHeight="1">
      <c r="A45" s="77"/>
      <c r="B45" s="108"/>
      <c r="C45" s="77"/>
      <c r="D45" s="77"/>
      <c r="E45" s="85"/>
      <c r="F45" s="106"/>
      <c r="G45" s="85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</row>
    <row r="46" spans="1:7" ht="12.75" customHeight="1">
      <c r="A46" s="21"/>
      <c r="B46" s="28"/>
      <c r="C46" s="21"/>
      <c r="D46" s="21"/>
      <c r="E46" s="39"/>
      <c r="F46" s="62"/>
      <c r="G46" s="111"/>
    </row>
    <row r="47" spans="1:7" ht="12.75" customHeight="1">
      <c r="A47" s="21"/>
      <c r="B47" s="28"/>
      <c r="C47" s="79" t="s">
        <v>20</v>
      </c>
      <c r="D47" s="21"/>
      <c r="E47" s="38"/>
      <c r="F47" s="64">
        <v>0</v>
      </c>
      <c r="G47" s="33"/>
    </row>
    <row r="48" spans="1:7" ht="12.75" customHeight="1">
      <c r="A48" s="21"/>
      <c r="B48" s="28"/>
      <c r="C48" s="21"/>
      <c r="D48" s="21"/>
      <c r="E48" s="39"/>
      <c r="F48" s="61"/>
      <c r="G48" s="33"/>
    </row>
    <row r="49" spans="1:7" ht="12.75" customHeight="1">
      <c r="A49" s="21"/>
      <c r="B49" s="28"/>
      <c r="C49" s="79" t="s">
        <v>21</v>
      </c>
      <c r="D49" s="21"/>
      <c r="E49" s="38"/>
      <c r="F49" s="65">
        <f>SUM(F50:F54)</f>
        <v>0</v>
      </c>
      <c r="G49" s="33"/>
    </row>
    <row r="50" spans="1:7" ht="12.75" customHeight="1">
      <c r="A50" s="21"/>
      <c r="B50" s="28"/>
      <c r="D50" s="92" t="s">
        <v>22</v>
      </c>
      <c r="E50" s="41"/>
      <c r="F50" s="90">
        <v>0</v>
      </c>
      <c r="G50" s="33"/>
    </row>
    <row r="51" spans="1:7" ht="12.75" customHeight="1">
      <c r="A51" s="21"/>
      <c r="B51" s="28"/>
      <c r="D51" s="92" t="s">
        <v>23</v>
      </c>
      <c r="E51" s="41"/>
      <c r="F51" s="87">
        <v>0</v>
      </c>
      <c r="G51" s="33"/>
    </row>
    <row r="52" spans="1:7" ht="12.75" customHeight="1">
      <c r="A52" s="21"/>
      <c r="B52" s="28"/>
      <c r="D52" s="92" t="s">
        <v>24</v>
      </c>
      <c r="E52" s="41"/>
      <c r="F52" s="87">
        <v>0</v>
      </c>
      <c r="G52" s="33"/>
    </row>
    <row r="53" spans="1:7" ht="12.75" customHeight="1">
      <c r="A53" s="21"/>
      <c r="B53" s="28"/>
      <c r="D53" s="92" t="s">
        <v>25</v>
      </c>
      <c r="E53" s="41"/>
      <c r="F53" s="87">
        <v>0</v>
      </c>
      <c r="G53" s="33"/>
    </row>
    <row r="54" spans="1:7" ht="12.75" customHeight="1">
      <c r="A54" s="21"/>
      <c r="B54" s="28"/>
      <c r="D54" s="92" t="s">
        <v>26</v>
      </c>
      <c r="E54" s="41"/>
      <c r="F54" s="87">
        <v>0</v>
      </c>
      <c r="G54" s="33"/>
    </row>
    <row r="55" spans="1:7" ht="12.75" customHeight="1">
      <c r="A55" s="21"/>
      <c r="B55" s="28"/>
      <c r="D55" s="40"/>
      <c r="E55" s="41"/>
      <c r="F55" s="61"/>
      <c r="G55" s="33"/>
    </row>
    <row r="56" spans="1:7" ht="12.75" customHeight="1">
      <c r="A56" s="21"/>
      <c r="B56" s="28"/>
      <c r="C56" s="79" t="s">
        <v>27</v>
      </c>
      <c r="D56" s="21"/>
      <c r="E56" s="38"/>
      <c r="F56" s="65">
        <f>SUM(F57:F61)</f>
        <v>176.96</v>
      </c>
      <c r="G56" s="33"/>
    </row>
    <row r="57" spans="1:7" ht="12.75" customHeight="1">
      <c r="A57" s="21"/>
      <c r="B57" s="28"/>
      <c r="C57" s="21"/>
      <c r="D57" s="92" t="s">
        <v>28</v>
      </c>
      <c r="E57" s="41"/>
      <c r="F57" s="90">
        <v>176.96</v>
      </c>
      <c r="G57" s="33"/>
    </row>
    <row r="58" spans="1:7" ht="12.75" customHeight="1">
      <c r="A58" s="21"/>
      <c r="B58" s="28"/>
      <c r="D58" s="92" t="s">
        <v>29</v>
      </c>
      <c r="E58" s="42"/>
      <c r="F58" s="87">
        <v>0</v>
      </c>
      <c r="G58" s="33"/>
    </row>
    <row r="59" spans="1:7" ht="12.75" customHeight="1">
      <c r="A59" s="21"/>
      <c r="B59" s="28"/>
      <c r="D59" s="92" t="s">
        <v>31</v>
      </c>
      <c r="E59" s="41"/>
      <c r="F59" s="87">
        <v>0</v>
      </c>
      <c r="G59" s="33"/>
    </row>
    <row r="60" spans="1:7" ht="12.75" customHeight="1">
      <c r="A60" s="21"/>
      <c r="B60" s="28"/>
      <c r="D60" s="92" t="s">
        <v>32</v>
      </c>
      <c r="E60" s="41"/>
      <c r="F60" s="87"/>
      <c r="G60" s="33"/>
    </row>
    <row r="61" spans="1:7" ht="12.75" customHeight="1">
      <c r="A61" s="21"/>
      <c r="B61" s="28"/>
      <c r="D61" s="40"/>
      <c r="E61" s="93" t="s">
        <v>33</v>
      </c>
      <c r="F61" s="87">
        <v>0</v>
      </c>
      <c r="G61" s="33"/>
    </row>
    <row r="62" spans="1:7" ht="12.75" customHeight="1">
      <c r="A62" s="21"/>
      <c r="B62" s="28"/>
      <c r="D62" s="40"/>
      <c r="E62" s="42"/>
      <c r="F62" s="62"/>
      <c r="G62" s="33"/>
    </row>
    <row r="63" spans="1:7" ht="12.75" customHeight="1">
      <c r="A63" s="21"/>
      <c r="B63" s="28"/>
      <c r="C63" s="79" t="s">
        <v>34</v>
      </c>
      <c r="D63" s="21"/>
      <c r="E63" s="38"/>
      <c r="F63" s="59"/>
      <c r="G63" s="33"/>
    </row>
    <row r="64" spans="1:7" ht="12.75" customHeight="1">
      <c r="A64" s="21"/>
      <c r="B64" s="28"/>
      <c r="D64" s="21"/>
      <c r="E64" s="94" t="s">
        <v>35</v>
      </c>
      <c r="F64" s="66">
        <v>0</v>
      </c>
      <c r="G64" s="33"/>
    </row>
    <row r="65" spans="1:7" ht="12.75" customHeight="1">
      <c r="A65" s="21"/>
      <c r="B65" s="28"/>
      <c r="D65" s="21"/>
      <c r="E65" s="43"/>
      <c r="F65" s="59"/>
      <c r="G65" s="33"/>
    </row>
    <row r="66" spans="1:7" ht="12.75" customHeight="1">
      <c r="A66" s="21"/>
      <c r="B66" s="28"/>
      <c r="C66" s="79" t="s">
        <v>36</v>
      </c>
      <c r="D66" s="21"/>
      <c r="E66" s="38"/>
      <c r="F66" s="66">
        <v>0</v>
      </c>
      <c r="G66" s="33"/>
    </row>
    <row r="67" spans="1:7" ht="12.75" customHeight="1">
      <c r="A67" s="21"/>
      <c r="B67" s="28"/>
      <c r="C67" s="21"/>
      <c r="D67" s="21"/>
      <c r="E67" s="38"/>
      <c r="F67" s="59"/>
      <c r="G67" s="33"/>
    </row>
    <row r="68" spans="1:7" ht="12.75" customHeight="1">
      <c r="A68" s="21"/>
      <c r="B68" s="28"/>
      <c r="C68" s="79" t="s">
        <v>37</v>
      </c>
      <c r="D68" s="21"/>
      <c r="E68" s="38"/>
      <c r="F68" s="66">
        <v>0</v>
      </c>
      <c r="G68" s="33"/>
    </row>
    <row r="69" spans="1:7" ht="12.75" customHeight="1">
      <c r="A69" s="21"/>
      <c r="B69" s="28"/>
      <c r="C69" s="21"/>
      <c r="D69" s="21"/>
      <c r="E69" s="38"/>
      <c r="F69" s="59"/>
      <c r="G69" s="33"/>
    </row>
    <row r="70" spans="1:7" ht="12.75" customHeight="1">
      <c r="A70" s="21"/>
      <c r="B70" s="28"/>
      <c r="C70" s="79" t="s">
        <v>38</v>
      </c>
      <c r="D70" s="21"/>
      <c r="E70" s="38"/>
      <c r="F70" s="66">
        <f>SUM(F71:F73)</f>
        <v>8460.12</v>
      </c>
      <c r="G70" s="33"/>
    </row>
    <row r="71" spans="1:7" ht="12.75" customHeight="1">
      <c r="A71" s="21"/>
      <c r="B71" s="28"/>
      <c r="C71" s="79"/>
      <c r="D71" s="21"/>
      <c r="E71" s="38" t="s">
        <v>123</v>
      </c>
      <c r="F71" s="81">
        <f>1437.48+30</f>
        <v>1467.48</v>
      </c>
      <c r="G71" s="33"/>
    </row>
    <row r="72" spans="1:7" ht="12.75" customHeight="1">
      <c r="A72" s="21"/>
      <c r="B72" s="28"/>
      <c r="C72" s="79"/>
      <c r="D72" s="21"/>
      <c r="E72" s="85" t="s">
        <v>139</v>
      </c>
      <c r="F72" s="81">
        <v>4853.38</v>
      </c>
      <c r="G72" s="33"/>
    </row>
    <row r="73" spans="1:7" ht="12.75" customHeight="1">
      <c r="A73" s="21"/>
      <c r="B73" s="28"/>
      <c r="C73" s="79"/>
      <c r="D73" s="21"/>
      <c r="E73" s="85" t="s">
        <v>74</v>
      </c>
      <c r="F73" s="81">
        <v>2139.26</v>
      </c>
      <c r="G73" s="33"/>
    </row>
    <row r="74" spans="1:7" ht="12.75" customHeight="1">
      <c r="A74" s="21"/>
      <c r="B74" s="28"/>
      <c r="C74" s="79"/>
      <c r="D74" s="21"/>
      <c r="E74" s="85"/>
      <c r="F74" s="81"/>
      <c r="G74" s="33"/>
    </row>
    <row r="75" spans="1:7" ht="12.75" customHeight="1">
      <c r="A75" s="21"/>
      <c r="B75" s="28"/>
      <c r="C75" s="21"/>
      <c r="D75" s="21"/>
      <c r="E75" s="43"/>
      <c r="F75" s="59" t="s">
        <v>0</v>
      </c>
      <c r="G75" s="33"/>
    </row>
    <row r="76" spans="1:9" ht="16.5" customHeight="1">
      <c r="A76" s="44"/>
      <c r="B76" s="75" t="s">
        <v>39</v>
      </c>
      <c r="C76" s="45"/>
      <c r="D76" s="45"/>
      <c r="E76" s="39"/>
      <c r="F76" s="59" t="s">
        <v>0</v>
      </c>
      <c r="G76" s="98">
        <f>SUM(G19:G70)</f>
        <v>396.22000000000116</v>
      </c>
      <c r="I76" s="70"/>
    </row>
    <row r="77" spans="1:7" ht="12.75" customHeight="1">
      <c r="A77" s="21"/>
      <c r="B77" s="97" t="s">
        <v>40</v>
      </c>
      <c r="C77" s="21"/>
      <c r="D77" s="21"/>
      <c r="E77" s="43"/>
      <c r="F77" s="59" t="s">
        <v>0</v>
      </c>
      <c r="G77" s="46"/>
    </row>
    <row r="78" spans="2:7" ht="12" customHeight="1">
      <c r="B78" s="47"/>
      <c r="E78" s="38"/>
      <c r="F78" s="59" t="s">
        <v>0</v>
      </c>
      <c r="G78" s="46"/>
    </row>
    <row r="79" spans="2:7" ht="16.5" customHeight="1">
      <c r="B79" s="75" t="s">
        <v>52</v>
      </c>
      <c r="C79" s="35"/>
      <c r="D79" s="35"/>
      <c r="E79" s="48"/>
      <c r="F79" s="60"/>
      <c r="G79" s="98">
        <f>SUM(F81:F83)</f>
        <v>0</v>
      </c>
    </row>
    <row r="80" spans="2:7" ht="12">
      <c r="B80" s="47"/>
      <c r="E80" s="38"/>
      <c r="F80" s="59"/>
      <c r="G80" s="46"/>
    </row>
    <row r="81" spans="2:7" ht="15">
      <c r="B81" s="28"/>
      <c r="C81" s="79" t="s">
        <v>49</v>
      </c>
      <c r="D81" s="21"/>
      <c r="E81" s="38"/>
      <c r="F81" s="64">
        <v>0</v>
      </c>
      <c r="G81" s="46"/>
    </row>
    <row r="82" spans="2:7" ht="15">
      <c r="B82" s="47"/>
      <c r="C82" s="79" t="s">
        <v>50</v>
      </c>
      <c r="E82" s="38"/>
      <c r="F82" s="71">
        <v>0</v>
      </c>
      <c r="G82" s="46"/>
    </row>
    <row r="83" spans="2:7" ht="15">
      <c r="B83" s="47"/>
      <c r="C83" s="79" t="s">
        <v>51</v>
      </c>
      <c r="E83" s="38"/>
      <c r="F83" s="66">
        <v>0</v>
      </c>
      <c r="G83" s="46"/>
    </row>
    <row r="84" spans="2:7" ht="12">
      <c r="B84" s="47"/>
      <c r="E84" s="38"/>
      <c r="F84" s="59"/>
      <c r="G84" s="46"/>
    </row>
    <row r="85" spans="2:7" ht="18">
      <c r="B85" s="75" t="s">
        <v>75</v>
      </c>
      <c r="C85" s="35"/>
      <c r="D85" s="35"/>
      <c r="E85" s="48"/>
      <c r="F85" s="69">
        <v>0</v>
      </c>
      <c r="G85" s="99">
        <v>0</v>
      </c>
    </row>
    <row r="86" spans="2:7" ht="12">
      <c r="B86" s="47"/>
      <c r="E86" s="38"/>
      <c r="F86" s="59"/>
      <c r="G86" s="46"/>
    </row>
    <row r="87" spans="2:7" ht="18">
      <c r="B87" s="75" t="s">
        <v>76</v>
      </c>
      <c r="C87" s="35"/>
      <c r="D87" s="35"/>
      <c r="E87" s="48"/>
      <c r="F87" s="60"/>
      <c r="G87" s="98">
        <f>F89-F90</f>
        <v>0</v>
      </c>
    </row>
    <row r="88" spans="2:7" ht="12">
      <c r="B88" s="47"/>
      <c r="E88" s="38"/>
      <c r="F88" s="59"/>
      <c r="G88" s="46"/>
    </row>
    <row r="89" spans="2:7" ht="14.25">
      <c r="B89" s="47"/>
      <c r="C89" s="79" t="s">
        <v>53</v>
      </c>
      <c r="E89" s="38"/>
      <c r="F89" s="68">
        <v>0</v>
      </c>
      <c r="G89" s="46"/>
    </row>
    <row r="90" spans="2:7" ht="14.25">
      <c r="B90" s="47"/>
      <c r="C90" s="79" t="s">
        <v>54</v>
      </c>
      <c r="E90" s="38"/>
      <c r="F90" s="68">
        <v>0</v>
      </c>
      <c r="G90" s="46"/>
    </row>
    <row r="91" spans="2:7" ht="12">
      <c r="B91" s="47"/>
      <c r="E91" s="38"/>
      <c r="F91" s="59"/>
      <c r="G91" s="46"/>
    </row>
    <row r="92" spans="2:7" ht="12">
      <c r="B92" s="47"/>
      <c r="E92" s="38"/>
      <c r="F92" s="59"/>
      <c r="G92" s="46"/>
    </row>
    <row r="93" spans="2:9" ht="18">
      <c r="B93" s="31"/>
      <c r="E93" s="100" t="s">
        <v>55</v>
      </c>
      <c r="F93" s="59"/>
      <c r="G93" s="101">
        <f>G76+G79+G85+G87</f>
        <v>396.22000000000116</v>
      </c>
      <c r="I93" s="70"/>
    </row>
    <row r="94" spans="2:7" ht="12">
      <c r="B94" s="49"/>
      <c r="C94" s="50"/>
      <c r="D94" s="50"/>
      <c r="E94" s="51"/>
      <c r="F94" s="52"/>
      <c r="G94" s="53"/>
    </row>
    <row r="99" spans="5:7" ht="15.75">
      <c r="E99" s="103" t="s">
        <v>110</v>
      </c>
      <c r="G99" s="107">
        <f>773348.29*0.43/100</f>
        <v>3325.397647</v>
      </c>
    </row>
    <row r="101" spans="5:7" ht="15.75">
      <c r="E101" s="103" t="s">
        <v>111</v>
      </c>
      <c r="G101" s="107">
        <f>-886714.22*0.43/100+2.63</f>
        <v>-3810.2411459999994</v>
      </c>
    </row>
    <row r="103" spans="5:7" ht="18">
      <c r="E103" s="103" t="s">
        <v>156</v>
      </c>
      <c r="G103" s="104">
        <f>G93+G99+G101</f>
        <v>-88.62349899999845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9" r:id="rId1"/>
  <ignoredErrors>
    <ignoredError sqref="G93 G102:G103 G10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4"/>
  <sheetViews>
    <sheetView workbookViewId="0" topLeftCell="A77">
      <selection activeCell="G93" sqref="G93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153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F20+F22+F23+F24+F26</f>
        <v>54150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v>0</v>
      </c>
      <c r="G20" s="32"/>
    </row>
    <row r="21" spans="1:7" ht="12.75" customHeight="1">
      <c r="A21" s="21"/>
      <c r="B21" s="28"/>
      <c r="C21" s="76" t="s">
        <v>8</v>
      </c>
      <c r="D21" s="76" t="s">
        <v>9</v>
      </c>
      <c r="E21" s="77"/>
      <c r="F21" s="81"/>
      <c r="G21" s="32"/>
    </row>
    <row r="22" spans="1:7" ht="12.75" customHeight="1">
      <c r="A22" s="21"/>
      <c r="B22" s="28"/>
      <c r="C22" s="76"/>
      <c r="D22" s="76" t="s">
        <v>10</v>
      </c>
      <c r="E22" s="77"/>
      <c r="F22" s="81">
        <v>0</v>
      </c>
      <c r="G22" s="32"/>
    </row>
    <row r="23" spans="1:7" ht="12.75" customHeight="1">
      <c r="A23" s="21"/>
      <c r="B23" s="28"/>
      <c r="C23" s="76" t="s">
        <v>11</v>
      </c>
      <c r="D23" s="76" t="s">
        <v>12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13</v>
      </c>
      <c r="D24" s="76"/>
      <c r="E24" s="77"/>
      <c r="F24" s="81">
        <v>0</v>
      </c>
      <c r="G24" s="32"/>
    </row>
    <row r="25" spans="1:7" ht="12.75" customHeight="1">
      <c r="A25" s="21"/>
      <c r="B25" s="28"/>
      <c r="C25" s="76" t="s">
        <v>14</v>
      </c>
      <c r="D25" s="76"/>
      <c r="E25" s="77"/>
      <c r="F25" s="81" t="s">
        <v>0</v>
      </c>
      <c r="G25" s="33"/>
    </row>
    <row r="26" spans="1:7" ht="12.75" customHeight="1">
      <c r="A26" s="21"/>
      <c r="B26" s="28"/>
      <c r="C26" s="76"/>
      <c r="D26" s="76" t="s">
        <v>15</v>
      </c>
      <c r="E26" s="77"/>
      <c r="F26" s="64">
        <f>SUM(F27)</f>
        <v>54150</v>
      </c>
      <c r="G26" s="33"/>
    </row>
    <row r="27" spans="1:7" ht="12.75" customHeight="1">
      <c r="A27" s="21"/>
      <c r="B27" s="28"/>
      <c r="C27" s="76"/>
      <c r="D27" s="76" t="s">
        <v>154</v>
      </c>
      <c r="E27" s="77"/>
      <c r="F27" s="82">
        <v>54150</v>
      </c>
      <c r="G27" s="33"/>
    </row>
    <row r="28" spans="1:7" ht="12.75" customHeight="1">
      <c r="A28" s="21"/>
      <c r="B28" s="28"/>
      <c r="C28" s="21"/>
      <c r="D28" s="21"/>
      <c r="E28" s="21"/>
      <c r="F28" s="59"/>
      <c r="G28" s="33"/>
    </row>
    <row r="29" spans="1:7" s="37" customFormat="1" ht="15.75" customHeight="1">
      <c r="A29" s="35"/>
      <c r="B29" s="75" t="s">
        <v>16</v>
      </c>
      <c r="C29" s="35"/>
      <c r="D29" s="35"/>
      <c r="E29" s="36"/>
      <c r="F29" s="60"/>
      <c r="G29" s="84">
        <f>-(F31+F34+F41+F43+F50+F58+F60+F62+F64)</f>
        <v>-52743.979999999996</v>
      </c>
    </row>
    <row r="30" spans="1:7" ht="12.75" customHeight="1">
      <c r="A30" s="21"/>
      <c r="B30" s="28"/>
      <c r="C30" s="79" t="s">
        <v>17</v>
      </c>
      <c r="D30" s="21"/>
      <c r="F30" s="59" t="s">
        <v>0</v>
      </c>
      <c r="G30" s="33"/>
    </row>
    <row r="31" spans="1:7" ht="12.75" customHeight="1">
      <c r="A31" s="21"/>
      <c r="B31" s="28"/>
      <c r="D31" s="79" t="s">
        <v>18</v>
      </c>
      <c r="E31" s="38"/>
      <c r="F31" s="65">
        <v>0</v>
      </c>
      <c r="G31" s="33"/>
    </row>
    <row r="32" spans="1:7" ht="12.75" customHeight="1">
      <c r="A32" s="21"/>
      <c r="B32" s="28"/>
      <c r="D32" s="21"/>
      <c r="E32" s="85"/>
      <c r="F32" s="83"/>
      <c r="G32" s="33"/>
    </row>
    <row r="33" spans="1:7" ht="12.75" customHeight="1">
      <c r="A33" s="21"/>
      <c r="B33" s="28"/>
      <c r="D33" s="21"/>
      <c r="E33" s="38"/>
      <c r="F33" s="62"/>
      <c r="G33" s="33"/>
    </row>
    <row r="34" spans="1:7" ht="12.75" customHeight="1">
      <c r="A34" s="21"/>
      <c r="B34" s="28"/>
      <c r="C34" s="79" t="s">
        <v>19</v>
      </c>
      <c r="D34" s="21"/>
      <c r="E34" s="38"/>
      <c r="F34" s="65">
        <f>SUM(F35:F39)</f>
        <v>29368.87</v>
      </c>
      <c r="G34" s="33"/>
    </row>
    <row r="35" spans="1:256" ht="12.75" customHeight="1">
      <c r="A35" s="77"/>
      <c r="B35" s="108"/>
      <c r="C35" s="77"/>
      <c r="D35" s="77"/>
      <c r="E35" s="85" t="s">
        <v>84</v>
      </c>
      <c r="F35" s="115">
        <v>280</v>
      </c>
      <c r="G35" s="85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256" ht="12.75" customHeight="1">
      <c r="A36" s="77"/>
      <c r="B36" s="108"/>
      <c r="C36" s="77"/>
      <c r="D36" s="77"/>
      <c r="E36" s="85" t="s">
        <v>237</v>
      </c>
      <c r="F36" s="115">
        <v>1030.73</v>
      </c>
      <c r="G36" s="85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256" ht="12.75" customHeight="1">
      <c r="A37" s="77"/>
      <c r="B37" s="108"/>
      <c r="C37" s="77"/>
      <c r="D37" s="77"/>
      <c r="E37" s="85" t="s">
        <v>195</v>
      </c>
      <c r="F37" s="115">
        <v>9198.36</v>
      </c>
      <c r="G37" s="85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ht="12.75" customHeight="1">
      <c r="A38" s="77"/>
      <c r="B38" s="108"/>
      <c r="C38" s="77"/>
      <c r="D38" s="77"/>
      <c r="E38" s="85" t="s">
        <v>70</v>
      </c>
      <c r="F38" s="115">
        <v>16023.57</v>
      </c>
      <c r="G38" s="85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256" ht="12.75" customHeight="1">
      <c r="A39" s="77"/>
      <c r="B39" s="108"/>
      <c r="C39" s="77"/>
      <c r="D39" s="77"/>
      <c r="E39" s="85" t="s">
        <v>196</v>
      </c>
      <c r="F39" s="115">
        <v>2836.21</v>
      </c>
      <c r="G39" s="85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pans="1:7" ht="12.75" customHeight="1">
      <c r="A40" s="21"/>
      <c r="B40" s="28"/>
      <c r="C40" s="21"/>
      <c r="D40" s="21"/>
      <c r="E40" s="39"/>
      <c r="F40" s="62"/>
      <c r="G40" s="111"/>
    </row>
    <row r="41" spans="1:7" ht="12.75" customHeight="1">
      <c r="A41" s="21"/>
      <c r="B41" s="28"/>
      <c r="C41" s="79" t="s">
        <v>20</v>
      </c>
      <c r="D41" s="21"/>
      <c r="E41" s="38"/>
      <c r="F41" s="64">
        <v>0</v>
      </c>
      <c r="G41" s="33"/>
    </row>
    <row r="42" spans="1:7" ht="12.75" customHeight="1">
      <c r="A42" s="21"/>
      <c r="B42" s="28"/>
      <c r="C42" s="21"/>
      <c r="D42" s="21"/>
      <c r="E42" s="39"/>
      <c r="F42" s="61"/>
      <c r="G42" s="33"/>
    </row>
    <row r="43" spans="1:7" ht="12.75" customHeight="1">
      <c r="A43" s="21"/>
      <c r="B43" s="28"/>
      <c r="C43" s="79" t="s">
        <v>21</v>
      </c>
      <c r="D43" s="21"/>
      <c r="E43" s="38"/>
      <c r="F43" s="65">
        <f>SUM(F44:F48)</f>
        <v>23216.09</v>
      </c>
      <c r="G43" s="33"/>
    </row>
    <row r="44" spans="1:7" ht="12.75" customHeight="1">
      <c r="A44" s="21"/>
      <c r="B44" s="28"/>
      <c r="D44" s="92" t="s">
        <v>22</v>
      </c>
      <c r="E44" s="41"/>
      <c r="F44" s="90">
        <v>18616.09</v>
      </c>
      <c r="G44" s="33"/>
    </row>
    <row r="45" spans="1:7" ht="12.75" customHeight="1">
      <c r="A45" s="21"/>
      <c r="B45" s="28"/>
      <c r="D45" s="92" t="s">
        <v>23</v>
      </c>
      <c r="E45" s="41"/>
      <c r="F45" s="87">
        <v>4600</v>
      </c>
      <c r="G45" s="33"/>
    </row>
    <row r="46" spans="1:7" ht="12.75" customHeight="1">
      <c r="A46" s="21"/>
      <c r="B46" s="28"/>
      <c r="D46" s="92" t="s">
        <v>24</v>
      </c>
      <c r="E46" s="41"/>
      <c r="F46" s="87">
        <v>0</v>
      </c>
      <c r="G46" s="33"/>
    </row>
    <row r="47" spans="1:7" ht="12.75" customHeight="1">
      <c r="A47" s="21"/>
      <c r="B47" s="28"/>
      <c r="D47" s="92" t="s">
        <v>25</v>
      </c>
      <c r="E47" s="41"/>
      <c r="F47" s="87">
        <v>0</v>
      </c>
      <c r="G47" s="33"/>
    </row>
    <row r="48" spans="1:7" ht="12.75" customHeight="1">
      <c r="A48" s="21"/>
      <c r="B48" s="28"/>
      <c r="D48" s="92" t="s">
        <v>26</v>
      </c>
      <c r="E48" s="41"/>
      <c r="F48" s="87">
        <v>0</v>
      </c>
      <c r="G48" s="33"/>
    </row>
    <row r="49" spans="1:7" ht="12.75" customHeight="1">
      <c r="A49" s="21"/>
      <c r="B49" s="28"/>
      <c r="D49" s="40"/>
      <c r="E49" s="41"/>
      <c r="F49" s="61"/>
      <c r="G49" s="33"/>
    </row>
    <row r="50" spans="1:7" ht="12.75" customHeight="1">
      <c r="A50" s="21"/>
      <c r="B50" s="28"/>
      <c r="C50" s="79" t="s">
        <v>27</v>
      </c>
      <c r="D50" s="21"/>
      <c r="E50" s="38"/>
      <c r="F50" s="65">
        <f>SUM(F51:F55)</f>
        <v>153.59</v>
      </c>
      <c r="G50" s="33"/>
    </row>
    <row r="51" spans="1:7" ht="12.75" customHeight="1">
      <c r="A51" s="21"/>
      <c r="B51" s="28"/>
      <c r="C51" s="21"/>
      <c r="D51" s="92" t="s">
        <v>28</v>
      </c>
      <c r="E51" s="41"/>
      <c r="F51" s="90">
        <v>0</v>
      </c>
      <c r="G51" s="33"/>
    </row>
    <row r="52" spans="1:7" ht="12.75" customHeight="1">
      <c r="A52" s="21"/>
      <c r="B52" s="28"/>
      <c r="D52" s="92" t="s">
        <v>29</v>
      </c>
      <c r="E52" s="42"/>
      <c r="F52" s="87">
        <v>153.59</v>
      </c>
      <c r="G52" s="33"/>
    </row>
    <row r="53" spans="1:7" ht="12.75" customHeight="1">
      <c r="A53" s="21"/>
      <c r="B53" s="28"/>
      <c r="D53" s="92" t="s">
        <v>31</v>
      </c>
      <c r="E53" s="41"/>
      <c r="F53" s="87">
        <v>0</v>
      </c>
      <c r="G53" s="33"/>
    </row>
    <row r="54" spans="1:7" ht="12.75" customHeight="1">
      <c r="A54" s="21"/>
      <c r="B54" s="28"/>
      <c r="D54" s="92" t="s">
        <v>32</v>
      </c>
      <c r="E54" s="41"/>
      <c r="F54" s="87"/>
      <c r="G54" s="33"/>
    </row>
    <row r="55" spans="1:7" ht="12.75" customHeight="1">
      <c r="A55" s="21"/>
      <c r="B55" s="28"/>
      <c r="D55" s="40"/>
      <c r="E55" s="93" t="s">
        <v>33</v>
      </c>
      <c r="F55" s="87">
        <v>0</v>
      </c>
      <c r="G55" s="33"/>
    </row>
    <row r="56" spans="1:7" ht="12.75" customHeight="1">
      <c r="A56" s="21"/>
      <c r="B56" s="28"/>
      <c r="D56" s="40"/>
      <c r="E56" s="42"/>
      <c r="F56" s="62"/>
      <c r="G56" s="33"/>
    </row>
    <row r="57" spans="1:7" ht="12.75" customHeight="1">
      <c r="A57" s="21"/>
      <c r="B57" s="28"/>
      <c r="C57" s="79" t="s">
        <v>34</v>
      </c>
      <c r="D57" s="21"/>
      <c r="E57" s="38"/>
      <c r="F57" s="59"/>
      <c r="G57" s="33"/>
    </row>
    <row r="58" spans="1:7" ht="12.75" customHeight="1">
      <c r="A58" s="21"/>
      <c r="B58" s="28"/>
      <c r="D58" s="21"/>
      <c r="E58" s="94" t="s">
        <v>35</v>
      </c>
      <c r="F58" s="66">
        <v>0</v>
      </c>
      <c r="G58" s="33"/>
    </row>
    <row r="59" spans="1:7" ht="12.75" customHeight="1">
      <c r="A59" s="21"/>
      <c r="B59" s="28"/>
      <c r="D59" s="21"/>
      <c r="E59" s="43"/>
      <c r="F59" s="59"/>
      <c r="G59" s="33"/>
    </row>
    <row r="60" spans="1:7" ht="12.75" customHeight="1">
      <c r="A60" s="21"/>
      <c r="B60" s="28"/>
      <c r="C60" s="79" t="s">
        <v>36</v>
      </c>
      <c r="D60" s="21"/>
      <c r="E60" s="38"/>
      <c r="F60" s="66">
        <v>0</v>
      </c>
      <c r="G60" s="33"/>
    </row>
    <row r="61" spans="1:7" ht="12.75" customHeight="1">
      <c r="A61" s="21"/>
      <c r="B61" s="28"/>
      <c r="C61" s="21"/>
      <c r="D61" s="21"/>
      <c r="E61" s="38"/>
      <c r="F61" s="59"/>
      <c r="G61" s="33"/>
    </row>
    <row r="62" spans="1:7" ht="12.75" customHeight="1">
      <c r="A62" s="21"/>
      <c r="B62" s="28"/>
      <c r="C62" s="79" t="s">
        <v>37</v>
      </c>
      <c r="D62" s="21"/>
      <c r="E62" s="38"/>
      <c r="F62" s="66">
        <v>0</v>
      </c>
      <c r="G62" s="33"/>
    </row>
    <row r="63" spans="1:7" ht="12.75" customHeight="1">
      <c r="A63" s="21"/>
      <c r="B63" s="28"/>
      <c r="C63" s="21"/>
      <c r="D63" s="21"/>
      <c r="E63" s="38"/>
      <c r="F63" s="59"/>
      <c r="G63" s="33"/>
    </row>
    <row r="64" spans="1:7" ht="12.75" customHeight="1">
      <c r="A64" s="21"/>
      <c r="B64" s="28"/>
      <c r="C64" s="79" t="s">
        <v>38</v>
      </c>
      <c r="D64" s="21"/>
      <c r="E64" s="38"/>
      <c r="F64" s="66">
        <f>SUM(F65:F65)</f>
        <v>5.43</v>
      </c>
      <c r="G64" s="33"/>
    </row>
    <row r="65" spans="1:7" ht="12.75" customHeight="1">
      <c r="A65" s="21"/>
      <c r="B65" s="28"/>
      <c r="C65" s="79"/>
      <c r="D65" s="21"/>
      <c r="E65" s="38" t="s">
        <v>61</v>
      </c>
      <c r="F65" s="81">
        <v>5.43</v>
      </c>
      <c r="G65" s="33"/>
    </row>
    <row r="66" spans="1:7" ht="12.75" customHeight="1">
      <c r="A66" s="21"/>
      <c r="B66" s="28"/>
      <c r="C66" s="21"/>
      <c r="D66" s="21"/>
      <c r="E66" s="43"/>
      <c r="F66" s="59" t="s">
        <v>0</v>
      </c>
      <c r="G66" s="33"/>
    </row>
    <row r="67" spans="1:9" ht="16.5" customHeight="1">
      <c r="A67" s="44"/>
      <c r="B67" s="75" t="s">
        <v>39</v>
      </c>
      <c r="C67" s="45"/>
      <c r="D67" s="45"/>
      <c r="E67" s="39"/>
      <c r="F67" s="59" t="s">
        <v>0</v>
      </c>
      <c r="G67" s="98">
        <f>SUM(G19:G64)</f>
        <v>1406.020000000004</v>
      </c>
      <c r="I67" s="70"/>
    </row>
    <row r="68" spans="1:7" ht="12.75" customHeight="1">
      <c r="A68" s="21"/>
      <c r="B68" s="97" t="s">
        <v>40</v>
      </c>
      <c r="C68" s="21"/>
      <c r="D68" s="21"/>
      <c r="E68" s="43"/>
      <c r="F68" s="59" t="s">
        <v>0</v>
      </c>
      <c r="G68" s="46"/>
    </row>
    <row r="69" spans="2:7" ht="12" customHeight="1">
      <c r="B69" s="47"/>
      <c r="E69" s="38"/>
      <c r="F69" s="59" t="s">
        <v>0</v>
      </c>
      <c r="G69" s="46"/>
    </row>
    <row r="70" spans="2:7" ht="16.5" customHeight="1">
      <c r="B70" s="75" t="s">
        <v>52</v>
      </c>
      <c r="C70" s="35"/>
      <c r="D70" s="35"/>
      <c r="E70" s="48"/>
      <c r="F70" s="60"/>
      <c r="G70" s="98">
        <f>SUM(F72:F74)</f>
        <v>0</v>
      </c>
    </row>
    <row r="71" spans="2:7" ht="12">
      <c r="B71" s="47"/>
      <c r="E71" s="38"/>
      <c r="F71" s="59"/>
      <c r="G71" s="46"/>
    </row>
    <row r="72" spans="2:7" ht="15">
      <c r="B72" s="28"/>
      <c r="C72" s="79" t="s">
        <v>49</v>
      </c>
      <c r="D72" s="21"/>
      <c r="E72" s="38"/>
      <c r="F72" s="64">
        <v>0</v>
      </c>
      <c r="G72" s="46"/>
    </row>
    <row r="73" spans="2:7" ht="15">
      <c r="B73" s="47"/>
      <c r="C73" s="79" t="s">
        <v>50</v>
      </c>
      <c r="E73" s="38"/>
      <c r="F73" s="71">
        <v>0</v>
      </c>
      <c r="G73" s="46"/>
    </row>
    <row r="74" spans="2:7" ht="15">
      <c r="B74" s="47"/>
      <c r="C74" s="79" t="s">
        <v>51</v>
      </c>
      <c r="E74" s="38"/>
      <c r="F74" s="66">
        <v>0</v>
      </c>
      <c r="G74" s="46"/>
    </row>
    <row r="75" spans="2:7" ht="12">
      <c r="B75" s="47"/>
      <c r="E75" s="38"/>
      <c r="F75" s="59"/>
      <c r="G75" s="46"/>
    </row>
    <row r="76" spans="2:7" ht="18">
      <c r="B76" s="75" t="s">
        <v>75</v>
      </c>
      <c r="C76" s="35"/>
      <c r="D76" s="35"/>
      <c r="E76" s="48"/>
      <c r="F76" s="69">
        <v>0</v>
      </c>
      <c r="G76" s="99">
        <v>0</v>
      </c>
    </row>
    <row r="77" spans="2:7" ht="12">
      <c r="B77" s="47"/>
      <c r="E77" s="38"/>
      <c r="F77" s="59"/>
      <c r="G77" s="46"/>
    </row>
    <row r="78" spans="2:7" ht="18">
      <c r="B78" s="75" t="s">
        <v>76</v>
      </c>
      <c r="C78" s="35"/>
      <c r="D78" s="35"/>
      <c r="E78" s="48"/>
      <c r="F78" s="60"/>
      <c r="G78" s="98">
        <f>F80-F81</f>
        <v>0</v>
      </c>
    </row>
    <row r="79" spans="2:7" ht="12">
      <c r="B79" s="47"/>
      <c r="E79" s="38"/>
      <c r="F79" s="59"/>
      <c r="G79" s="46"/>
    </row>
    <row r="80" spans="2:7" ht="14.25">
      <c r="B80" s="47"/>
      <c r="C80" s="79" t="s">
        <v>53</v>
      </c>
      <c r="E80" s="38"/>
      <c r="F80" s="68">
        <v>0</v>
      </c>
      <c r="G80" s="46"/>
    </row>
    <row r="81" spans="2:7" ht="14.25">
      <c r="B81" s="47"/>
      <c r="C81" s="79" t="s">
        <v>54</v>
      </c>
      <c r="E81" s="38"/>
      <c r="F81" s="68">
        <v>0</v>
      </c>
      <c r="G81" s="46"/>
    </row>
    <row r="82" spans="2:7" ht="12">
      <c r="B82" s="47"/>
      <c r="E82" s="38"/>
      <c r="F82" s="59"/>
      <c r="G82" s="46"/>
    </row>
    <row r="83" spans="2:7" ht="12">
      <c r="B83" s="47"/>
      <c r="E83" s="38"/>
      <c r="F83" s="59"/>
      <c r="G83" s="46"/>
    </row>
    <row r="84" spans="2:9" ht="18">
      <c r="B84" s="31"/>
      <c r="E84" s="100" t="s">
        <v>55</v>
      </c>
      <c r="F84" s="59"/>
      <c r="G84" s="101">
        <f>G67+G70+G76+G78</f>
        <v>1406.020000000004</v>
      </c>
      <c r="I84" s="70"/>
    </row>
    <row r="85" spans="2:7" ht="12">
      <c r="B85" s="49"/>
      <c r="C85" s="50"/>
      <c r="D85" s="50"/>
      <c r="E85" s="51"/>
      <c r="F85" s="52"/>
      <c r="G85" s="53"/>
    </row>
    <row r="90" spans="5:7" ht="15.75">
      <c r="E90" s="103" t="s">
        <v>110</v>
      </c>
      <c r="G90" s="107">
        <f>773348.29*0.65/100</f>
        <v>5026.763885</v>
      </c>
    </row>
    <row r="92" spans="5:7" ht="15.75">
      <c r="E92" s="103" t="s">
        <v>111</v>
      </c>
      <c r="G92" s="107">
        <f>-886714.22*0.65/100+2.6</f>
        <v>-5761.0424299999995</v>
      </c>
    </row>
    <row r="94" spans="5:7" ht="18">
      <c r="E94" s="103" t="s">
        <v>156</v>
      </c>
      <c r="G94" s="104">
        <f>G84+G90+G92</f>
        <v>671.7414550000049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9" r:id="rId1"/>
  <ignoredErrors>
    <ignoredError sqref="G84 G9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8"/>
  <sheetViews>
    <sheetView workbookViewId="0" topLeftCell="A91">
      <selection activeCell="G107" sqref="G107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155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329414.58999999997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SUM(F21)</f>
        <v>229823.62</v>
      </c>
      <c r="G20" s="32"/>
    </row>
    <row r="21" spans="1:7" ht="12.75" customHeight="1">
      <c r="A21" s="21"/>
      <c r="B21" s="28"/>
      <c r="C21" s="76"/>
      <c r="D21" s="76" t="s">
        <v>157</v>
      </c>
      <c r="E21" s="77" t="s">
        <v>158</v>
      </c>
      <c r="F21" s="82">
        <v>229823.62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SUM(F28:F30)</f>
        <v>99590.97</v>
      </c>
      <c r="G27" s="33"/>
    </row>
    <row r="28" spans="1:7" ht="12.75" customHeight="1">
      <c r="A28" s="21"/>
      <c r="B28" s="28"/>
      <c r="C28" s="76"/>
      <c r="D28" s="76" t="s">
        <v>159</v>
      </c>
      <c r="E28" s="77"/>
      <c r="F28" s="82">
        <v>54750</v>
      </c>
      <c r="G28" s="33"/>
    </row>
    <row r="29" spans="1:7" ht="12.75" customHeight="1">
      <c r="A29" s="21"/>
      <c r="B29" s="28"/>
      <c r="C29" s="76"/>
      <c r="D29" s="76" t="s">
        <v>238</v>
      </c>
      <c r="E29" s="77"/>
      <c r="F29" s="82">
        <v>43618.31</v>
      </c>
      <c r="G29" s="33"/>
    </row>
    <row r="30" spans="1:7" ht="12.75" customHeight="1">
      <c r="A30" s="21"/>
      <c r="B30" s="28"/>
      <c r="C30" s="76"/>
      <c r="D30" s="76" t="s">
        <v>160</v>
      </c>
      <c r="E30" s="77"/>
      <c r="F30" s="82">
        <f>1000+222.66</f>
        <v>1222.66</v>
      </c>
      <c r="G30" s="33"/>
    </row>
    <row r="31" spans="1:7" ht="12.75" customHeight="1">
      <c r="A31" s="21"/>
      <c r="B31" s="28"/>
      <c r="C31" s="21"/>
      <c r="D31" s="21"/>
      <c r="E31" s="21"/>
      <c r="F31" s="59"/>
      <c r="G31" s="33"/>
    </row>
    <row r="32" spans="1:7" s="37" customFormat="1" ht="15.75" customHeight="1">
      <c r="A32" s="35"/>
      <c r="B32" s="75" t="s">
        <v>16</v>
      </c>
      <c r="C32" s="35"/>
      <c r="D32" s="35"/>
      <c r="E32" s="36"/>
      <c r="F32" s="60"/>
      <c r="G32" s="84">
        <f>-(F34+F38+F50+F53+F60+F68+F70+F72+F74)</f>
        <v>-295552.51</v>
      </c>
    </row>
    <row r="33" spans="1:7" ht="12.75" customHeight="1">
      <c r="A33" s="21"/>
      <c r="B33" s="28"/>
      <c r="C33" s="79" t="s">
        <v>17</v>
      </c>
      <c r="D33" s="21"/>
      <c r="F33" s="59" t="s">
        <v>0</v>
      </c>
      <c r="G33" s="33"/>
    </row>
    <row r="34" spans="1:7" ht="12.75" customHeight="1">
      <c r="A34" s="21"/>
      <c r="B34" s="28"/>
      <c r="D34" s="79" t="s">
        <v>18</v>
      </c>
      <c r="E34" s="38"/>
      <c r="F34" s="65">
        <f>SUM(F35:F36)</f>
        <v>5661.32</v>
      </c>
      <c r="G34" s="33"/>
    </row>
    <row r="35" spans="1:7" ht="12.75" customHeight="1">
      <c r="A35" s="21"/>
      <c r="B35" s="28"/>
      <c r="D35" s="21"/>
      <c r="E35" s="85" t="s">
        <v>107</v>
      </c>
      <c r="F35" s="83">
        <v>4099.54</v>
      </c>
      <c r="G35" s="33"/>
    </row>
    <row r="36" spans="1:7" ht="12.75" customHeight="1">
      <c r="A36" s="21"/>
      <c r="B36" s="28"/>
      <c r="D36" s="21"/>
      <c r="E36" s="85" t="s">
        <v>147</v>
      </c>
      <c r="F36" s="112">
        <v>1561.78</v>
      </c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SUM(F39:F47)</f>
        <v>201914.97000000003</v>
      </c>
      <c r="G38" s="33"/>
    </row>
    <row r="39" spans="1:7" ht="12.75" customHeight="1">
      <c r="A39" s="21"/>
      <c r="B39" s="28"/>
      <c r="C39" s="79"/>
      <c r="D39" s="21"/>
      <c r="E39" s="38" t="s">
        <v>78</v>
      </c>
      <c r="F39" s="86">
        <v>2388</v>
      </c>
      <c r="G39" s="33"/>
    </row>
    <row r="40" spans="1:7" ht="12.75" customHeight="1">
      <c r="A40" s="21"/>
      <c r="B40" s="28"/>
      <c r="C40" s="79"/>
      <c r="D40" s="21"/>
      <c r="E40" s="38" t="s">
        <v>79</v>
      </c>
      <c r="F40" s="86">
        <f>507.48+771.48</f>
        <v>1278.96</v>
      </c>
      <c r="G40" s="33"/>
    </row>
    <row r="41" spans="1:7" ht="12.75" customHeight="1">
      <c r="A41" s="21"/>
      <c r="B41" s="28"/>
      <c r="C41" s="21"/>
      <c r="D41" s="21"/>
      <c r="E41" s="85" t="s">
        <v>129</v>
      </c>
      <c r="F41" s="87">
        <f>1995.03+350.04</f>
        <v>2345.07</v>
      </c>
      <c r="G41" s="33"/>
    </row>
    <row r="42" spans="1:256" ht="12.75" customHeight="1">
      <c r="A42" s="85"/>
      <c r="B42" s="77"/>
      <c r="C42" s="77"/>
      <c r="D42" s="77"/>
      <c r="E42" s="85" t="s">
        <v>119</v>
      </c>
      <c r="F42" s="105">
        <v>1062.21</v>
      </c>
      <c r="G42" s="85"/>
      <c r="H42" s="77"/>
      <c r="I42" s="77"/>
      <c r="J42" s="77"/>
      <c r="K42" s="77"/>
      <c r="L42" s="77"/>
      <c r="M42" s="77"/>
      <c r="N42" s="77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 t="s">
        <v>81</v>
      </c>
      <c r="BE42" s="85" t="s">
        <v>81</v>
      </c>
      <c r="BF42" s="85" t="s">
        <v>81</v>
      </c>
      <c r="BG42" s="85" t="s">
        <v>81</v>
      </c>
      <c r="BH42" s="85" t="s">
        <v>81</v>
      </c>
      <c r="BI42" s="85" t="s">
        <v>81</v>
      </c>
      <c r="BJ42" s="85" t="s">
        <v>81</v>
      </c>
      <c r="BK42" s="85" t="s">
        <v>81</v>
      </c>
      <c r="BL42" s="85" t="s">
        <v>81</v>
      </c>
      <c r="BM42" s="85" t="s">
        <v>81</v>
      </c>
      <c r="BN42" s="85" t="s">
        <v>81</v>
      </c>
      <c r="BO42" s="85" t="s">
        <v>81</v>
      </c>
      <c r="BP42" s="85" t="s">
        <v>81</v>
      </c>
      <c r="BQ42" s="85" t="s">
        <v>81</v>
      </c>
      <c r="BR42" s="85" t="s">
        <v>81</v>
      </c>
      <c r="BS42" s="85" t="s">
        <v>81</v>
      </c>
      <c r="BT42" s="85" t="s">
        <v>81</v>
      </c>
      <c r="BU42" s="85" t="s">
        <v>81</v>
      </c>
      <c r="BV42" s="85" t="s">
        <v>81</v>
      </c>
      <c r="BW42" s="85" t="s">
        <v>81</v>
      </c>
      <c r="BX42" s="85" t="s">
        <v>81</v>
      </c>
      <c r="BY42" s="85" t="s">
        <v>81</v>
      </c>
      <c r="BZ42" s="85" t="s">
        <v>81</v>
      </c>
      <c r="CA42" s="85" t="s">
        <v>81</v>
      </c>
      <c r="CB42" s="85" t="s">
        <v>81</v>
      </c>
      <c r="CC42" s="85" t="s">
        <v>81</v>
      </c>
      <c r="CD42" s="85" t="s">
        <v>81</v>
      </c>
      <c r="CE42" s="85" t="s">
        <v>81</v>
      </c>
      <c r="CF42" s="85" t="s">
        <v>81</v>
      </c>
      <c r="CG42" s="85" t="s">
        <v>81</v>
      </c>
      <c r="CH42" s="85" t="s">
        <v>81</v>
      </c>
      <c r="CI42" s="85" t="s">
        <v>81</v>
      </c>
      <c r="CJ42" s="85" t="s">
        <v>81</v>
      </c>
      <c r="CK42" s="85" t="s">
        <v>81</v>
      </c>
      <c r="CL42" s="85" t="s">
        <v>81</v>
      </c>
      <c r="CM42" s="85" t="s">
        <v>81</v>
      </c>
      <c r="CN42" s="85" t="s">
        <v>81</v>
      </c>
      <c r="CO42" s="85" t="s">
        <v>81</v>
      </c>
      <c r="CP42" s="85" t="s">
        <v>81</v>
      </c>
      <c r="CQ42" s="85" t="s">
        <v>81</v>
      </c>
      <c r="CR42" s="85" t="s">
        <v>81</v>
      </c>
      <c r="CS42" s="85" t="s">
        <v>81</v>
      </c>
      <c r="CT42" s="85" t="s">
        <v>81</v>
      </c>
      <c r="CU42" s="85" t="s">
        <v>81</v>
      </c>
      <c r="CV42" s="85" t="s">
        <v>81</v>
      </c>
      <c r="CW42" s="85" t="s">
        <v>81</v>
      </c>
      <c r="CX42" s="85" t="s">
        <v>81</v>
      </c>
      <c r="CY42" s="85" t="s">
        <v>81</v>
      </c>
      <c r="CZ42" s="85" t="s">
        <v>81</v>
      </c>
      <c r="DA42" s="85" t="s">
        <v>81</v>
      </c>
      <c r="DB42" s="85" t="s">
        <v>81</v>
      </c>
      <c r="DC42" s="85" t="s">
        <v>81</v>
      </c>
      <c r="DD42" s="85" t="s">
        <v>81</v>
      </c>
      <c r="DE42" s="85" t="s">
        <v>81</v>
      </c>
      <c r="DF42" s="85" t="s">
        <v>81</v>
      </c>
      <c r="DG42" s="85" t="s">
        <v>81</v>
      </c>
      <c r="DH42" s="85" t="s">
        <v>81</v>
      </c>
      <c r="DI42" s="85" t="s">
        <v>81</v>
      </c>
      <c r="DJ42" s="85" t="s">
        <v>81</v>
      </c>
      <c r="DK42" s="85" t="s">
        <v>81</v>
      </c>
      <c r="DL42" s="85" t="s">
        <v>81</v>
      </c>
      <c r="DM42" s="85" t="s">
        <v>81</v>
      </c>
      <c r="DN42" s="85" t="s">
        <v>81</v>
      </c>
      <c r="DO42" s="85" t="s">
        <v>81</v>
      </c>
      <c r="DP42" s="85" t="s">
        <v>81</v>
      </c>
      <c r="DQ42" s="85" t="s">
        <v>81</v>
      </c>
      <c r="DR42" s="85" t="s">
        <v>81</v>
      </c>
      <c r="DS42" s="85" t="s">
        <v>81</v>
      </c>
      <c r="DT42" s="85" t="s">
        <v>81</v>
      </c>
      <c r="DU42" s="85" t="s">
        <v>81</v>
      </c>
      <c r="DV42" s="85" t="s">
        <v>81</v>
      </c>
      <c r="DW42" s="85" t="s">
        <v>81</v>
      </c>
      <c r="DX42" s="85" t="s">
        <v>81</v>
      </c>
      <c r="DY42" s="85" t="s">
        <v>81</v>
      </c>
      <c r="DZ42" s="85" t="s">
        <v>81</v>
      </c>
      <c r="EA42" s="85" t="s">
        <v>81</v>
      </c>
      <c r="EB42" s="85" t="s">
        <v>81</v>
      </c>
      <c r="EC42" s="85" t="s">
        <v>81</v>
      </c>
      <c r="ED42" s="85" t="s">
        <v>81</v>
      </c>
      <c r="EE42" s="85" t="s">
        <v>81</v>
      </c>
      <c r="EF42" s="85" t="s">
        <v>81</v>
      </c>
      <c r="EG42" s="85" t="s">
        <v>81</v>
      </c>
      <c r="EH42" s="85" t="s">
        <v>81</v>
      </c>
      <c r="EI42" s="85" t="s">
        <v>81</v>
      </c>
      <c r="EJ42" s="85" t="s">
        <v>81</v>
      </c>
      <c r="EK42" s="85" t="s">
        <v>81</v>
      </c>
      <c r="EL42" s="85" t="s">
        <v>81</v>
      </c>
      <c r="EM42" s="85" t="s">
        <v>81</v>
      </c>
      <c r="EN42" s="85" t="s">
        <v>81</v>
      </c>
      <c r="EO42" s="85" t="s">
        <v>81</v>
      </c>
      <c r="EP42" s="85" t="s">
        <v>81</v>
      </c>
      <c r="EQ42" s="85" t="s">
        <v>81</v>
      </c>
      <c r="ER42" s="85" t="s">
        <v>81</v>
      </c>
      <c r="ES42" s="85" t="s">
        <v>81</v>
      </c>
      <c r="ET42" s="85" t="s">
        <v>81</v>
      </c>
      <c r="EU42" s="85" t="s">
        <v>81</v>
      </c>
      <c r="EV42" s="85" t="s">
        <v>81</v>
      </c>
      <c r="EW42" s="85" t="s">
        <v>81</v>
      </c>
      <c r="EX42" s="85" t="s">
        <v>81</v>
      </c>
      <c r="EY42" s="85" t="s">
        <v>81</v>
      </c>
      <c r="EZ42" s="85" t="s">
        <v>81</v>
      </c>
      <c r="FA42" s="85" t="s">
        <v>81</v>
      </c>
      <c r="FB42" s="85" t="s">
        <v>81</v>
      </c>
      <c r="FC42" s="85" t="s">
        <v>81</v>
      </c>
      <c r="FD42" s="85" t="s">
        <v>81</v>
      </c>
      <c r="FE42" s="85" t="s">
        <v>81</v>
      </c>
      <c r="FF42" s="85" t="s">
        <v>81</v>
      </c>
      <c r="FG42" s="85" t="s">
        <v>81</v>
      </c>
      <c r="FH42" s="85" t="s">
        <v>81</v>
      </c>
      <c r="FI42" s="85" t="s">
        <v>81</v>
      </c>
      <c r="FJ42" s="85" t="s">
        <v>81</v>
      </c>
      <c r="FK42" s="85" t="s">
        <v>81</v>
      </c>
      <c r="FL42" s="85" t="s">
        <v>81</v>
      </c>
      <c r="FM42" s="85" t="s">
        <v>81</v>
      </c>
      <c r="FN42" s="85" t="s">
        <v>81</v>
      </c>
      <c r="FO42" s="85" t="s">
        <v>81</v>
      </c>
      <c r="FP42" s="85" t="s">
        <v>81</v>
      </c>
      <c r="FQ42" s="85" t="s">
        <v>81</v>
      </c>
      <c r="FR42" s="85" t="s">
        <v>81</v>
      </c>
      <c r="FS42" s="85" t="s">
        <v>81</v>
      </c>
      <c r="FT42" s="85" t="s">
        <v>81</v>
      </c>
      <c r="FU42" s="85" t="s">
        <v>81</v>
      </c>
      <c r="FV42" s="85" t="s">
        <v>81</v>
      </c>
      <c r="FW42" s="85" t="s">
        <v>81</v>
      </c>
      <c r="FX42" s="85" t="s">
        <v>81</v>
      </c>
      <c r="FY42" s="85" t="s">
        <v>81</v>
      </c>
      <c r="FZ42" s="85" t="s">
        <v>81</v>
      </c>
      <c r="GA42" s="85" t="s">
        <v>81</v>
      </c>
      <c r="GB42" s="85" t="s">
        <v>81</v>
      </c>
      <c r="GC42" s="85" t="s">
        <v>81</v>
      </c>
      <c r="GD42" s="85" t="s">
        <v>81</v>
      </c>
      <c r="GE42" s="85" t="s">
        <v>81</v>
      </c>
      <c r="GF42" s="85" t="s">
        <v>81</v>
      </c>
      <c r="GG42" s="85" t="s">
        <v>81</v>
      </c>
      <c r="GH42" s="85" t="s">
        <v>81</v>
      </c>
      <c r="GI42" s="85" t="s">
        <v>81</v>
      </c>
      <c r="GJ42" s="85" t="s">
        <v>81</v>
      </c>
      <c r="GK42" s="85" t="s">
        <v>81</v>
      </c>
      <c r="GL42" s="85" t="s">
        <v>81</v>
      </c>
      <c r="GM42" s="85" t="s">
        <v>81</v>
      </c>
      <c r="GN42" s="85" t="s">
        <v>81</v>
      </c>
      <c r="GO42" s="85" t="s">
        <v>81</v>
      </c>
      <c r="GP42" s="85" t="s">
        <v>81</v>
      </c>
      <c r="GQ42" s="85" t="s">
        <v>81</v>
      </c>
      <c r="GR42" s="85" t="s">
        <v>81</v>
      </c>
      <c r="GS42" s="85" t="s">
        <v>81</v>
      </c>
      <c r="GT42" s="85" t="s">
        <v>81</v>
      </c>
      <c r="GU42" s="85" t="s">
        <v>81</v>
      </c>
      <c r="GV42" s="85" t="s">
        <v>81</v>
      </c>
      <c r="GW42" s="85" t="s">
        <v>81</v>
      </c>
      <c r="GX42" s="85" t="s">
        <v>81</v>
      </c>
      <c r="GY42" s="85" t="s">
        <v>81</v>
      </c>
      <c r="GZ42" s="85" t="s">
        <v>81</v>
      </c>
      <c r="HA42" s="85" t="s">
        <v>81</v>
      </c>
      <c r="HB42" s="85" t="s">
        <v>81</v>
      </c>
      <c r="HC42" s="85" t="s">
        <v>81</v>
      </c>
      <c r="HD42" s="85" t="s">
        <v>81</v>
      </c>
      <c r="HE42" s="85" t="s">
        <v>81</v>
      </c>
      <c r="HF42" s="85" t="s">
        <v>81</v>
      </c>
      <c r="HG42" s="85" t="s">
        <v>81</v>
      </c>
      <c r="HH42" s="85" t="s">
        <v>81</v>
      </c>
      <c r="HI42" s="85" t="s">
        <v>81</v>
      </c>
      <c r="HJ42" s="85" t="s">
        <v>81</v>
      </c>
      <c r="HK42" s="85" t="s">
        <v>81</v>
      </c>
      <c r="HL42" s="85" t="s">
        <v>81</v>
      </c>
      <c r="HM42" s="85" t="s">
        <v>81</v>
      </c>
      <c r="HN42" s="85" t="s">
        <v>81</v>
      </c>
      <c r="HO42" s="85" t="s">
        <v>81</v>
      </c>
      <c r="HP42" s="85" t="s">
        <v>81</v>
      </c>
      <c r="HQ42" s="85" t="s">
        <v>81</v>
      </c>
      <c r="HR42" s="85" t="s">
        <v>81</v>
      </c>
      <c r="HS42" s="85" t="s">
        <v>81</v>
      </c>
      <c r="HT42" s="85" t="s">
        <v>81</v>
      </c>
      <c r="HU42" s="85" t="s">
        <v>81</v>
      </c>
      <c r="HV42" s="85" t="s">
        <v>81</v>
      </c>
      <c r="HW42" s="85" t="s">
        <v>81</v>
      </c>
      <c r="HX42" s="85" t="s">
        <v>81</v>
      </c>
      <c r="HY42" s="85" t="s">
        <v>81</v>
      </c>
      <c r="HZ42" s="85" t="s">
        <v>81</v>
      </c>
      <c r="IA42" s="85" t="s">
        <v>81</v>
      </c>
      <c r="IB42" s="85" t="s">
        <v>81</v>
      </c>
      <c r="IC42" s="85" t="s">
        <v>81</v>
      </c>
      <c r="ID42" s="85" t="s">
        <v>81</v>
      </c>
      <c r="IE42" s="85" t="s">
        <v>81</v>
      </c>
      <c r="IF42" s="85" t="s">
        <v>81</v>
      </c>
      <c r="IG42" s="85" t="s">
        <v>81</v>
      </c>
      <c r="IH42" s="85" t="s">
        <v>81</v>
      </c>
      <c r="II42" s="85" t="s">
        <v>81</v>
      </c>
      <c r="IJ42" s="85" t="s">
        <v>81</v>
      </c>
      <c r="IK42" s="85" t="s">
        <v>81</v>
      </c>
      <c r="IL42" s="85" t="s">
        <v>81</v>
      </c>
      <c r="IM42" s="85" t="s">
        <v>81</v>
      </c>
      <c r="IN42" s="85" t="s">
        <v>81</v>
      </c>
      <c r="IO42" s="85" t="s">
        <v>81</v>
      </c>
      <c r="IP42" s="85" t="s">
        <v>81</v>
      </c>
      <c r="IQ42" s="85" t="s">
        <v>81</v>
      </c>
      <c r="IR42" s="85" t="s">
        <v>81</v>
      </c>
      <c r="IS42" s="85" t="s">
        <v>81</v>
      </c>
      <c r="IT42" s="85" t="s">
        <v>81</v>
      </c>
      <c r="IU42" s="85" t="s">
        <v>81</v>
      </c>
      <c r="IV42" s="85" t="s">
        <v>81</v>
      </c>
    </row>
    <row r="43" spans="1:256" ht="12.75" customHeight="1">
      <c r="A43" s="77"/>
      <c r="B43" s="108"/>
      <c r="C43" s="77"/>
      <c r="D43" s="77"/>
      <c r="E43" s="85" t="s">
        <v>84</v>
      </c>
      <c r="F43" s="106">
        <v>23.2</v>
      </c>
      <c r="G43" s="85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7" ht="12.75" customHeight="1">
      <c r="A44" s="21"/>
      <c r="B44" s="28"/>
      <c r="C44" s="21"/>
      <c r="D44" s="21"/>
      <c r="E44" s="85" t="s">
        <v>130</v>
      </c>
      <c r="F44" s="87">
        <v>62.61</v>
      </c>
      <c r="G44" s="33"/>
    </row>
    <row r="45" spans="1:7" ht="12.75" customHeight="1">
      <c r="A45" s="21"/>
      <c r="B45" s="28"/>
      <c r="C45" s="21"/>
      <c r="D45" s="21"/>
      <c r="E45" s="85" t="s">
        <v>91</v>
      </c>
      <c r="F45" s="109">
        <v>1320</v>
      </c>
      <c r="G45" s="33"/>
    </row>
    <row r="46" spans="1:7" ht="12.75" customHeight="1">
      <c r="A46" s="21"/>
      <c r="B46" s="28"/>
      <c r="C46" s="21"/>
      <c r="D46" s="21"/>
      <c r="E46" s="85" t="s">
        <v>239</v>
      </c>
      <c r="F46" s="96">
        <v>40000</v>
      </c>
      <c r="G46" s="33"/>
    </row>
    <row r="47" spans="1:7" ht="12.75" customHeight="1">
      <c r="A47" s="21"/>
      <c r="B47" s="28"/>
      <c r="C47" s="21"/>
      <c r="D47" s="21"/>
      <c r="E47" s="85" t="s">
        <v>161</v>
      </c>
      <c r="F47" s="96">
        <v>153434.92</v>
      </c>
      <c r="G47" s="33"/>
    </row>
    <row r="48" spans="1:7" ht="12.75" customHeight="1">
      <c r="A48" s="21"/>
      <c r="B48" s="28"/>
      <c r="C48" s="21"/>
      <c r="D48" s="21"/>
      <c r="E48" s="85"/>
      <c r="F48" s="96"/>
      <c r="G48" s="33"/>
    </row>
    <row r="49" spans="1:7" ht="12.75" customHeight="1">
      <c r="A49" s="21"/>
      <c r="B49" s="28"/>
      <c r="C49" s="21"/>
      <c r="D49" s="21"/>
      <c r="E49" s="39"/>
      <c r="F49" s="62"/>
      <c r="G49" s="111"/>
    </row>
    <row r="50" spans="1:7" ht="12.75" customHeight="1">
      <c r="A50" s="21"/>
      <c r="B50" s="28"/>
      <c r="C50" s="79" t="s">
        <v>20</v>
      </c>
      <c r="D50" s="21"/>
      <c r="E50" s="38"/>
      <c r="F50" s="64">
        <f>SUM(F51)</f>
        <v>4654.5</v>
      </c>
      <c r="G50" s="33"/>
    </row>
    <row r="51" spans="1:7" ht="12.75" customHeight="1">
      <c r="A51" s="21"/>
      <c r="B51" s="28"/>
      <c r="C51" s="79"/>
      <c r="D51" s="21"/>
      <c r="E51" s="38" t="s">
        <v>138</v>
      </c>
      <c r="F51" s="91">
        <v>4654.5</v>
      </c>
      <c r="G51" s="33"/>
    </row>
    <row r="52" spans="1:7" ht="12.75" customHeight="1">
      <c r="A52" s="21"/>
      <c r="B52" s="28"/>
      <c r="C52" s="21"/>
      <c r="D52" s="21"/>
      <c r="E52" s="39"/>
      <c r="F52" s="61"/>
      <c r="G52" s="33"/>
    </row>
    <row r="53" spans="1:7" ht="12.75" customHeight="1">
      <c r="A53" s="21"/>
      <c r="B53" s="28"/>
      <c r="C53" s="79" t="s">
        <v>21</v>
      </c>
      <c r="D53" s="21"/>
      <c r="E53" s="38"/>
      <c r="F53" s="65">
        <f>SUM(F54:F58)</f>
        <v>80511.98</v>
      </c>
      <c r="G53" s="33"/>
    </row>
    <row r="54" spans="1:7" ht="12.75" customHeight="1">
      <c r="A54" s="21"/>
      <c r="B54" s="28"/>
      <c r="D54" s="92" t="s">
        <v>22</v>
      </c>
      <c r="E54" s="41"/>
      <c r="F54" s="90">
        <f>65998.62+352.55+1154.9</f>
        <v>67506.06999999999</v>
      </c>
      <c r="G54" s="33"/>
    </row>
    <row r="55" spans="1:7" ht="12.75" customHeight="1">
      <c r="A55" s="21"/>
      <c r="B55" s="28"/>
      <c r="D55" s="92" t="s">
        <v>23</v>
      </c>
      <c r="E55" s="41"/>
      <c r="F55" s="87">
        <f>10274.18+429.84+104.94+274.87</f>
        <v>11083.830000000002</v>
      </c>
      <c r="G55" s="33"/>
    </row>
    <row r="56" spans="1:7" ht="12.75" customHeight="1">
      <c r="A56" s="21"/>
      <c r="B56" s="28"/>
      <c r="D56" s="92" t="s">
        <v>24</v>
      </c>
      <c r="E56" s="41"/>
      <c r="F56" s="87">
        <v>1922.08</v>
      </c>
      <c r="G56" s="33"/>
    </row>
    <row r="57" spans="1:7" ht="12.75" customHeight="1">
      <c r="A57" s="21"/>
      <c r="B57" s="28"/>
      <c r="D57" s="92" t="s">
        <v>25</v>
      </c>
      <c r="E57" s="41"/>
      <c r="F57" s="87">
        <v>0</v>
      </c>
      <c r="G57" s="33"/>
    </row>
    <row r="58" spans="1:7" ht="12.75" customHeight="1">
      <c r="A58" s="21"/>
      <c r="B58" s="28"/>
      <c r="D58" s="92" t="s">
        <v>26</v>
      </c>
      <c r="E58" s="41"/>
      <c r="F58" s="87">
        <v>0</v>
      </c>
      <c r="G58" s="33"/>
    </row>
    <row r="59" spans="1:7" ht="12.75" customHeight="1">
      <c r="A59" s="21"/>
      <c r="B59" s="28"/>
      <c r="D59" s="40"/>
      <c r="E59" s="41"/>
      <c r="F59" s="61"/>
      <c r="G59" s="33"/>
    </row>
    <row r="60" spans="1:7" ht="12.75" customHeight="1">
      <c r="A60" s="21"/>
      <c r="B60" s="28"/>
      <c r="C60" s="79" t="s">
        <v>27</v>
      </c>
      <c r="D60" s="21"/>
      <c r="E60" s="38"/>
      <c r="F60" s="65">
        <f>SUM(F61:F65)</f>
        <v>2293.23</v>
      </c>
      <c r="G60" s="33"/>
    </row>
    <row r="61" spans="1:7" ht="12.75" customHeight="1">
      <c r="A61" s="21"/>
      <c r="B61" s="28"/>
      <c r="C61" s="21"/>
      <c r="D61" s="92" t="s">
        <v>28</v>
      </c>
      <c r="E61" s="41"/>
      <c r="F61" s="90">
        <v>0</v>
      </c>
      <c r="G61" s="33"/>
    </row>
    <row r="62" spans="1:7" ht="12.75" customHeight="1">
      <c r="A62" s="21"/>
      <c r="B62" s="28"/>
      <c r="D62" s="92" t="s">
        <v>29</v>
      </c>
      <c r="E62" s="42"/>
      <c r="F62" s="87">
        <v>2293.23</v>
      </c>
      <c r="G62" s="33"/>
    </row>
    <row r="63" spans="1:7" ht="12.75" customHeight="1">
      <c r="A63" s="21"/>
      <c r="B63" s="28"/>
      <c r="D63" s="92" t="s">
        <v>31</v>
      </c>
      <c r="E63" s="41"/>
      <c r="F63" s="87">
        <v>0</v>
      </c>
      <c r="G63" s="33"/>
    </row>
    <row r="64" spans="1:7" ht="12.75" customHeight="1">
      <c r="A64" s="21"/>
      <c r="B64" s="28"/>
      <c r="D64" s="92" t="s">
        <v>32</v>
      </c>
      <c r="E64" s="41"/>
      <c r="F64" s="87"/>
      <c r="G64" s="33"/>
    </row>
    <row r="65" spans="1:7" ht="12.75" customHeight="1">
      <c r="A65" s="21"/>
      <c r="B65" s="28"/>
      <c r="D65" s="40"/>
      <c r="E65" s="93" t="s">
        <v>33</v>
      </c>
      <c r="F65" s="87">
        <v>0</v>
      </c>
      <c r="G65" s="33"/>
    </row>
    <row r="66" spans="1:7" ht="12.75" customHeight="1">
      <c r="A66" s="21"/>
      <c r="B66" s="28"/>
      <c r="D66" s="40"/>
      <c r="E66" s="42"/>
      <c r="F66" s="62"/>
      <c r="G66" s="33"/>
    </row>
    <row r="67" spans="1:7" ht="12.75" customHeight="1">
      <c r="A67" s="21"/>
      <c r="B67" s="28"/>
      <c r="C67" s="79" t="s">
        <v>34</v>
      </c>
      <c r="D67" s="21"/>
      <c r="E67" s="38"/>
      <c r="F67" s="59"/>
      <c r="G67" s="33"/>
    </row>
    <row r="68" spans="1:7" ht="12.75" customHeight="1">
      <c r="A68" s="21"/>
      <c r="B68" s="28"/>
      <c r="D68" s="21"/>
      <c r="E68" s="94" t="s">
        <v>35</v>
      </c>
      <c r="F68" s="66">
        <v>0</v>
      </c>
      <c r="G68" s="33"/>
    </row>
    <row r="69" spans="1:7" ht="12.75" customHeight="1">
      <c r="A69" s="21"/>
      <c r="B69" s="28"/>
      <c r="D69" s="21"/>
      <c r="E69" s="43"/>
      <c r="F69" s="59"/>
      <c r="G69" s="33"/>
    </row>
    <row r="70" spans="1:7" ht="12.75" customHeight="1">
      <c r="A70" s="21"/>
      <c r="B70" s="28"/>
      <c r="C70" s="79" t="s">
        <v>36</v>
      </c>
      <c r="D70" s="21"/>
      <c r="E70" s="38"/>
      <c r="F70" s="66">
        <v>0</v>
      </c>
      <c r="G70" s="33"/>
    </row>
    <row r="71" spans="1:7" ht="12.75" customHeight="1">
      <c r="A71" s="21"/>
      <c r="B71" s="28"/>
      <c r="C71" s="21"/>
      <c r="D71" s="21"/>
      <c r="E71" s="38"/>
      <c r="F71" s="59"/>
      <c r="G71" s="33"/>
    </row>
    <row r="72" spans="1:7" ht="12.75" customHeight="1">
      <c r="A72" s="21"/>
      <c r="B72" s="28"/>
      <c r="C72" s="79" t="s">
        <v>37</v>
      </c>
      <c r="D72" s="21"/>
      <c r="E72" s="38"/>
      <c r="F72" s="66">
        <v>0</v>
      </c>
      <c r="G72" s="33"/>
    </row>
    <row r="73" spans="1:7" ht="12.75" customHeight="1">
      <c r="A73" s="21"/>
      <c r="B73" s="28"/>
      <c r="C73" s="21"/>
      <c r="D73" s="21"/>
      <c r="E73" s="38"/>
      <c r="F73" s="59"/>
      <c r="G73" s="33"/>
    </row>
    <row r="74" spans="1:7" ht="12.75" customHeight="1">
      <c r="A74" s="21"/>
      <c r="B74" s="28"/>
      <c r="C74" s="79" t="s">
        <v>38</v>
      </c>
      <c r="D74" s="21"/>
      <c r="E74" s="38"/>
      <c r="F74" s="66">
        <f>SUM(F75:F77)</f>
        <v>516.51</v>
      </c>
      <c r="G74" s="33"/>
    </row>
    <row r="75" spans="1:7" ht="12.75" customHeight="1">
      <c r="A75" s="21"/>
      <c r="B75" s="28"/>
      <c r="C75" s="79"/>
      <c r="D75" s="21"/>
      <c r="E75" s="85" t="s">
        <v>100</v>
      </c>
      <c r="F75" s="81">
        <v>224.44</v>
      </c>
      <c r="G75" s="33"/>
    </row>
    <row r="76" spans="1:7" ht="12.75" customHeight="1">
      <c r="A76" s="21"/>
      <c r="B76" s="28"/>
      <c r="C76" s="79"/>
      <c r="D76" s="21"/>
      <c r="E76" s="85" t="s">
        <v>102</v>
      </c>
      <c r="F76" s="81">
        <v>102.35</v>
      </c>
      <c r="G76" s="33"/>
    </row>
    <row r="77" spans="1:7" ht="12.75" customHeight="1">
      <c r="A77" s="21"/>
      <c r="B77" s="28"/>
      <c r="C77" s="79"/>
      <c r="D77" s="21"/>
      <c r="E77" s="85" t="s">
        <v>151</v>
      </c>
      <c r="F77" s="81">
        <v>189.72</v>
      </c>
      <c r="G77" s="33"/>
    </row>
    <row r="78" spans="1:7" ht="12.75" customHeight="1">
      <c r="A78" s="21"/>
      <c r="B78" s="28"/>
      <c r="C78" s="79"/>
      <c r="D78" s="21"/>
      <c r="E78" s="38"/>
      <c r="F78" s="66"/>
      <c r="G78" s="33"/>
    </row>
    <row r="79" spans="1:7" ht="12.75" customHeight="1">
      <c r="A79" s="21"/>
      <c r="B79" s="28"/>
      <c r="C79" s="79"/>
      <c r="D79" s="21"/>
      <c r="E79" s="38"/>
      <c r="F79" s="66"/>
      <c r="G79" s="33"/>
    </row>
    <row r="80" spans="1:7" ht="12.75" customHeight="1">
      <c r="A80" s="21"/>
      <c r="B80" s="28"/>
      <c r="C80" s="21"/>
      <c r="D80" s="21"/>
      <c r="E80" s="43"/>
      <c r="F80" s="59" t="s">
        <v>0</v>
      </c>
      <c r="G80" s="33"/>
    </row>
    <row r="81" spans="1:9" ht="16.5" customHeight="1">
      <c r="A81" s="44"/>
      <c r="B81" s="75" t="s">
        <v>39</v>
      </c>
      <c r="C81" s="45"/>
      <c r="D81" s="45"/>
      <c r="E81" s="39"/>
      <c r="F81" s="59" t="s">
        <v>0</v>
      </c>
      <c r="G81" s="98">
        <f>SUM(G19:G74)</f>
        <v>33862.07999999996</v>
      </c>
      <c r="I81" s="70"/>
    </row>
    <row r="82" spans="1:7" ht="12.75" customHeight="1">
      <c r="A82" s="21"/>
      <c r="B82" s="97" t="s">
        <v>40</v>
      </c>
      <c r="C82" s="21"/>
      <c r="D82" s="21"/>
      <c r="E82" s="43"/>
      <c r="F82" s="59" t="s">
        <v>0</v>
      </c>
      <c r="G82" s="46"/>
    </row>
    <row r="83" spans="2:7" ht="12" customHeight="1">
      <c r="B83" s="47"/>
      <c r="E83" s="38"/>
      <c r="F83" s="59" t="s">
        <v>0</v>
      </c>
      <c r="G83" s="46"/>
    </row>
    <row r="84" spans="2:7" ht="16.5" customHeight="1">
      <c r="B84" s="75" t="s">
        <v>52</v>
      </c>
      <c r="C84" s="35"/>
      <c r="D84" s="35"/>
      <c r="E84" s="48"/>
      <c r="F84" s="60"/>
      <c r="G84" s="98">
        <f>SUM(F86:F88)</f>
        <v>-5.16</v>
      </c>
    </row>
    <row r="85" spans="2:7" ht="12">
      <c r="B85" s="47"/>
      <c r="E85" s="38"/>
      <c r="F85" s="59"/>
      <c r="G85" s="46"/>
    </row>
    <row r="86" spans="2:7" ht="15">
      <c r="B86" s="28"/>
      <c r="C86" s="79" t="s">
        <v>49</v>
      </c>
      <c r="D86" s="21"/>
      <c r="E86" s="38"/>
      <c r="F86" s="64">
        <v>0</v>
      </c>
      <c r="G86" s="46"/>
    </row>
    <row r="87" spans="2:7" ht="15">
      <c r="B87" s="47"/>
      <c r="C87" s="79" t="s">
        <v>50</v>
      </c>
      <c r="E87" s="38"/>
      <c r="F87" s="71">
        <v>0</v>
      </c>
      <c r="G87" s="46"/>
    </row>
    <row r="88" spans="2:7" ht="15">
      <c r="B88" s="47"/>
      <c r="C88" s="79" t="s">
        <v>51</v>
      </c>
      <c r="E88" s="38"/>
      <c r="F88" s="66">
        <v>-5.16</v>
      </c>
      <c r="G88" s="46"/>
    </row>
    <row r="89" spans="2:7" ht="12">
      <c r="B89" s="47"/>
      <c r="E89" s="38"/>
      <c r="F89" s="59"/>
      <c r="G89" s="46"/>
    </row>
    <row r="90" spans="2:7" ht="18">
      <c r="B90" s="75" t="s">
        <v>75</v>
      </c>
      <c r="C90" s="35"/>
      <c r="D90" s="35"/>
      <c r="E90" s="48"/>
      <c r="F90" s="69">
        <v>0</v>
      </c>
      <c r="G90" s="99">
        <v>0</v>
      </c>
    </row>
    <row r="91" spans="2:7" ht="12">
      <c r="B91" s="47"/>
      <c r="E91" s="38"/>
      <c r="F91" s="59"/>
      <c r="G91" s="46"/>
    </row>
    <row r="92" spans="2:7" ht="18">
      <c r="B92" s="75" t="s">
        <v>76</v>
      </c>
      <c r="C92" s="35"/>
      <c r="D92" s="35"/>
      <c r="E92" s="48"/>
      <c r="F92" s="60"/>
      <c r="G92" s="98">
        <f>F94+F95</f>
        <v>-24720.92</v>
      </c>
    </row>
    <row r="93" spans="2:7" ht="12">
      <c r="B93" s="47"/>
      <c r="E93" s="38"/>
      <c r="F93" s="59"/>
      <c r="G93" s="46"/>
    </row>
    <row r="94" spans="2:7" ht="14.25">
      <c r="B94" s="47"/>
      <c r="C94" s="79" t="s">
        <v>53</v>
      </c>
      <c r="E94" s="38"/>
      <c r="F94" s="68">
        <v>40058.86</v>
      </c>
      <c r="G94" s="46"/>
    </row>
    <row r="95" spans="2:7" ht="14.25">
      <c r="B95" s="47"/>
      <c r="C95" s="79" t="s">
        <v>54</v>
      </c>
      <c r="E95" s="38"/>
      <c r="F95" s="68">
        <v>-64779.78</v>
      </c>
      <c r="G95" s="46"/>
    </row>
    <row r="96" spans="2:7" ht="12">
      <c r="B96" s="47"/>
      <c r="E96" s="38"/>
      <c r="F96" s="59"/>
      <c r="G96" s="46"/>
    </row>
    <row r="97" spans="2:7" ht="12">
      <c r="B97" s="47"/>
      <c r="E97" s="38"/>
      <c r="F97" s="59"/>
      <c r="G97" s="46"/>
    </row>
    <row r="98" spans="2:9" ht="18">
      <c r="B98" s="31"/>
      <c r="E98" s="100" t="s">
        <v>55</v>
      </c>
      <c r="F98" s="59"/>
      <c r="G98" s="101">
        <f>G81+G84+G90+G92</f>
        <v>9135.999999999956</v>
      </c>
      <c r="I98" s="70"/>
    </row>
    <row r="99" spans="2:7" ht="12">
      <c r="B99" s="49"/>
      <c r="C99" s="50"/>
      <c r="D99" s="50"/>
      <c r="E99" s="51"/>
      <c r="F99" s="52"/>
      <c r="G99" s="53"/>
    </row>
    <row r="104" spans="5:7" ht="15.75">
      <c r="E104" s="103" t="s">
        <v>110</v>
      </c>
      <c r="G104" s="107">
        <f>773348.29*3.96/100</f>
        <v>30624.592284</v>
      </c>
    </row>
    <row r="106" spans="5:7" ht="15.75">
      <c r="E106" s="103" t="s">
        <v>111</v>
      </c>
      <c r="G106" s="107">
        <f>-886714.22*3.96/100-4.93</f>
        <v>-35118.813111999996</v>
      </c>
    </row>
    <row r="108" spans="5:7" ht="18">
      <c r="E108" s="103" t="s">
        <v>156</v>
      </c>
      <c r="G108" s="104">
        <f>G98+G104+G106</f>
        <v>4641.779171999959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89" r:id="rId1"/>
  <rowBreaks count="1" manualBreakCount="1">
    <brk id="59" max="7" man="1"/>
  </rowBreaks>
  <ignoredErrors>
    <ignoredError sqref="G98 G10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36"/>
  <sheetViews>
    <sheetView workbookViewId="0" topLeftCell="A116">
      <selection activeCell="F71" sqref="F71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162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773348.29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SUM(F21)</f>
        <v>0</v>
      </c>
      <c r="G20" s="32"/>
    </row>
    <row r="21" spans="1:7" ht="12.75" customHeight="1">
      <c r="A21" s="21"/>
      <c r="B21" s="28"/>
      <c r="C21" s="76"/>
      <c r="D21" s="76" t="s">
        <v>157</v>
      </c>
      <c r="E21" s="77" t="s">
        <v>158</v>
      </c>
      <c r="F21" s="82">
        <v>0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SUM(F28:F31)</f>
        <v>773348.29</v>
      </c>
      <c r="G27" s="33"/>
    </row>
    <row r="28" spans="1:7" ht="12.75" customHeight="1">
      <c r="A28" s="21"/>
      <c r="B28" s="28"/>
      <c r="C28" s="76"/>
      <c r="D28" s="76" t="s">
        <v>198</v>
      </c>
      <c r="E28" s="77"/>
      <c r="F28" s="82">
        <v>592990.01</v>
      </c>
      <c r="G28" s="33"/>
    </row>
    <row r="29" spans="1:7" ht="12.75" customHeight="1">
      <c r="A29" s="21"/>
      <c r="B29" s="28"/>
      <c r="C29" s="76"/>
      <c r="D29" s="76" t="s">
        <v>240</v>
      </c>
      <c r="E29" s="77"/>
      <c r="F29" s="82">
        <f>97500+12500</f>
        <v>110000</v>
      </c>
      <c r="G29" s="33"/>
    </row>
    <row r="30" spans="1:7" ht="12.75" customHeight="1">
      <c r="A30" s="21"/>
      <c r="B30" s="28"/>
      <c r="C30" s="76"/>
      <c r="D30" s="76" t="s">
        <v>199</v>
      </c>
      <c r="E30" s="77"/>
      <c r="F30" s="82">
        <f>10251.06</f>
        <v>10251.06</v>
      </c>
      <c r="G30" s="33"/>
    </row>
    <row r="31" spans="1:7" ht="12.75" customHeight="1">
      <c r="A31" s="21"/>
      <c r="B31" s="28"/>
      <c r="C31" s="76"/>
      <c r="D31" s="76" t="s">
        <v>241</v>
      </c>
      <c r="E31" s="77"/>
      <c r="F31" s="82">
        <f>20157.95+39949.27</f>
        <v>60107.22</v>
      </c>
      <c r="G31" s="33"/>
    </row>
    <row r="32" spans="1:7" ht="12.75" customHeight="1">
      <c r="A32" s="21"/>
      <c r="B32" s="28"/>
      <c r="C32" s="76"/>
      <c r="D32" s="76"/>
      <c r="E32" s="77"/>
      <c r="F32" s="82"/>
      <c r="G32" s="33"/>
    </row>
    <row r="33" spans="1:7" ht="12.75" customHeight="1">
      <c r="A33" s="21"/>
      <c r="B33" s="28"/>
      <c r="C33" s="21"/>
      <c r="D33" s="21"/>
      <c r="E33" s="21"/>
      <c r="F33" s="59"/>
      <c r="G33" s="33"/>
    </row>
    <row r="34" spans="1:7" s="37" customFormat="1" ht="15.75" customHeight="1">
      <c r="A34" s="35"/>
      <c r="B34" s="75" t="s">
        <v>16</v>
      </c>
      <c r="C34" s="35"/>
      <c r="D34" s="35"/>
      <c r="E34" s="36"/>
      <c r="F34" s="60"/>
      <c r="G34" s="84">
        <f>-(F36+F41+F65+F69+F76+F84+F86+F88+F90)</f>
        <v>-765741.4299999999</v>
      </c>
    </row>
    <row r="35" spans="1:7" ht="12.75" customHeight="1">
      <c r="A35" s="21"/>
      <c r="B35" s="28"/>
      <c r="C35" s="79" t="s">
        <v>17</v>
      </c>
      <c r="D35" s="21"/>
      <c r="F35" s="59" t="s">
        <v>0</v>
      </c>
      <c r="G35" s="33"/>
    </row>
    <row r="36" spans="1:7" ht="12.75" customHeight="1">
      <c r="A36" s="21"/>
      <c r="B36" s="28"/>
      <c r="D36" s="79" t="s">
        <v>18</v>
      </c>
      <c r="E36" s="38"/>
      <c r="F36" s="65">
        <f>SUM(F37:F39)</f>
        <v>13924.929999999998</v>
      </c>
      <c r="G36" s="33"/>
    </row>
    <row r="37" spans="1:7" ht="12.75" customHeight="1">
      <c r="A37" s="21"/>
      <c r="B37" s="28"/>
      <c r="D37" s="21"/>
      <c r="E37" s="85" t="s">
        <v>147</v>
      </c>
      <c r="F37" s="83">
        <f>3990.49+1130.15</f>
        <v>5120.639999999999</v>
      </c>
      <c r="G37" s="33"/>
    </row>
    <row r="38" spans="1:7" ht="12.75" customHeight="1">
      <c r="A38" s="21"/>
      <c r="B38" s="28"/>
      <c r="D38" s="21"/>
      <c r="E38" s="85" t="s">
        <v>142</v>
      </c>
      <c r="F38" s="112">
        <v>6114.23</v>
      </c>
      <c r="G38" s="33"/>
    </row>
    <row r="39" spans="1:7" ht="12.75" customHeight="1">
      <c r="A39" s="21"/>
      <c r="B39" s="28"/>
      <c r="D39" s="21"/>
      <c r="E39" s="85" t="s">
        <v>109</v>
      </c>
      <c r="F39" s="112">
        <v>2690.06</v>
      </c>
      <c r="G39" s="33"/>
    </row>
    <row r="40" spans="1:7" ht="12.75" customHeight="1">
      <c r="A40" s="21"/>
      <c r="B40" s="28"/>
      <c r="D40" s="21"/>
      <c r="E40" s="38"/>
      <c r="F40" s="62"/>
      <c r="G40" s="33"/>
    </row>
    <row r="41" spans="1:7" ht="12.75" customHeight="1">
      <c r="A41" s="21"/>
      <c r="B41" s="28"/>
      <c r="C41" s="79" t="s">
        <v>19</v>
      </c>
      <c r="D41" s="21"/>
      <c r="E41" s="38"/>
      <c r="F41" s="65">
        <f>SUM(F42:F63)</f>
        <v>303281.00999999995</v>
      </c>
      <c r="G41" s="33"/>
    </row>
    <row r="42" spans="1:7" ht="12.75" customHeight="1">
      <c r="A42" s="21"/>
      <c r="B42" s="28"/>
      <c r="C42" s="79"/>
      <c r="D42" s="21"/>
      <c r="E42" s="38" t="s">
        <v>78</v>
      </c>
      <c r="F42" s="86">
        <v>8598.08</v>
      </c>
      <c r="G42" s="33"/>
    </row>
    <row r="43" spans="1:7" ht="12.75" customHeight="1">
      <c r="A43" s="21"/>
      <c r="B43" s="28"/>
      <c r="C43" s="79"/>
      <c r="D43" s="21"/>
      <c r="E43" s="38" t="s">
        <v>79</v>
      </c>
      <c r="F43" s="86">
        <f>1793.23+175.19</f>
        <v>1968.42</v>
      </c>
      <c r="G43" s="33"/>
    </row>
    <row r="44" spans="1:7" ht="12.75" customHeight="1">
      <c r="A44" s="21"/>
      <c r="B44" s="28"/>
      <c r="C44" s="21"/>
      <c r="D44" s="21"/>
      <c r="E44" s="85" t="s">
        <v>129</v>
      </c>
      <c r="F44" s="87">
        <v>1121.31</v>
      </c>
      <c r="G44" s="33"/>
    </row>
    <row r="45" spans="1:7" ht="12.75" customHeight="1">
      <c r="A45" s="21"/>
      <c r="B45" s="28"/>
      <c r="C45" s="21"/>
      <c r="D45" s="21"/>
      <c r="E45" s="85" t="s">
        <v>163</v>
      </c>
      <c r="F45" s="81">
        <v>83650.2</v>
      </c>
      <c r="G45" s="46"/>
    </row>
    <row r="46" spans="1:7" ht="12.75" customHeight="1">
      <c r="A46" s="21"/>
      <c r="B46" s="28"/>
      <c r="C46" s="21"/>
      <c r="D46" s="21"/>
      <c r="E46" s="85" t="s">
        <v>164</v>
      </c>
      <c r="F46" s="81">
        <v>5268.84</v>
      </c>
      <c r="G46" s="46"/>
    </row>
    <row r="47" spans="1:7" ht="12.75" customHeight="1">
      <c r="A47" s="21"/>
      <c r="B47" s="28"/>
      <c r="C47" s="21"/>
      <c r="D47" s="21"/>
      <c r="E47" s="85" t="s">
        <v>172</v>
      </c>
      <c r="F47" s="81">
        <v>30728.28</v>
      </c>
      <c r="G47" s="46"/>
    </row>
    <row r="48" spans="1:7" ht="12.75" customHeight="1">
      <c r="A48" s="21"/>
      <c r="B48" s="28"/>
      <c r="C48" s="21"/>
      <c r="D48" s="21"/>
      <c r="E48" s="85" t="s">
        <v>200</v>
      </c>
      <c r="F48" s="81">
        <v>6293.08</v>
      </c>
      <c r="G48" s="46"/>
    </row>
    <row r="49" spans="1:7" ht="12.75" customHeight="1">
      <c r="A49" s="21"/>
      <c r="B49" s="28"/>
      <c r="C49" s="21"/>
      <c r="D49" s="21"/>
      <c r="E49" s="85" t="s">
        <v>181</v>
      </c>
      <c r="F49" s="81">
        <v>14501.16</v>
      </c>
      <c r="G49" s="46"/>
    </row>
    <row r="50" spans="1:256" ht="12.75" customHeight="1">
      <c r="A50" s="77"/>
      <c r="B50" s="108"/>
      <c r="C50" s="77"/>
      <c r="D50" s="77"/>
      <c r="E50" s="85" t="s">
        <v>165</v>
      </c>
      <c r="F50" s="105">
        <f>5632.89+9620.71</f>
        <v>15253.599999999999</v>
      </c>
      <c r="G50" s="85"/>
      <c r="H50" s="77"/>
      <c r="I50" s="77"/>
      <c r="J50" s="77"/>
      <c r="K50" s="77"/>
      <c r="L50" s="77"/>
      <c r="M50" s="77"/>
      <c r="N50" s="77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 t="s">
        <v>81</v>
      </c>
      <c r="BE50" s="85" t="s">
        <v>81</v>
      </c>
      <c r="BF50" s="85" t="s">
        <v>81</v>
      </c>
      <c r="BG50" s="85" t="s">
        <v>81</v>
      </c>
      <c r="BH50" s="85" t="s">
        <v>81</v>
      </c>
      <c r="BI50" s="85" t="s">
        <v>81</v>
      </c>
      <c r="BJ50" s="85" t="s">
        <v>81</v>
      </c>
      <c r="BK50" s="85" t="s">
        <v>81</v>
      </c>
      <c r="BL50" s="85" t="s">
        <v>81</v>
      </c>
      <c r="BM50" s="85" t="s">
        <v>81</v>
      </c>
      <c r="BN50" s="85" t="s">
        <v>81</v>
      </c>
      <c r="BO50" s="85" t="s">
        <v>81</v>
      </c>
      <c r="BP50" s="85" t="s">
        <v>81</v>
      </c>
      <c r="BQ50" s="85" t="s">
        <v>81</v>
      </c>
      <c r="BR50" s="85" t="s">
        <v>81</v>
      </c>
      <c r="BS50" s="85" t="s">
        <v>81</v>
      </c>
      <c r="BT50" s="85" t="s">
        <v>81</v>
      </c>
      <c r="BU50" s="85" t="s">
        <v>81</v>
      </c>
      <c r="BV50" s="85" t="s">
        <v>81</v>
      </c>
      <c r="BW50" s="85" t="s">
        <v>81</v>
      </c>
      <c r="BX50" s="85" t="s">
        <v>81</v>
      </c>
      <c r="BY50" s="85" t="s">
        <v>81</v>
      </c>
      <c r="BZ50" s="85" t="s">
        <v>81</v>
      </c>
      <c r="CA50" s="85" t="s">
        <v>81</v>
      </c>
      <c r="CB50" s="85" t="s">
        <v>81</v>
      </c>
      <c r="CC50" s="85" t="s">
        <v>81</v>
      </c>
      <c r="CD50" s="85" t="s">
        <v>81</v>
      </c>
      <c r="CE50" s="85" t="s">
        <v>81</v>
      </c>
      <c r="CF50" s="85" t="s">
        <v>81</v>
      </c>
      <c r="CG50" s="85" t="s">
        <v>81</v>
      </c>
      <c r="CH50" s="85" t="s">
        <v>81</v>
      </c>
      <c r="CI50" s="85" t="s">
        <v>81</v>
      </c>
      <c r="CJ50" s="85" t="s">
        <v>81</v>
      </c>
      <c r="CK50" s="85" t="s">
        <v>81</v>
      </c>
      <c r="CL50" s="85" t="s">
        <v>81</v>
      </c>
      <c r="CM50" s="85" t="s">
        <v>81</v>
      </c>
      <c r="CN50" s="85" t="s">
        <v>81</v>
      </c>
      <c r="CO50" s="85" t="s">
        <v>81</v>
      </c>
      <c r="CP50" s="85" t="s">
        <v>81</v>
      </c>
      <c r="CQ50" s="85" t="s">
        <v>81</v>
      </c>
      <c r="CR50" s="85" t="s">
        <v>81</v>
      </c>
      <c r="CS50" s="85" t="s">
        <v>81</v>
      </c>
      <c r="CT50" s="85" t="s">
        <v>81</v>
      </c>
      <c r="CU50" s="85" t="s">
        <v>81</v>
      </c>
      <c r="CV50" s="85" t="s">
        <v>81</v>
      </c>
      <c r="CW50" s="85" t="s">
        <v>81</v>
      </c>
      <c r="CX50" s="85" t="s">
        <v>81</v>
      </c>
      <c r="CY50" s="85" t="s">
        <v>81</v>
      </c>
      <c r="CZ50" s="85" t="s">
        <v>81</v>
      </c>
      <c r="DA50" s="85" t="s">
        <v>81</v>
      </c>
      <c r="DB50" s="85" t="s">
        <v>81</v>
      </c>
      <c r="DC50" s="85" t="s">
        <v>81</v>
      </c>
      <c r="DD50" s="85" t="s">
        <v>81</v>
      </c>
      <c r="DE50" s="85" t="s">
        <v>81</v>
      </c>
      <c r="DF50" s="85" t="s">
        <v>81</v>
      </c>
      <c r="DG50" s="85" t="s">
        <v>81</v>
      </c>
      <c r="DH50" s="85" t="s">
        <v>81</v>
      </c>
      <c r="DI50" s="85" t="s">
        <v>81</v>
      </c>
      <c r="DJ50" s="85" t="s">
        <v>81</v>
      </c>
      <c r="DK50" s="85" t="s">
        <v>81</v>
      </c>
      <c r="DL50" s="85" t="s">
        <v>81</v>
      </c>
      <c r="DM50" s="85" t="s">
        <v>81</v>
      </c>
      <c r="DN50" s="85" t="s">
        <v>81</v>
      </c>
      <c r="DO50" s="85" t="s">
        <v>81</v>
      </c>
      <c r="DP50" s="85" t="s">
        <v>81</v>
      </c>
      <c r="DQ50" s="85" t="s">
        <v>81</v>
      </c>
      <c r="DR50" s="85" t="s">
        <v>81</v>
      </c>
      <c r="DS50" s="85" t="s">
        <v>81</v>
      </c>
      <c r="DT50" s="85" t="s">
        <v>81</v>
      </c>
      <c r="DU50" s="85" t="s">
        <v>81</v>
      </c>
      <c r="DV50" s="85" t="s">
        <v>81</v>
      </c>
      <c r="DW50" s="85" t="s">
        <v>81</v>
      </c>
      <c r="DX50" s="85" t="s">
        <v>81</v>
      </c>
      <c r="DY50" s="85" t="s">
        <v>81</v>
      </c>
      <c r="DZ50" s="85" t="s">
        <v>81</v>
      </c>
      <c r="EA50" s="85" t="s">
        <v>81</v>
      </c>
      <c r="EB50" s="85" t="s">
        <v>81</v>
      </c>
      <c r="EC50" s="85" t="s">
        <v>81</v>
      </c>
      <c r="ED50" s="85" t="s">
        <v>81</v>
      </c>
      <c r="EE50" s="85" t="s">
        <v>81</v>
      </c>
      <c r="EF50" s="85" t="s">
        <v>81</v>
      </c>
      <c r="EG50" s="85" t="s">
        <v>81</v>
      </c>
      <c r="EH50" s="85" t="s">
        <v>81</v>
      </c>
      <c r="EI50" s="85" t="s">
        <v>81</v>
      </c>
      <c r="EJ50" s="85" t="s">
        <v>81</v>
      </c>
      <c r="EK50" s="85" t="s">
        <v>81</v>
      </c>
      <c r="EL50" s="85" t="s">
        <v>81</v>
      </c>
      <c r="EM50" s="85" t="s">
        <v>81</v>
      </c>
      <c r="EN50" s="85" t="s">
        <v>81</v>
      </c>
      <c r="EO50" s="85" t="s">
        <v>81</v>
      </c>
      <c r="EP50" s="85" t="s">
        <v>81</v>
      </c>
      <c r="EQ50" s="85" t="s">
        <v>81</v>
      </c>
      <c r="ER50" s="85" t="s">
        <v>81</v>
      </c>
      <c r="ES50" s="85" t="s">
        <v>81</v>
      </c>
      <c r="ET50" s="85" t="s">
        <v>81</v>
      </c>
      <c r="EU50" s="85" t="s">
        <v>81</v>
      </c>
      <c r="EV50" s="85" t="s">
        <v>81</v>
      </c>
      <c r="EW50" s="85" t="s">
        <v>81</v>
      </c>
      <c r="EX50" s="85" t="s">
        <v>81</v>
      </c>
      <c r="EY50" s="85" t="s">
        <v>81</v>
      </c>
      <c r="EZ50" s="85" t="s">
        <v>81</v>
      </c>
      <c r="FA50" s="85" t="s">
        <v>81</v>
      </c>
      <c r="FB50" s="85" t="s">
        <v>81</v>
      </c>
      <c r="FC50" s="85" t="s">
        <v>81</v>
      </c>
      <c r="FD50" s="85" t="s">
        <v>81</v>
      </c>
      <c r="FE50" s="85" t="s">
        <v>81</v>
      </c>
      <c r="FF50" s="85" t="s">
        <v>81</v>
      </c>
      <c r="FG50" s="85" t="s">
        <v>81</v>
      </c>
      <c r="FH50" s="85" t="s">
        <v>81</v>
      </c>
      <c r="FI50" s="85" t="s">
        <v>81</v>
      </c>
      <c r="FJ50" s="85" t="s">
        <v>81</v>
      </c>
      <c r="FK50" s="85" t="s">
        <v>81</v>
      </c>
      <c r="FL50" s="85" t="s">
        <v>81</v>
      </c>
      <c r="FM50" s="85" t="s">
        <v>81</v>
      </c>
      <c r="FN50" s="85" t="s">
        <v>81</v>
      </c>
      <c r="FO50" s="85" t="s">
        <v>81</v>
      </c>
      <c r="FP50" s="85" t="s">
        <v>81</v>
      </c>
      <c r="FQ50" s="85" t="s">
        <v>81</v>
      </c>
      <c r="FR50" s="85" t="s">
        <v>81</v>
      </c>
      <c r="FS50" s="85" t="s">
        <v>81</v>
      </c>
      <c r="FT50" s="85" t="s">
        <v>81</v>
      </c>
      <c r="FU50" s="85" t="s">
        <v>81</v>
      </c>
      <c r="FV50" s="85" t="s">
        <v>81</v>
      </c>
      <c r="FW50" s="85" t="s">
        <v>81</v>
      </c>
      <c r="FX50" s="85" t="s">
        <v>81</v>
      </c>
      <c r="FY50" s="85" t="s">
        <v>81</v>
      </c>
      <c r="FZ50" s="85" t="s">
        <v>81</v>
      </c>
      <c r="GA50" s="85" t="s">
        <v>81</v>
      </c>
      <c r="GB50" s="85" t="s">
        <v>81</v>
      </c>
      <c r="GC50" s="85" t="s">
        <v>81</v>
      </c>
      <c r="GD50" s="85" t="s">
        <v>81</v>
      </c>
      <c r="GE50" s="85" t="s">
        <v>81</v>
      </c>
      <c r="GF50" s="85" t="s">
        <v>81</v>
      </c>
      <c r="GG50" s="85" t="s">
        <v>81</v>
      </c>
      <c r="GH50" s="85" t="s">
        <v>81</v>
      </c>
      <c r="GI50" s="85" t="s">
        <v>81</v>
      </c>
      <c r="GJ50" s="85" t="s">
        <v>81</v>
      </c>
      <c r="GK50" s="85" t="s">
        <v>81</v>
      </c>
      <c r="GL50" s="85" t="s">
        <v>81</v>
      </c>
      <c r="GM50" s="85" t="s">
        <v>81</v>
      </c>
      <c r="GN50" s="85" t="s">
        <v>81</v>
      </c>
      <c r="GO50" s="85" t="s">
        <v>81</v>
      </c>
      <c r="GP50" s="85" t="s">
        <v>81</v>
      </c>
      <c r="GQ50" s="85" t="s">
        <v>81</v>
      </c>
      <c r="GR50" s="85" t="s">
        <v>81</v>
      </c>
      <c r="GS50" s="85" t="s">
        <v>81</v>
      </c>
      <c r="GT50" s="85" t="s">
        <v>81</v>
      </c>
      <c r="GU50" s="85" t="s">
        <v>81</v>
      </c>
      <c r="GV50" s="85" t="s">
        <v>81</v>
      </c>
      <c r="GW50" s="85" t="s">
        <v>81</v>
      </c>
      <c r="GX50" s="85" t="s">
        <v>81</v>
      </c>
      <c r="GY50" s="85" t="s">
        <v>81</v>
      </c>
      <c r="GZ50" s="85" t="s">
        <v>81</v>
      </c>
      <c r="HA50" s="85" t="s">
        <v>81</v>
      </c>
      <c r="HB50" s="85" t="s">
        <v>81</v>
      </c>
      <c r="HC50" s="85" t="s">
        <v>81</v>
      </c>
      <c r="HD50" s="85" t="s">
        <v>81</v>
      </c>
      <c r="HE50" s="85" t="s">
        <v>81</v>
      </c>
      <c r="HF50" s="85" t="s">
        <v>81</v>
      </c>
      <c r="HG50" s="85" t="s">
        <v>81</v>
      </c>
      <c r="HH50" s="85" t="s">
        <v>81</v>
      </c>
      <c r="HI50" s="85" t="s">
        <v>81</v>
      </c>
      <c r="HJ50" s="85" t="s">
        <v>81</v>
      </c>
      <c r="HK50" s="85" t="s">
        <v>81</v>
      </c>
      <c r="HL50" s="85" t="s">
        <v>81</v>
      </c>
      <c r="HM50" s="85" t="s">
        <v>81</v>
      </c>
      <c r="HN50" s="85" t="s">
        <v>81</v>
      </c>
      <c r="HO50" s="85" t="s">
        <v>81</v>
      </c>
      <c r="HP50" s="85" t="s">
        <v>81</v>
      </c>
      <c r="HQ50" s="85" t="s">
        <v>81</v>
      </c>
      <c r="HR50" s="85" t="s">
        <v>81</v>
      </c>
      <c r="HS50" s="85" t="s">
        <v>81</v>
      </c>
      <c r="HT50" s="85" t="s">
        <v>81</v>
      </c>
      <c r="HU50" s="85" t="s">
        <v>81</v>
      </c>
      <c r="HV50" s="85" t="s">
        <v>81</v>
      </c>
      <c r="HW50" s="85" t="s">
        <v>81</v>
      </c>
      <c r="HX50" s="85" t="s">
        <v>81</v>
      </c>
      <c r="HY50" s="85" t="s">
        <v>81</v>
      </c>
      <c r="HZ50" s="85" t="s">
        <v>81</v>
      </c>
      <c r="IA50" s="85" t="s">
        <v>81</v>
      </c>
      <c r="IB50" s="85" t="s">
        <v>81</v>
      </c>
      <c r="IC50" s="85" t="s">
        <v>81</v>
      </c>
      <c r="ID50" s="85" t="s">
        <v>81</v>
      </c>
      <c r="IE50" s="85" t="s">
        <v>81</v>
      </c>
      <c r="IF50" s="85" t="s">
        <v>81</v>
      </c>
      <c r="IG50" s="85" t="s">
        <v>81</v>
      </c>
      <c r="IH50" s="85" t="s">
        <v>81</v>
      </c>
      <c r="II50" s="85" t="s">
        <v>81</v>
      </c>
      <c r="IJ50" s="85" t="s">
        <v>81</v>
      </c>
      <c r="IK50" s="85" t="s">
        <v>81</v>
      </c>
      <c r="IL50" s="85" t="s">
        <v>81</v>
      </c>
      <c r="IM50" s="85" t="s">
        <v>81</v>
      </c>
      <c r="IN50" s="85" t="s">
        <v>81</v>
      </c>
      <c r="IO50" s="85" t="s">
        <v>81</v>
      </c>
      <c r="IP50" s="85" t="s">
        <v>81</v>
      </c>
      <c r="IQ50" s="85" t="s">
        <v>81</v>
      </c>
      <c r="IR50" s="85" t="s">
        <v>81</v>
      </c>
      <c r="IS50" s="85" t="s">
        <v>81</v>
      </c>
      <c r="IT50" s="85" t="s">
        <v>81</v>
      </c>
      <c r="IU50" s="85" t="s">
        <v>81</v>
      </c>
      <c r="IV50" s="85" t="s">
        <v>81</v>
      </c>
    </row>
    <row r="51" spans="1:256" ht="12.75" customHeight="1">
      <c r="A51" s="77"/>
      <c r="B51" s="108"/>
      <c r="C51" s="77"/>
      <c r="D51" s="77"/>
      <c r="E51" s="85" t="s">
        <v>201</v>
      </c>
      <c r="F51" s="105">
        <v>1567.9</v>
      </c>
      <c r="G51" s="85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  <c r="IV51" s="77"/>
    </row>
    <row r="52" spans="1:256" ht="12.75" customHeight="1">
      <c r="A52" s="77"/>
      <c r="B52" s="108"/>
      <c r="C52" s="77"/>
      <c r="D52" s="77"/>
      <c r="E52" s="85" t="s">
        <v>84</v>
      </c>
      <c r="F52" s="106">
        <v>1378.77</v>
      </c>
      <c r="G52" s="85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  <c r="IV52" s="77"/>
    </row>
    <row r="53" spans="1:7" ht="12.75" customHeight="1">
      <c r="A53" s="21"/>
      <c r="B53" s="28"/>
      <c r="C53" s="21"/>
      <c r="D53" s="21"/>
      <c r="E53" s="85" t="s">
        <v>135</v>
      </c>
      <c r="F53" s="87">
        <f>4007.4+2318+4115.95+1616.07</f>
        <v>12057.419999999998</v>
      </c>
      <c r="G53" s="33"/>
    </row>
    <row r="54" spans="1:7" ht="12.75" customHeight="1">
      <c r="A54" s="21"/>
      <c r="B54" s="28"/>
      <c r="C54" s="21"/>
      <c r="D54" s="21"/>
      <c r="E54" s="85" t="s">
        <v>166</v>
      </c>
      <c r="F54" s="109">
        <f>486.09+150.76+2321.66</f>
        <v>2958.5099999999998</v>
      </c>
      <c r="G54" s="33"/>
    </row>
    <row r="55" spans="1:7" ht="12.75" customHeight="1">
      <c r="A55" s="21"/>
      <c r="B55" s="28"/>
      <c r="C55" s="21"/>
      <c r="D55" s="21"/>
      <c r="E55" s="85" t="s">
        <v>167</v>
      </c>
      <c r="F55" s="96">
        <v>1626.6</v>
      </c>
      <c r="G55" s="33"/>
    </row>
    <row r="56" spans="1:7" ht="12.75" customHeight="1">
      <c r="A56" s="21"/>
      <c r="B56" s="28"/>
      <c r="C56" s="21"/>
      <c r="D56" s="21"/>
      <c r="E56" s="85" t="s">
        <v>202</v>
      </c>
      <c r="F56" s="96">
        <v>5485.99</v>
      </c>
      <c r="G56" s="33"/>
    </row>
    <row r="57" spans="1:7" ht="12.75" customHeight="1">
      <c r="A57" s="21"/>
      <c r="B57" s="28"/>
      <c r="C57" s="21"/>
      <c r="D57" s="21"/>
      <c r="E57" s="85" t="s">
        <v>168</v>
      </c>
      <c r="F57" s="96">
        <v>3622.81</v>
      </c>
      <c r="G57" s="33"/>
    </row>
    <row r="58" spans="1:7" ht="12.75" customHeight="1">
      <c r="A58" s="21"/>
      <c r="B58" s="28"/>
      <c r="C58" s="21"/>
      <c r="D58" s="21"/>
      <c r="E58" s="85" t="s">
        <v>203</v>
      </c>
      <c r="F58" s="96">
        <v>730.27</v>
      </c>
      <c r="G58" s="33"/>
    </row>
    <row r="59" spans="1:7" ht="12.75" customHeight="1">
      <c r="A59" s="21"/>
      <c r="B59" s="28"/>
      <c r="C59" s="21"/>
      <c r="D59" s="21"/>
      <c r="E59" s="85" t="s">
        <v>70</v>
      </c>
      <c r="F59" s="96">
        <v>26455</v>
      </c>
      <c r="G59" s="33"/>
    </row>
    <row r="60" spans="1:7" ht="12.75" customHeight="1">
      <c r="A60" s="21"/>
      <c r="B60" s="28"/>
      <c r="C60" s="21"/>
      <c r="D60" s="21"/>
      <c r="E60" s="85" t="s">
        <v>136</v>
      </c>
      <c r="F60" s="96">
        <v>2995.01</v>
      </c>
      <c r="G60" s="33"/>
    </row>
    <row r="61" spans="1:7" ht="12.75" customHeight="1">
      <c r="A61" s="21"/>
      <c r="B61" s="28"/>
      <c r="C61" s="21"/>
      <c r="D61" s="21"/>
      <c r="E61" s="85" t="s">
        <v>169</v>
      </c>
      <c r="F61" s="96">
        <v>36710.81</v>
      </c>
      <c r="G61" s="33"/>
    </row>
    <row r="62" spans="1:7" ht="12.75" customHeight="1">
      <c r="A62" s="21"/>
      <c r="B62" s="28"/>
      <c r="C62" s="21"/>
      <c r="D62" s="21"/>
      <c r="E62" s="85" t="s">
        <v>170</v>
      </c>
      <c r="F62" s="96">
        <v>28335.79</v>
      </c>
      <c r="G62" s="33"/>
    </row>
    <row r="63" spans="1:7" ht="12.75" customHeight="1">
      <c r="A63" s="21"/>
      <c r="B63" s="28"/>
      <c r="C63" s="21"/>
      <c r="D63" s="21"/>
      <c r="E63" s="85" t="s">
        <v>171</v>
      </c>
      <c r="F63" s="96">
        <v>11973.16</v>
      </c>
      <c r="G63" s="33"/>
    </row>
    <row r="64" spans="1:7" ht="12.75" customHeight="1">
      <c r="A64" s="21"/>
      <c r="B64" s="28"/>
      <c r="C64" s="21"/>
      <c r="D64" s="21"/>
      <c r="E64" s="39"/>
      <c r="F64" s="62"/>
      <c r="G64" s="111"/>
    </row>
    <row r="65" spans="1:7" ht="12.75" customHeight="1">
      <c r="A65" s="21"/>
      <c r="B65" s="28"/>
      <c r="C65" s="79" t="s">
        <v>20</v>
      </c>
      <c r="D65" s="21"/>
      <c r="E65" s="38"/>
      <c r="F65" s="64">
        <f>SUM(F66)</f>
        <v>142</v>
      </c>
      <c r="G65" s="33"/>
    </row>
    <row r="66" spans="1:7" ht="12.75" customHeight="1">
      <c r="A66" s="21"/>
      <c r="B66" s="28"/>
      <c r="C66" s="79"/>
      <c r="D66" s="38" t="s">
        <v>131</v>
      </c>
      <c r="E66" s="38"/>
      <c r="F66" s="91">
        <v>142</v>
      </c>
      <c r="G66" s="33"/>
    </row>
    <row r="67" spans="1:7" ht="12.75" customHeight="1">
      <c r="A67" s="21"/>
      <c r="B67" s="28"/>
      <c r="C67" s="79"/>
      <c r="D67" s="21"/>
      <c r="E67" s="38"/>
      <c r="F67" s="116"/>
      <c r="G67" s="33"/>
    </row>
    <row r="68" spans="1:7" ht="12.75" customHeight="1">
      <c r="A68" s="21"/>
      <c r="B68" s="28"/>
      <c r="C68" s="21"/>
      <c r="D68" s="21"/>
      <c r="E68" s="39"/>
      <c r="F68" s="61"/>
      <c r="G68" s="33"/>
    </row>
    <row r="69" spans="1:7" ht="12.75" customHeight="1">
      <c r="A69" s="21"/>
      <c r="B69" s="28"/>
      <c r="C69" s="79" t="s">
        <v>21</v>
      </c>
      <c r="D69" s="21"/>
      <c r="E69" s="38"/>
      <c r="F69" s="65">
        <f>SUM(F70:F74)</f>
        <v>199418.24999999997</v>
      </c>
      <c r="G69" s="33"/>
    </row>
    <row r="70" spans="1:7" ht="12.75" customHeight="1">
      <c r="A70" s="21"/>
      <c r="B70" s="28"/>
      <c r="D70" s="92" t="s">
        <v>22</v>
      </c>
      <c r="E70" s="41"/>
      <c r="F70" s="90">
        <f>49297.37+4583.16+57007.16+7993.67</f>
        <v>118881.36</v>
      </c>
      <c r="G70" s="33"/>
    </row>
    <row r="71" spans="1:7" ht="12.75" customHeight="1">
      <c r="A71" s="21"/>
      <c r="B71" s="28"/>
      <c r="D71" s="92" t="s">
        <v>23</v>
      </c>
      <c r="E71" s="41"/>
      <c r="F71" s="87">
        <f>27597.59+6967.22+1364.18+15432.77+1998.42</f>
        <v>53360.17999999999</v>
      </c>
      <c r="G71" s="33"/>
    </row>
    <row r="72" spans="1:7" ht="12.75" customHeight="1">
      <c r="A72" s="21"/>
      <c r="B72" s="28"/>
      <c r="D72" s="92" t="s">
        <v>24</v>
      </c>
      <c r="E72" s="41"/>
      <c r="F72" s="87">
        <v>27176.71</v>
      </c>
      <c r="G72" s="33"/>
    </row>
    <row r="73" spans="1:7" ht="12.75" customHeight="1">
      <c r="A73" s="21"/>
      <c r="B73" s="28"/>
      <c r="D73" s="92" t="s">
        <v>25</v>
      </c>
      <c r="E73" s="41"/>
      <c r="F73" s="87">
        <v>0</v>
      </c>
      <c r="G73" s="33"/>
    </row>
    <row r="74" spans="1:7" ht="12.75" customHeight="1">
      <c r="A74" s="21"/>
      <c r="B74" s="28"/>
      <c r="D74" s="92" t="s">
        <v>26</v>
      </c>
      <c r="E74" s="41"/>
      <c r="F74" s="87">
        <v>0</v>
      </c>
      <c r="G74" s="33"/>
    </row>
    <row r="75" spans="1:7" ht="12.75" customHeight="1">
      <c r="A75" s="21"/>
      <c r="B75" s="28"/>
      <c r="D75" s="40"/>
      <c r="E75" s="41"/>
      <c r="F75" s="61"/>
      <c r="G75" s="33"/>
    </row>
    <row r="76" spans="1:7" ht="12.75" customHeight="1">
      <c r="A76" s="21"/>
      <c r="B76" s="28"/>
      <c r="C76" s="79" t="s">
        <v>27</v>
      </c>
      <c r="D76" s="21"/>
      <c r="E76" s="38"/>
      <c r="F76" s="65">
        <f>SUM(F77:F81)</f>
        <v>107093.91</v>
      </c>
      <c r="G76" s="33"/>
    </row>
    <row r="77" spans="1:7" ht="12.75" customHeight="1">
      <c r="A77" s="21"/>
      <c r="B77" s="28"/>
      <c r="C77" s="21"/>
      <c r="D77" s="92" t="s">
        <v>28</v>
      </c>
      <c r="E77" s="41"/>
      <c r="F77" s="90">
        <v>10969.03</v>
      </c>
      <c r="G77" s="33"/>
    </row>
    <row r="78" spans="1:7" ht="12.75" customHeight="1">
      <c r="A78" s="21"/>
      <c r="B78" s="28"/>
      <c r="D78" s="92" t="s">
        <v>29</v>
      </c>
      <c r="E78" s="42"/>
      <c r="F78" s="87">
        <v>54165.72</v>
      </c>
      <c r="G78" s="33"/>
    </row>
    <row r="79" spans="1:7" ht="12.75" customHeight="1">
      <c r="A79" s="21"/>
      <c r="B79" s="28"/>
      <c r="D79" s="92" t="s">
        <v>31</v>
      </c>
      <c r="E79" s="41"/>
      <c r="F79" s="87">
        <v>41959.16</v>
      </c>
      <c r="G79" s="33"/>
    </row>
    <row r="80" spans="1:7" ht="12.75" customHeight="1">
      <c r="A80" s="21"/>
      <c r="B80" s="28"/>
      <c r="D80" s="92" t="s">
        <v>32</v>
      </c>
      <c r="E80" s="41"/>
      <c r="F80" s="87"/>
      <c r="G80" s="33"/>
    </row>
    <row r="81" spans="1:7" ht="12.75" customHeight="1">
      <c r="A81" s="21"/>
      <c r="B81" s="28"/>
      <c r="D81" s="40"/>
      <c r="E81" s="93" t="s">
        <v>33</v>
      </c>
      <c r="F81" s="87">
        <v>0</v>
      </c>
      <c r="G81" s="33"/>
    </row>
    <row r="82" spans="1:7" ht="12.75" customHeight="1">
      <c r="A82" s="21"/>
      <c r="B82" s="28"/>
      <c r="D82" s="40"/>
      <c r="E82" s="42"/>
      <c r="F82" s="62"/>
      <c r="G82" s="33"/>
    </row>
    <row r="83" spans="1:7" ht="12.75" customHeight="1">
      <c r="A83" s="21"/>
      <c r="B83" s="28"/>
      <c r="C83" s="79" t="s">
        <v>34</v>
      </c>
      <c r="D83" s="21"/>
      <c r="E83" s="38"/>
      <c r="F83" s="59"/>
      <c r="G83" s="33"/>
    </row>
    <row r="84" spans="1:7" ht="12.75" customHeight="1">
      <c r="A84" s="21"/>
      <c r="B84" s="28"/>
      <c r="D84" s="21"/>
      <c r="E84" s="94" t="s">
        <v>35</v>
      </c>
      <c r="F84" s="66">
        <v>0</v>
      </c>
      <c r="G84" s="33"/>
    </row>
    <row r="85" spans="1:7" ht="12.75" customHeight="1">
      <c r="A85" s="21"/>
      <c r="B85" s="28"/>
      <c r="D85" s="21"/>
      <c r="E85" s="43"/>
      <c r="F85" s="59"/>
      <c r="G85" s="33"/>
    </row>
    <row r="86" spans="1:7" ht="12.75" customHeight="1">
      <c r="A86" s="21"/>
      <c r="B86" s="28"/>
      <c r="C86" s="79" t="s">
        <v>36</v>
      </c>
      <c r="D86" s="21"/>
      <c r="E86" s="38"/>
      <c r="F86" s="66">
        <v>43000</v>
      </c>
      <c r="G86" s="33"/>
    </row>
    <row r="87" spans="1:7" ht="12.75" customHeight="1">
      <c r="A87" s="21"/>
      <c r="B87" s="28"/>
      <c r="C87" s="21"/>
      <c r="D87" s="21"/>
      <c r="E87" s="38"/>
      <c r="F87" s="59"/>
      <c r="G87" s="33"/>
    </row>
    <row r="88" spans="1:7" ht="12.75" customHeight="1">
      <c r="A88" s="21"/>
      <c r="B88" s="28"/>
      <c r="C88" s="79" t="s">
        <v>37</v>
      </c>
      <c r="D88" s="21"/>
      <c r="E88" s="38"/>
      <c r="F88" s="66">
        <v>80000</v>
      </c>
      <c r="G88" s="33"/>
    </row>
    <row r="89" spans="1:7" ht="12.75" customHeight="1">
      <c r="A89" s="21"/>
      <c r="B89" s="28"/>
      <c r="C89" s="21"/>
      <c r="D89" s="21"/>
      <c r="E89" s="38"/>
      <c r="F89" s="59"/>
      <c r="G89" s="33"/>
    </row>
    <row r="90" spans="1:7" ht="12.75" customHeight="1">
      <c r="A90" s="21"/>
      <c r="B90" s="28"/>
      <c r="C90" s="79" t="s">
        <v>38</v>
      </c>
      <c r="D90" s="21"/>
      <c r="E90" s="38"/>
      <c r="F90" s="66">
        <f>SUM(F91:F100)</f>
        <v>18881.33</v>
      </c>
      <c r="G90" s="33"/>
    </row>
    <row r="91" spans="1:7" ht="12.75" customHeight="1">
      <c r="A91" s="21"/>
      <c r="B91" s="28"/>
      <c r="C91" s="79"/>
      <c r="D91" s="21"/>
      <c r="E91" s="85" t="s">
        <v>100</v>
      </c>
      <c r="F91" s="81">
        <v>570.23</v>
      </c>
      <c r="G91" s="33"/>
    </row>
    <row r="92" spans="1:7" ht="12.75" customHeight="1">
      <c r="A92" s="21"/>
      <c r="B92" s="28"/>
      <c r="C92" s="79"/>
      <c r="D92" s="21"/>
      <c r="E92" s="85" t="s">
        <v>173</v>
      </c>
      <c r="F92" s="81">
        <v>516.46</v>
      </c>
      <c r="G92" s="33"/>
    </row>
    <row r="93" spans="1:7" ht="12.75" customHeight="1">
      <c r="A93" s="21"/>
      <c r="B93" s="28"/>
      <c r="C93" s="79"/>
      <c r="D93" s="21"/>
      <c r="E93" s="85" t="s">
        <v>124</v>
      </c>
      <c r="F93" s="81">
        <v>147.17</v>
      </c>
      <c r="G93" s="33"/>
    </row>
    <row r="94" spans="1:7" ht="12.75" customHeight="1">
      <c r="A94" s="21"/>
      <c r="B94" s="28"/>
      <c r="C94" s="79"/>
      <c r="D94" s="21"/>
      <c r="E94" s="85" t="s">
        <v>139</v>
      </c>
      <c r="F94" s="81">
        <v>1053.72</v>
      </c>
      <c r="G94" s="33"/>
    </row>
    <row r="95" spans="1:7" ht="12.75" customHeight="1">
      <c r="A95" s="21"/>
      <c r="B95" s="28"/>
      <c r="C95" s="79"/>
      <c r="D95" s="21"/>
      <c r="E95" s="85" t="s">
        <v>151</v>
      </c>
      <c r="F95" s="81">
        <v>1855.53</v>
      </c>
      <c r="G95" s="33"/>
    </row>
    <row r="96" spans="1:7" ht="12.75" customHeight="1">
      <c r="A96" s="21"/>
      <c r="B96" s="28"/>
      <c r="C96" s="79"/>
      <c r="D96" s="21"/>
      <c r="E96" s="85" t="s">
        <v>174</v>
      </c>
      <c r="F96" s="81">
        <v>7548</v>
      </c>
      <c r="G96" s="33"/>
    </row>
    <row r="97" spans="1:7" ht="12.75" customHeight="1">
      <c r="A97" s="21"/>
      <c r="B97" s="28"/>
      <c r="C97" s="79"/>
      <c r="D97" s="21"/>
      <c r="E97" s="85" t="s">
        <v>101</v>
      </c>
      <c r="F97" s="81">
        <v>2262.08</v>
      </c>
      <c r="G97" s="33"/>
    </row>
    <row r="98" spans="1:7" ht="12.75" customHeight="1">
      <c r="A98" s="21"/>
      <c r="B98" s="28"/>
      <c r="C98" s="79"/>
      <c r="D98" s="21"/>
      <c r="E98" s="38" t="s">
        <v>217</v>
      </c>
      <c r="F98" s="81">
        <v>3628.03</v>
      </c>
      <c r="G98" s="33"/>
    </row>
    <row r="99" spans="1:7" ht="12.75" customHeight="1">
      <c r="A99" s="21"/>
      <c r="B99" s="28"/>
      <c r="C99" s="79"/>
      <c r="D99" s="21"/>
      <c r="E99" s="38" t="s">
        <v>175</v>
      </c>
      <c r="F99" s="81">
        <v>1300</v>
      </c>
      <c r="G99" s="33"/>
    </row>
    <row r="100" spans="1:7" ht="12.75" customHeight="1">
      <c r="A100" s="21"/>
      <c r="B100" s="28"/>
      <c r="C100" s="79"/>
      <c r="D100" s="21"/>
      <c r="E100" s="38" t="s">
        <v>204</v>
      </c>
      <c r="F100" s="81">
        <v>0.11</v>
      </c>
      <c r="G100" s="33"/>
    </row>
    <row r="101" spans="1:7" ht="12.75" customHeight="1">
      <c r="A101" s="21"/>
      <c r="B101" s="28"/>
      <c r="C101" s="79"/>
      <c r="D101" s="21"/>
      <c r="E101" s="38"/>
      <c r="F101" s="81"/>
      <c r="G101" s="33"/>
    </row>
    <row r="102" spans="1:7" ht="12.75" customHeight="1">
      <c r="A102" s="21"/>
      <c r="B102" s="28"/>
      <c r="C102" s="79"/>
      <c r="D102" s="21"/>
      <c r="E102" s="38"/>
      <c r="F102" s="66"/>
      <c r="G102" s="33"/>
    </row>
    <row r="103" spans="1:7" ht="12.75" customHeight="1">
      <c r="A103" s="21"/>
      <c r="B103" s="28"/>
      <c r="C103" s="21"/>
      <c r="D103" s="21"/>
      <c r="E103" s="43"/>
      <c r="F103" s="59" t="s">
        <v>0</v>
      </c>
      <c r="G103" s="33"/>
    </row>
    <row r="104" spans="1:9" ht="16.5" customHeight="1">
      <c r="A104" s="44"/>
      <c r="B104" s="75" t="s">
        <v>39</v>
      </c>
      <c r="C104" s="45"/>
      <c r="D104" s="45"/>
      <c r="E104" s="39"/>
      <c r="F104" s="59" t="s">
        <v>0</v>
      </c>
      <c r="G104" s="98">
        <f>SUM(G19:G90)</f>
        <v>7606.860000000102</v>
      </c>
      <c r="I104" s="70"/>
    </row>
    <row r="105" spans="1:7" ht="12.75" customHeight="1">
      <c r="A105" s="21"/>
      <c r="B105" s="97" t="s">
        <v>40</v>
      </c>
      <c r="C105" s="21"/>
      <c r="D105" s="21"/>
      <c r="E105" s="43"/>
      <c r="F105" s="59" t="s">
        <v>0</v>
      </c>
      <c r="G105" s="46"/>
    </row>
    <row r="106" spans="2:7" ht="12" customHeight="1">
      <c r="B106" s="47"/>
      <c r="E106" s="38"/>
      <c r="F106" s="59" t="s">
        <v>0</v>
      </c>
      <c r="G106" s="46"/>
    </row>
    <row r="107" spans="2:7" ht="16.5" customHeight="1">
      <c r="B107" s="75" t="s">
        <v>52</v>
      </c>
      <c r="C107" s="35"/>
      <c r="D107" s="35"/>
      <c r="E107" s="48"/>
      <c r="F107" s="60"/>
      <c r="G107" s="98">
        <f>SUM(F109:F111)</f>
        <v>247425.22000000003</v>
      </c>
    </row>
    <row r="108" spans="2:7" ht="12">
      <c r="B108" s="47"/>
      <c r="E108" s="38"/>
      <c r="F108" s="59"/>
      <c r="G108" s="46"/>
    </row>
    <row r="109" spans="2:7" ht="15">
      <c r="B109" s="28"/>
      <c r="C109" s="79" t="s">
        <v>49</v>
      </c>
      <c r="D109" s="21"/>
      <c r="E109" s="38"/>
      <c r="F109" s="64">
        <v>246523</v>
      </c>
      <c r="G109" s="46"/>
    </row>
    <row r="110" spans="2:7" ht="15">
      <c r="B110" s="47"/>
      <c r="C110" s="79" t="s">
        <v>50</v>
      </c>
      <c r="E110" s="38"/>
      <c r="F110" s="71">
        <f>39893.26+32893.39+756</f>
        <v>73542.65</v>
      </c>
      <c r="G110" s="46"/>
    </row>
    <row r="111" spans="2:7" ht="15">
      <c r="B111" s="47"/>
      <c r="C111" s="79" t="s">
        <v>51</v>
      </c>
      <c r="E111" s="38"/>
      <c r="F111" s="66">
        <f>-70434.59-2161.91-43.93</f>
        <v>-72640.43</v>
      </c>
      <c r="G111" s="46"/>
    </row>
    <row r="112" spans="2:7" ht="12">
      <c r="B112" s="47"/>
      <c r="E112" s="38"/>
      <c r="F112" s="59"/>
      <c r="G112" s="46"/>
    </row>
    <row r="113" spans="2:7" ht="18">
      <c r="B113" s="75" t="s">
        <v>75</v>
      </c>
      <c r="C113" s="35"/>
      <c r="D113" s="35"/>
      <c r="E113" s="48"/>
      <c r="F113" s="69">
        <v>0</v>
      </c>
      <c r="G113" s="99">
        <v>0</v>
      </c>
    </row>
    <row r="114" spans="2:7" ht="12">
      <c r="B114" s="47"/>
      <c r="E114" s="38"/>
      <c r="F114" s="59"/>
      <c r="G114" s="46"/>
    </row>
    <row r="115" spans="2:7" ht="18">
      <c r="B115" s="75" t="s">
        <v>76</v>
      </c>
      <c r="C115" s="35"/>
      <c r="D115" s="35"/>
      <c r="E115" s="48"/>
      <c r="F115" s="60"/>
      <c r="G115" s="98">
        <f>F117+F118</f>
        <v>52928</v>
      </c>
    </row>
    <row r="116" spans="2:7" ht="12">
      <c r="B116" s="47"/>
      <c r="E116" s="38"/>
      <c r="F116" s="59"/>
      <c r="G116" s="46"/>
    </row>
    <row r="117" spans="2:7" ht="15">
      <c r="B117" s="47"/>
      <c r="C117" s="79" t="s">
        <v>53</v>
      </c>
      <c r="E117" s="38"/>
      <c r="F117" s="66">
        <f>61120.41+289.39</f>
        <v>61409.8</v>
      </c>
      <c r="G117" s="46"/>
    </row>
    <row r="118" spans="2:7" ht="15">
      <c r="B118" s="47"/>
      <c r="C118" s="79" t="s">
        <v>54</v>
      </c>
      <c r="E118" s="38"/>
      <c r="F118" s="66">
        <v>-8481.8</v>
      </c>
      <c r="G118" s="46"/>
    </row>
    <row r="119" spans="2:7" ht="12">
      <c r="B119" s="47"/>
      <c r="E119" s="38"/>
      <c r="F119" s="59"/>
      <c r="G119" s="46"/>
    </row>
    <row r="120" spans="2:7" ht="12">
      <c r="B120" s="47"/>
      <c r="E120" s="38"/>
      <c r="F120" s="59"/>
      <c r="G120" s="46"/>
    </row>
    <row r="121" spans="2:7" ht="18">
      <c r="B121" s="113" t="s">
        <v>176</v>
      </c>
      <c r="E121" s="38"/>
      <c r="F121" s="59"/>
      <c r="G121" s="101">
        <f>G104+G107+G115</f>
        <v>307960.08000000013</v>
      </c>
    </row>
    <row r="122" spans="2:7" ht="15.75">
      <c r="B122" s="113"/>
      <c r="E122" s="38" t="s">
        <v>177</v>
      </c>
      <c r="F122" s="59"/>
      <c r="G122" s="114">
        <f>SUM(F123:F124)</f>
        <v>174803</v>
      </c>
    </row>
    <row r="123" spans="2:7" ht="15.75">
      <c r="B123" s="113"/>
      <c r="E123" s="38" t="s">
        <v>178</v>
      </c>
      <c r="F123" s="66">
        <v>121973</v>
      </c>
      <c r="G123" s="46"/>
    </row>
    <row r="124" spans="2:7" ht="15.75">
      <c r="B124" s="113"/>
      <c r="E124" s="38" t="s">
        <v>179</v>
      </c>
      <c r="F124" s="66">
        <v>52830</v>
      </c>
      <c r="G124" s="46"/>
    </row>
    <row r="125" spans="2:7" ht="12">
      <c r="B125" s="47"/>
      <c r="E125" s="38"/>
      <c r="F125" s="59"/>
      <c r="G125" s="46"/>
    </row>
    <row r="126" spans="2:9" ht="18">
      <c r="B126" s="31"/>
      <c r="E126" s="100" t="s">
        <v>55</v>
      </c>
      <c r="F126" s="59"/>
      <c r="G126" s="101">
        <f>G121-G122</f>
        <v>133157.08000000013</v>
      </c>
      <c r="I126" s="70"/>
    </row>
    <row r="127" spans="2:7" ht="12">
      <c r="B127" s="49"/>
      <c r="C127" s="50"/>
      <c r="D127" s="50"/>
      <c r="E127" s="51"/>
      <c r="F127" s="52"/>
      <c r="G127" s="53"/>
    </row>
    <row r="132" spans="5:7" ht="15.75">
      <c r="E132" s="103"/>
      <c r="G132" s="107"/>
    </row>
    <row r="134" spans="5:7" ht="15.75">
      <c r="E134" s="103"/>
      <c r="G134" s="107"/>
    </row>
    <row r="136" spans="5:7" ht="18">
      <c r="E136" s="103"/>
      <c r="G136" s="104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63" max="7" man="1"/>
    <brk id="1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03">
      <selection activeCell="G119" sqref="G119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68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1684633.76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921606.77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43</v>
      </c>
      <c r="F21" s="80">
        <f>740765.27+139380+41300+161.5</f>
        <v>921606.77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SUM(F28:F31)</f>
        <v>763026.99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41</v>
      </c>
      <c r="F28" s="80">
        <v>717626.64</v>
      </c>
      <c r="G28" s="34"/>
    </row>
    <row r="29" spans="1:7" ht="12.75" customHeight="1">
      <c r="A29" s="21"/>
      <c r="B29" s="28"/>
      <c r="C29" s="76"/>
      <c r="D29" s="78" t="s">
        <v>30</v>
      </c>
      <c r="E29" s="77" t="s">
        <v>213</v>
      </c>
      <c r="F29" s="80">
        <v>30743.19</v>
      </c>
      <c r="G29" s="34"/>
    </row>
    <row r="30" spans="1:7" ht="12.75" customHeight="1">
      <c r="A30" s="21"/>
      <c r="B30" s="28"/>
      <c r="C30" s="76"/>
      <c r="D30" s="78" t="s">
        <v>30</v>
      </c>
      <c r="E30" s="77" t="s">
        <v>44</v>
      </c>
      <c r="F30" s="80">
        <f>1332.16+4512.5</f>
        <v>5844.66</v>
      </c>
      <c r="G30" s="34"/>
    </row>
    <row r="31" spans="1:7" ht="12.75" customHeight="1">
      <c r="A31" s="21"/>
      <c r="B31" s="28"/>
      <c r="C31" s="76"/>
      <c r="D31" s="76" t="s">
        <v>30</v>
      </c>
      <c r="E31" s="76" t="s">
        <v>73</v>
      </c>
      <c r="F31" s="83">
        <v>8812.5</v>
      </c>
      <c r="G31" s="33"/>
    </row>
    <row r="32" spans="1:7" ht="12.75" customHeight="1">
      <c r="A32" s="21"/>
      <c r="B32" s="28"/>
      <c r="C32" s="21"/>
      <c r="D32" s="21"/>
      <c r="E32" s="21"/>
      <c r="F32" s="59"/>
      <c r="G32" s="33"/>
    </row>
    <row r="33" spans="1:7" s="37" customFormat="1" ht="15.75" customHeight="1">
      <c r="A33" s="35"/>
      <c r="B33" s="75" t="s">
        <v>16</v>
      </c>
      <c r="C33" s="35"/>
      <c r="D33" s="35"/>
      <c r="E33" s="36"/>
      <c r="F33" s="60"/>
      <c r="G33" s="84">
        <f>-(F35+F46+F64+F67+F74+F82+F84+F86+F88)</f>
        <v>-1723783.3499999999</v>
      </c>
    </row>
    <row r="34" spans="1:7" ht="12.75" customHeight="1">
      <c r="A34" s="21"/>
      <c r="B34" s="28"/>
      <c r="C34" s="79" t="s">
        <v>17</v>
      </c>
      <c r="D34" s="21"/>
      <c r="F34" s="59" t="s">
        <v>0</v>
      </c>
      <c r="G34" s="33"/>
    </row>
    <row r="35" spans="1:7" ht="12.75" customHeight="1">
      <c r="A35" s="21"/>
      <c r="B35" s="28"/>
      <c r="D35" s="79" t="s">
        <v>18</v>
      </c>
      <c r="E35" s="38"/>
      <c r="F35" s="65">
        <f>SUM(F36:F44)</f>
        <v>123159.07</v>
      </c>
      <c r="G35" s="33"/>
    </row>
    <row r="36" spans="1:7" ht="12.75" customHeight="1">
      <c r="A36" s="21"/>
      <c r="B36" s="28"/>
      <c r="D36" s="21"/>
      <c r="E36" s="85" t="s">
        <v>59</v>
      </c>
      <c r="F36" s="87">
        <v>168.03</v>
      </c>
      <c r="G36" s="33"/>
    </row>
    <row r="37" spans="1:7" ht="12.75" customHeight="1">
      <c r="A37" s="21"/>
      <c r="B37" s="28"/>
      <c r="D37" s="21"/>
      <c r="E37" s="85" t="s">
        <v>208</v>
      </c>
      <c r="F37" s="87">
        <v>55.48</v>
      </c>
      <c r="G37" s="33"/>
    </row>
    <row r="38" spans="1:7" ht="12.75" customHeight="1">
      <c r="A38" s="21"/>
      <c r="B38" s="28"/>
      <c r="D38" s="21"/>
      <c r="E38" s="85" t="s">
        <v>65</v>
      </c>
      <c r="F38" s="87">
        <v>22510.13</v>
      </c>
      <c r="G38" s="33"/>
    </row>
    <row r="39" spans="1:7" ht="12.75" customHeight="1">
      <c r="A39" s="21"/>
      <c r="B39" s="28"/>
      <c r="D39" s="21"/>
      <c r="E39" s="85" t="s">
        <v>57</v>
      </c>
      <c r="F39" s="87">
        <v>13879.63</v>
      </c>
      <c r="G39" s="33"/>
    </row>
    <row r="40" spans="1:7" ht="12.75" customHeight="1">
      <c r="A40" s="21"/>
      <c r="B40" s="28"/>
      <c r="D40" s="21"/>
      <c r="E40" s="88" t="s">
        <v>45</v>
      </c>
      <c r="F40" s="89">
        <v>5466.95</v>
      </c>
      <c r="G40" s="33"/>
    </row>
    <row r="41" spans="1:7" ht="12.75" customHeight="1">
      <c r="A41" s="21"/>
      <c r="B41" s="28"/>
      <c r="D41" s="21"/>
      <c r="E41" s="88" t="s">
        <v>182</v>
      </c>
      <c r="F41" s="89">
        <v>5000</v>
      </c>
      <c r="G41" s="33"/>
    </row>
    <row r="42" spans="1:7" ht="12.75" customHeight="1">
      <c r="A42" s="21"/>
      <c r="B42" s="28"/>
      <c r="D42" s="21"/>
      <c r="E42" s="88" t="s">
        <v>207</v>
      </c>
      <c r="F42" s="89">
        <v>7488.83</v>
      </c>
      <c r="G42" s="33"/>
    </row>
    <row r="43" spans="1:7" ht="12.75" customHeight="1">
      <c r="A43" s="21"/>
      <c r="B43" s="28"/>
      <c r="C43" s="21"/>
      <c r="D43" s="21"/>
      <c r="E43" s="85" t="s">
        <v>46</v>
      </c>
      <c r="F43" s="87">
        <v>68590.02</v>
      </c>
      <c r="G43" s="33"/>
    </row>
    <row r="44" spans="1:7" ht="12.75" customHeight="1">
      <c r="A44" s="21"/>
      <c r="B44" s="28"/>
      <c r="D44" s="21"/>
      <c r="E44" s="85"/>
      <c r="F44" s="83"/>
      <c r="G44" s="33"/>
    </row>
    <row r="45" spans="1:7" ht="12.75" customHeight="1">
      <c r="A45" s="21"/>
      <c r="B45" s="28"/>
      <c r="D45" s="21"/>
      <c r="E45" s="38"/>
      <c r="F45" s="62"/>
      <c r="G45" s="33"/>
    </row>
    <row r="46" spans="1:7" ht="12.75" customHeight="1">
      <c r="A46" s="21"/>
      <c r="B46" s="28"/>
      <c r="C46" s="79" t="s">
        <v>19</v>
      </c>
      <c r="D46" s="21"/>
      <c r="E46" s="38"/>
      <c r="F46" s="65">
        <f>SUM(F47:F62)</f>
        <v>1019261.19</v>
      </c>
      <c r="G46" s="33"/>
    </row>
    <row r="47" spans="1:7" ht="12.75" customHeight="1">
      <c r="A47" s="21"/>
      <c r="B47" s="28"/>
      <c r="C47" s="21"/>
      <c r="D47" s="21"/>
      <c r="E47" s="85" t="s">
        <v>78</v>
      </c>
      <c r="F47" s="87">
        <v>21139.05</v>
      </c>
      <c r="G47" s="33"/>
    </row>
    <row r="48" spans="1:7" ht="12.75" customHeight="1">
      <c r="A48" s="21"/>
      <c r="B48" s="28"/>
      <c r="C48" s="21"/>
      <c r="D48" s="21"/>
      <c r="E48" s="85" t="s">
        <v>79</v>
      </c>
      <c r="F48" s="87">
        <f>4009.58+782.72</f>
        <v>4792.3</v>
      </c>
      <c r="G48" s="33"/>
    </row>
    <row r="49" spans="1:7" ht="12.75" customHeight="1">
      <c r="A49" s="21"/>
      <c r="B49" s="28"/>
      <c r="C49" s="21"/>
      <c r="D49" s="21"/>
      <c r="E49" s="85" t="s">
        <v>80</v>
      </c>
      <c r="F49" s="87">
        <f>11092.71+6843.36</f>
        <v>17936.07</v>
      </c>
      <c r="G49" s="33"/>
    </row>
    <row r="50" spans="1:7" ht="12.75" customHeight="1">
      <c r="A50" s="21"/>
      <c r="B50" s="28"/>
      <c r="C50" s="21"/>
      <c r="D50" s="21"/>
      <c r="E50" s="85" t="s">
        <v>83</v>
      </c>
      <c r="F50" s="87">
        <v>2487.39</v>
      </c>
      <c r="G50" s="33"/>
    </row>
    <row r="51" spans="1:7" ht="12.75" customHeight="1">
      <c r="A51" s="21"/>
      <c r="B51" s="28"/>
      <c r="C51" s="21"/>
      <c r="D51" s="21"/>
      <c r="E51" s="85" t="s">
        <v>84</v>
      </c>
      <c r="F51" s="87">
        <v>174.7</v>
      </c>
      <c r="G51" s="33"/>
    </row>
    <row r="52" spans="1:7" ht="12.75" customHeight="1">
      <c r="A52" s="21"/>
      <c r="B52" s="28"/>
      <c r="C52" s="21"/>
      <c r="D52" s="21"/>
      <c r="E52" s="85" t="s">
        <v>85</v>
      </c>
      <c r="F52" s="87">
        <v>1907</v>
      </c>
      <c r="G52" s="33"/>
    </row>
    <row r="53" spans="1:7" ht="12.75" customHeight="1">
      <c r="A53" s="21"/>
      <c r="B53" s="28"/>
      <c r="C53" s="21"/>
      <c r="D53" s="21"/>
      <c r="E53" s="85" t="s">
        <v>202</v>
      </c>
      <c r="F53" s="87">
        <v>1428.2</v>
      </c>
      <c r="G53" s="33"/>
    </row>
    <row r="54" spans="1:7" ht="12.75" customHeight="1">
      <c r="A54" s="21"/>
      <c r="B54" s="28"/>
      <c r="C54" s="21"/>
      <c r="D54" s="21"/>
      <c r="E54" s="85" t="s">
        <v>88</v>
      </c>
      <c r="F54" s="87">
        <v>28.92</v>
      </c>
      <c r="G54" s="33"/>
    </row>
    <row r="55" spans="1:7" ht="12.75" customHeight="1">
      <c r="A55" s="21"/>
      <c r="B55" s="28"/>
      <c r="C55" s="21"/>
      <c r="D55" s="21"/>
      <c r="E55" s="85" t="s">
        <v>211</v>
      </c>
      <c r="F55" s="87">
        <v>82.37</v>
      </c>
      <c r="G55" s="33"/>
    </row>
    <row r="56" spans="1:7" ht="12.75" customHeight="1">
      <c r="A56" s="21"/>
      <c r="B56" s="28"/>
      <c r="C56" s="21"/>
      <c r="D56" s="21"/>
      <c r="E56" s="85" t="s">
        <v>89</v>
      </c>
      <c r="F56" s="87">
        <v>936</v>
      </c>
      <c r="G56" s="33"/>
    </row>
    <row r="57" spans="1:7" ht="12.75" customHeight="1">
      <c r="A57" s="21"/>
      <c r="B57" s="28"/>
      <c r="C57" s="21"/>
      <c r="D57" s="21"/>
      <c r="E57" s="85" t="s">
        <v>90</v>
      </c>
      <c r="F57" s="87">
        <v>22462.85</v>
      </c>
      <c r="G57" s="33"/>
    </row>
    <row r="58" spans="1:7" ht="12.75" customHeight="1">
      <c r="A58" s="21"/>
      <c r="B58" s="28"/>
      <c r="C58" s="21"/>
      <c r="D58" s="21"/>
      <c r="E58" s="85" t="s">
        <v>92</v>
      </c>
      <c r="F58" s="87">
        <v>39180.12</v>
      </c>
      <c r="G58" s="33"/>
    </row>
    <row r="59" spans="1:7" ht="12.75" customHeight="1">
      <c r="A59" s="21"/>
      <c r="B59" s="28"/>
      <c r="C59" s="21"/>
      <c r="D59" s="21"/>
      <c r="E59" s="85" t="s">
        <v>93</v>
      </c>
      <c r="F59" s="87">
        <v>7349.6</v>
      </c>
      <c r="G59" s="33"/>
    </row>
    <row r="60" spans="1:7" ht="12.75" customHeight="1">
      <c r="A60" s="21"/>
      <c r="B60" s="28"/>
      <c r="C60" s="21"/>
      <c r="D60" s="21"/>
      <c r="E60" s="85" t="s">
        <v>98</v>
      </c>
      <c r="F60" s="87">
        <v>172093.77</v>
      </c>
      <c r="G60" s="33"/>
    </row>
    <row r="61" spans="1:7" ht="13.5" customHeight="1">
      <c r="A61" s="21"/>
      <c r="B61" s="28"/>
      <c r="C61" s="21"/>
      <c r="D61" s="21"/>
      <c r="E61" s="85" t="s">
        <v>97</v>
      </c>
      <c r="F61" s="87">
        <v>727262.85</v>
      </c>
      <c r="G61" s="33"/>
    </row>
    <row r="62" spans="1:7" ht="12.75" customHeight="1">
      <c r="A62" s="21"/>
      <c r="B62" s="28"/>
      <c r="C62" s="21"/>
      <c r="D62" s="21"/>
      <c r="E62" s="85"/>
      <c r="F62" s="90"/>
      <c r="G62" s="61"/>
    </row>
    <row r="63" spans="1:7" ht="12.75" customHeight="1">
      <c r="A63" s="21"/>
      <c r="B63" s="28"/>
      <c r="C63" s="21"/>
      <c r="D63" s="21"/>
      <c r="E63" s="39"/>
      <c r="F63" s="62"/>
      <c r="G63" s="62"/>
    </row>
    <row r="64" spans="1:7" ht="12.75" customHeight="1">
      <c r="A64" s="21"/>
      <c r="B64" s="28"/>
      <c r="C64" s="79" t="s">
        <v>20</v>
      </c>
      <c r="D64" s="21"/>
      <c r="E64" s="38"/>
      <c r="F64" s="64">
        <f>SUM(F65:F65)</f>
        <v>0</v>
      </c>
      <c r="G64" s="33"/>
    </row>
    <row r="65" spans="1:7" ht="12.75" customHeight="1">
      <c r="A65" s="21"/>
      <c r="B65" s="28"/>
      <c r="C65" s="21"/>
      <c r="D65" s="21"/>
      <c r="E65" s="39"/>
      <c r="F65" s="67"/>
      <c r="G65" s="33"/>
    </row>
    <row r="66" spans="1:7" ht="12.75" customHeight="1">
      <c r="A66" s="21"/>
      <c r="B66" s="28"/>
      <c r="C66" s="21"/>
      <c r="D66" s="21"/>
      <c r="E66" s="39"/>
      <c r="F66" s="61"/>
      <c r="G66" s="33"/>
    </row>
    <row r="67" spans="1:7" ht="12.75" customHeight="1">
      <c r="A67" s="21"/>
      <c r="B67" s="28"/>
      <c r="C67" s="79" t="s">
        <v>21</v>
      </c>
      <c r="D67" s="21"/>
      <c r="E67" s="38"/>
      <c r="F67" s="65">
        <f>SUM(F68:F72)</f>
        <v>558155.2000000001</v>
      </c>
      <c r="G67" s="33"/>
    </row>
    <row r="68" spans="1:7" ht="12.75" customHeight="1">
      <c r="A68" s="21"/>
      <c r="B68" s="28"/>
      <c r="D68" s="92" t="s">
        <v>22</v>
      </c>
      <c r="E68" s="41"/>
      <c r="F68" s="90">
        <f>451861.52+1548.08+13322.8</f>
        <v>466732.4</v>
      </c>
      <c r="G68" s="33"/>
    </row>
    <row r="69" spans="1:7" ht="12.75" customHeight="1">
      <c r="A69" s="21"/>
      <c r="B69" s="28"/>
      <c r="D69" s="92" t="s">
        <v>23</v>
      </c>
      <c r="E69" s="41"/>
      <c r="F69" s="87">
        <f>85728+2364.1+3330.7-26315</f>
        <v>65107.8</v>
      </c>
      <c r="G69" s="33"/>
    </row>
    <row r="70" spans="1:7" ht="12.75" customHeight="1">
      <c r="A70" s="21"/>
      <c r="B70" s="28"/>
      <c r="D70" s="92" t="s">
        <v>24</v>
      </c>
      <c r="E70" s="41"/>
      <c r="F70" s="87">
        <v>26315</v>
      </c>
      <c r="G70" s="33"/>
    </row>
    <row r="71" spans="1:7" ht="12.75" customHeight="1">
      <c r="A71" s="21"/>
      <c r="B71" s="28"/>
      <c r="D71" s="92" t="s">
        <v>25</v>
      </c>
      <c r="E71" s="41"/>
      <c r="F71" s="87">
        <v>0</v>
      </c>
      <c r="G71" s="33"/>
    </row>
    <row r="72" spans="1:7" ht="12.75" customHeight="1">
      <c r="A72" s="21"/>
      <c r="B72" s="28"/>
      <c r="D72" s="92" t="s">
        <v>26</v>
      </c>
      <c r="E72" s="41"/>
      <c r="F72" s="87">
        <v>0</v>
      </c>
      <c r="G72" s="33"/>
    </row>
    <row r="73" spans="1:7" ht="12.75" customHeight="1">
      <c r="A73" s="21"/>
      <c r="B73" s="28"/>
      <c r="D73" s="40"/>
      <c r="E73" s="41"/>
      <c r="F73" s="61"/>
      <c r="G73" s="33"/>
    </row>
    <row r="74" spans="1:7" ht="12.75" customHeight="1">
      <c r="A74" s="21"/>
      <c r="B74" s="28"/>
      <c r="C74" s="79" t="s">
        <v>27</v>
      </c>
      <c r="D74" s="21"/>
      <c r="E74" s="38"/>
      <c r="F74" s="65">
        <f>SUM(F75:F79)</f>
        <v>21493.64</v>
      </c>
      <c r="G74" s="33"/>
    </row>
    <row r="75" spans="1:7" ht="12.75" customHeight="1">
      <c r="A75" s="21"/>
      <c r="B75" s="28"/>
      <c r="C75" s="21"/>
      <c r="D75" s="92" t="s">
        <v>28</v>
      </c>
      <c r="E75" s="41"/>
      <c r="F75" s="90">
        <v>5523.38</v>
      </c>
      <c r="G75" s="33"/>
    </row>
    <row r="76" spans="1:7" ht="12.75" customHeight="1">
      <c r="A76" s="21"/>
      <c r="B76" s="28"/>
      <c r="D76" s="92" t="s">
        <v>29</v>
      </c>
      <c r="E76" s="42"/>
      <c r="F76" s="87">
        <v>15970.26</v>
      </c>
      <c r="G76" s="33"/>
    </row>
    <row r="77" spans="1:7" ht="12.75" customHeight="1">
      <c r="A77" s="21"/>
      <c r="B77" s="28"/>
      <c r="D77" s="92" t="s">
        <v>31</v>
      </c>
      <c r="E77" s="41"/>
      <c r="F77" s="87">
        <v>0</v>
      </c>
      <c r="G77" s="33"/>
    </row>
    <row r="78" spans="1:7" ht="12.75" customHeight="1">
      <c r="A78" s="21"/>
      <c r="B78" s="28"/>
      <c r="D78" s="92" t="s">
        <v>32</v>
      </c>
      <c r="E78" s="41"/>
      <c r="F78" s="87"/>
      <c r="G78" s="33"/>
    </row>
    <row r="79" spans="1:7" ht="12.75" customHeight="1">
      <c r="A79" s="21"/>
      <c r="B79" s="28"/>
      <c r="D79" s="40"/>
      <c r="E79" s="93" t="s">
        <v>33</v>
      </c>
      <c r="F79" s="87">
        <v>0</v>
      </c>
      <c r="G79" s="33"/>
    </row>
    <row r="80" spans="1:7" ht="12.75" customHeight="1">
      <c r="A80" s="21"/>
      <c r="B80" s="28"/>
      <c r="D80" s="40"/>
      <c r="E80" s="42"/>
      <c r="F80" s="62"/>
      <c r="G80" s="33"/>
    </row>
    <row r="81" spans="1:7" ht="12.75" customHeight="1">
      <c r="A81" s="21"/>
      <c r="B81" s="28"/>
      <c r="C81" s="79" t="s">
        <v>34</v>
      </c>
      <c r="D81" s="21"/>
      <c r="E81" s="38"/>
      <c r="F81" s="59"/>
      <c r="G81" s="33"/>
    </row>
    <row r="82" spans="1:7" ht="12.75" customHeight="1">
      <c r="A82" s="21"/>
      <c r="B82" s="28"/>
      <c r="D82" s="21"/>
      <c r="E82" s="94" t="s">
        <v>35</v>
      </c>
      <c r="F82" s="66">
        <v>0</v>
      </c>
      <c r="G82" s="33"/>
    </row>
    <row r="83" spans="1:7" ht="12.75" customHeight="1">
      <c r="A83" s="21"/>
      <c r="B83" s="28"/>
      <c r="D83" s="21"/>
      <c r="E83" s="43"/>
      <c r="F83" s="59"/>
      <c r="G83" s="33"/>
    </row>
    <row r="84" spans="1:7" ht="12.75" customHeight="1">
      <c r="A84" s="21"/>
      <c r="B84" s="28"/>
      <c r="C84" s="79" t="s">
        <v>36</v>
      </c>
      <c r="D84" s="21"/>
      <c r="E84" s="38"/>
      <c r="F84" s="66">
        <v>0</v>
      </c>
      <c r="G84" s="33"/>
    </row>
    <row r="85" spans="1:7" ht="12.75" customHeight="1">
      <c r="A85" s="21"/>
      <c r="B85" s="28"/>
      <c r="C85" s="21"/>
      <c r="D85" s="21"/>
      <c r="E85" s="38"/>
      <c r="F85" s="59"/>
      <c r="G85" s="33"/>
    </row>
    <row r="86" spans="1:7" ht="12.75" customHeight="1">
      <c r="A86" s="21"/>
      <c r="B86" s="28"/>
      <c r="C86" s="79" t="s">
        <v>37</v>
      </c>
      <c r="D86" s="21"/>
      <c r="E86" s="38"/>
      <c r="F86" s="66">
        <v>0</v>
      </c>
      <c r="G86" s="33"/>
    </row>
    <row r="87" spans="1:7" ht="12.75" customHeight="1">
      <c r="A87" s="21"/>
      <c r="B87" s="28"/>
      <c r="C87" s="21"/>
      <c r="D87" s="21"/>
      <c r="E87" s="38"/>
      <c r="F87" s="59"/>
      <c r="G87" s="33"/>
    </row>
    <row r="88" spans="1:7" ht="12.75" customHeight="1">
      <c r="A88" s="21"/>
      <c r="B88" s="28"/>
      <c r="C88" s="79" t="s">
        <v>38</v>
      </c>
      <c r="D88" s="21"/>
      <c r="E88" s="38"/>
      <c r="F88" s="66">
        <f>SUM(F89:F91)</f>
        <v>1714.25</v>
      </c>
      <c r="G88" s="33"/>
    </row>
    <row r="89" spans="1:7" ht="12.75" customHeight="1">
      <c r="A89" s="21"/>
      <c r="B89" s="28"/>
      <c r="C89" s="21"/>
      <c r="D89" s="21"/>
      <c r="E89" s="85" t="s">
        <v>100</v>
      </c>
      <c r="F89" s="96">
        <v>1323.25</v>
      </c>
      <c r="G89" s="33"/>
    </row>
    <row r="90" spans="1:7" ht="12.75" customHeight="1">
      <c r="A90" s="21"/>
      <c r="B90" s="28"/>
      <c r="C90" s="21"/>
      <c r="D90" s="21"/>
      <c r="E90" s="85" t="s">
        <v>62</v>
      </c>
      <c r="F90" s="96">
        <v>88</v>
      </c>
      <c r="G90" s="33"/>
    </row>
    <row r="91" spans="1:7" ht="12.75" customHeight="1">
      <c r="A91" s="21"/>
      <c r="B91" s="28"/>
      <c r="C91" s="21"/>
      <c r="D91" s="21"/>
      <c r="E91" s="85" t="s">
        <v>103</v>
      </c>
      <c r="F91" s="96">
        <v>303</v>
      </c>
      <c r="G91" s="33"/>
    </row>
    <row r="92" spans="1:7" ht="12.75" customHeight="1">
      <c r="A92" s="21"/>
      <c r="B92" s="28"/>
      <c r="C92" s="21"/>
      <c r="D92" s="21"/>
      <c r="E92" s="43"/>
      <c r="F92" s="59" t="s">
        <v>0</v>
      </c>
      <c r="G92" s="33"/>
    </row>
    <row r="93" spans="1:9" ht="16.5" customHeight="1">
      <c r="A93" s="44"/>
      <c r="B93" s="75" t="s">
        <v>39</v>
      </c>
      <c r="C93" s="45"/>
      <c r="D93" s="45"/>
      <c r="E93" s="39"/>
      <c r="F93" s="59" t="s">
        <v>0</v>
      </c>
      <c r="G93" s="98">
        <f>SUM(G19:G91)</f>
        <v>-39149.58999999985</v>
      </c>
      <c r="I93" s="70"/>
    </row>
    <row r="94" spans="1:7" ht="12.75" customHeight="1">
      <c r="A94" s="21"/>
      <c r="B94" s="97" t="s">
        <v>40</v>
      </c>
      <c r="C94" s="21"/>
      <c r="D94" s="21"/>
      <c r="E94" s="43"/>
      <c r="F94" s="59" t="s">
        <v>0</v>
      </c>
      <c r="G94" s="46"/>
    </row>
    <row r="95" spans="2:7" ht="12" customHeight="1">
      <c r="B95" s="47"/>
      <c r="E95" s="38"/>
      <c r="F95" s="59" t="s">
        <v>0</v>
      </c>
      <c r="G95" s="46"/>
    </row>
    <row r="96" spans="2:7" ht="16.5" customHeight="1">
      <c r="B96" s="75" t="s">
        <v>52</v>
      </c>
      <c r="C96" s="35"/>
      <c r="D96" s="35"/>
      <c r="E96" s="48"/>
      <c r="F96" s="60"/>
      <c r="G96" s="98">
        <f>SUM(F98:F100)</f>
        <v>0</v>
      </c>
    </row>
    <row r="97" spans="2:7" ht="12">
      <c r="B97" s="47"/>
      <c r="E97" s="38"/>
      <c r="F97" s="59"/>
      <c r="G97" s="46"/>
    </row>
    <row r="98" spans="2:7" ht="15">
      <c r="B98" s="28"/>
      <c r="C98" s="79" t="s">
        <v>49</v>
      </c>
      <c r="D98" s="21"/>
      <c r="E98" s="38"/>
      <c r="F98" s="64">
        <v>0</v>
      </c>
      <c r="G98" s="46"/>
    </row>
    <row r="99" spans="2:7" ht="15">
      <c r="B99" s="47"/>
      <c r="C99" s="79" t="s">
        <v>50</v>
      </c>
      <c r="E99" s="38"/>
      <c r="F99" s="71">
        <v>0</v>
      </c>
      <c r="G99" s="46"/>
    </row>
    <row r="100" spans="2:7" ht="15">
      <c r="B100" s="47"/>
      <c r="C100" s="79" t="s">
        <v>51</v>
      </c>
      <c r="E100" s="38"/>
      <c r="F100" s="66">
        <v>0</v>
      </c>
      <c r="G100" s="46"/>
    </row>
    <row r="101" spans="2:7" ht="12">
      <c r="B101" s="47"/>
      <c r="E101" s="38"/>
      <c r="F101" s="59"/>
      <c r="G101" s="46"/>
    </row>
    <row r="102" spans="2:7" ht="18">
      <c r="B102" s="75" t="s">
        <v>75</v>
      </c>
      <c r="C102" s="35"/>
      <c r="D102" s="35"/>
      <c r="E102" s="48"/>
      <c r="F102" s="69">
        <v>0</v>
      </c>
      <c r="G102" s="99">
        <v>0</v>
      </c>
    </row>
    <row r="103" spans="2:7" ht="12">
      <c r="B103" s="47"/>
      <c r="E103" s="38"/>
      <c r="F103" s="59"/>
      <c r="G103" s="46"/>
    </row>
    <row r="104" spans="2:7" ht="18">
      <c r="B104" s="75" t="s">
        <v>76</v>
      </c>
      <c r="C104" s="35"/>
      <c r="D104" s="35"/>
      <c r="E104" s="48"/>
      <c r="F104" s="60"/>
      <c r="G104" s="98">
        <f>F106-F107</f>
        <v>20000</v>
      </c>
    </row>
    <row r="105" spans="2:7" ht="12">
      <c r="B105" s="47"/>
      <c r="E105" s="38"/>
      <c r="F105" s="59"/>
      <c r="G105" s="46"/>
    </row>
    <row r="106" spans="2:7" ht="14.25">
      <c r="B106" s="47"/>
      <c r="C106" s="79" t="s">
        <v>53</v>
      </c>
      <c r="E106" s="38"/>
      <c r="F106" s="68">
        <v>20000</v>
      </c>
      <c r="G106" s="46"/>
    </row>
    <row r="107" spans="2:7" ht="14.25">
      <c r="B107" s="47"/>
      <c r="C107" s="79" t="s">
        <v>54</v>
      </c>
      <c r="E107" s="38"/>
      <c r="F107" s="68">
        <v>0</v>
      </c>
      <c r="G107" s="46"/>
    </row>
    <row r="108" spans="2:7" ht="12">
      <c r="B108" s="47"/>
      <c r="E108" s="38"/>
      <c r="F108" s="59"/>
      <c r="G108" s="46"/>
    </row>
    <row r="109" spans="2:7" ht="12">
      <c r="B109" s="47"/>
      <c r="E109" s="38"/>
      <c r="F109" s="59"/>
      <c r="G109" s="46"/>
    </row>
    <row r="110" spans="2:9" ht="18">
      <c r="B110" s="31"/>
      <c r="E110" s="100" t="s">
        <v>55</v>
      </c>
      <c r="F110" s="59"/>
      <c r="G110" s="101">
        <f>G93+G96+G102+G104</f>
        <v>-19149.58999999985</v>
      </c>
      <c r="I110" s="70"/>
    </row>
    <row r="111" spans="2:7" ht="12">
      <c r="B111" s="49"/>
      <c r="C111" s="50"/>
      <c r="D111" s="50"/>
      <c r="E111" s="51"/>
      <c r="F111" s="52"/>
      <c r="G111" s="53"/>
    </row>
    <row r="116" spans="5:7" ht="15.75">
      <c r="E116" s="103" t="s">
        <v>110</v>
      </c>
      <c r="G116" s="107">
        <f>773348.29*21.04/100</f>
        <v>162712.480216</v>
      </c>
    </row>
    <row r="118" spans="5:7" ht="15.75">
      <c r="E118" s="103" t="s">
        <v>111</v>
      </c>
      <c r="G118" s="107">
        <f>-886714.22*21.04/100+5.4</f>
        <v>-186559.271888</v>
      </c>
    </row>
    <row r="120" spans="5:7" ht="18">
      <c r="E120" s="103" t="s">
        <v>104</v>
      </c>
      <c r="G120" s="104">
        <f>SUM(G110:G118)</f>
        <v>-42996.38167199984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1"/>
  <sheetViews>
    <sheetView workbookViewId="0" topLeftCell="A96">
      <selection activeCell="G110" sqref="G110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72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94625.81999999999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93615.43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105</v>
      </c>
      <c r="F21" s="80">
        <v>93615.43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SUM(F28:F28)</f>
        <v>1010.39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44</v>
      </c>
      <c r="F28" s="80">
        <v>1010.39</v>
      </c>
      <c r="G28" s="34"/>
    </row>
    <row r="29" spans="1:7" ht="12.75" customHeight="1">
      <c r="A29" s="21"/>
      <c r="B29" s="28"/>
      <c r="C29" s="21"/>
      <c r="D29" s="21"/>
      <c r="E29" s="21"/>
      <c r="F29" s="59"/>
      <c r="G29" s="33"/>
    </row>
    <row r="30" spans="1:7" s="37" customFormat="1" ht="15.75" customHeight="1">
      <c r="A30" s="35"/>
      <c r="B30" s="75" t="s">
        <v>16</v>
      </c>
      <c r="C30" s="35"/>
      <c r="D30" s="35"/>
      <c r="E30" s="36"/>
      <c r="F30" s="60"/>
      <c r="G30" s="84">
        <f>-(F32+F38+F54+F58+F65+F73+F75+F77+F79)</f>
        <v>-92478.47</v>
      </c>
    </row>
    <row r="31" spans="1:7" ht="12.75" customHeight="1">
      <c r="A31" s="21"/>
      <c r="B31" s="28"/>
      <c r="C31" s="79" t="s">
        <v>17</v>
      </c>
      <c r="D31" s="21"/>
      <c r="F31" s="59" t="s">
        <v>0</v>
      </c>
      <c r="G31" s="33"/>
    </row>
    <row r="32" spans="1:7" ht="12.75" customHeight="1">
      <c r="A32" s="21"/>
      <c r="B32" s="28"/>
      <c r="D32" s="79" t="s">
        <v>18</v>
      </c>
      <c r="E32" s="38"/>
      <c r="F32" s="65">
        <f>SUM(F33:F36)</f>
        <v>17180.69</v>
      </c>
      <c r="G32" s="33"/>
    </row>
    <row r="33" spans="1:7" ht="12.75" customHeight="1">
      <c r="A33" s="21"/>
      <c r="B33" s="28"/>
      <c r="D33" s="21"/>
      <c r="E33" s="85" t="s">
        <v>56</v>
      </c>
      <c r="F33" s="87">
        <v>1004.92</v>
      </c>
      <c r="G33" s="33"/>
    </row>
    <row r="34" spans="1:7" ht="12.75" customHeight="1">
      <c r="A34" s="21"/>
      <c r="B34" s="28"/>
      <c r="D34" s="21"/>
      <c r="E34" s="85" t="s">
        <v>57</v>
      </c>
      <c r="F34" s="87">
        <v>10860.21</v>
      </c>
      <c r="G34" s="33"/>
    </row>
    <row r="35" spans="1:7" ht="12.75" customHeight="1">
      <c r="A35" s="21"/>
      <c r="B35" s="28"/>
      <c r="D35" s="21"/>
      <c r="E35" s="85" t="s">
        <v>46</v>
      </c>
      <c r="F35" s="96">
        <v>5315.56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SUM(F39:F51)</f>
        <v>28599.420000000006</v>
      </c>
      <c r="G38" s="33"/>
    </row>
    <row r="39" spans="1:7" ht="12.75" customHeight="1">
      <c r="A39" s="21"/>
      <c r="B39" s="28"/>
      <c r="C39" s="79"/>
      <c r="D39" s="21"/>
      <c r="E39" s="38" t="s">
        <v>183</v>
      </c>
      <c r="F39" s="86">
        <v>3598.14</v>
      </c>
      <c r="G39" s="33"/>
    </row>
    <row r="40" spans="1:7" ht="12.75" customHeight="1">
      <c r="A40" s="21"/>
      <c r="B40" s="28"/>
      <c r="C40" s="79"/>
      <c r="D40" s="21"/>
      <c r="E40" s="38" t="s">
        <v>184</v>
      </c>
      <c r="F40" s="86">
        <f>1421.67+2037.13</f>
        <v>3458.8</v>
      </c>
      <c r="G40" s="33"/>
    </row>
    <row r="41" spans="1:7" ht="12.75" customHeight="1">
      <c r="A41" s="21"/>
      <c r="B41" s="28"/>
      <c r="C41" s="21"/>
      <c r="D41" s="21"/>
      <c r="E41" s="85" t="s">
        <v>80</v>
      </c>
      <c r="F41" s="87">
        <v>1785.28</v>
      </c>
      <c r="G41" s="33"/>
    </row>
    <row r="42" spans="1:256" ht="12.75" customHeight="1">
      <c r="A42" s="85"/>
      <c r="B42" s="77"/>
      <c r="C42" s="77"/>
      <c r="D42" s="77"/>
      <c r="E42" s="85" t="s">
        <v>81</v>
      </c>
      <c r="F42" s="105">
        <v>4855.2</v>
      </c>
      <c r="G42" s="85"/>
      <c r="H42" s="77"/>
      <c r="I42" s="77"/>
      <c r="J42" s="77"/>
      <c r="K42" s="77"/>
      <c r="L42" s="77"/>
      <c r="M42" s="77"/>
      <c r="N42" s="77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 t="s">
        <v>81</v>
      </c>
      <c r="BE42" s="85" t="s">
        <v>81</v>
      </c>
      <c r="BF42" s="85" t="s">
        <v>81</v>
      </c>
      <c r="BG42" s="85" t="s">
        <v>81</v>
      </c>
      <c r="BH42" s="85" t="s">
        <v>81</v>
      </c>
      <c r="BI42" s="85" t="s">
        <v>81</v>
      </c>
      <c r="BJ42" s="85" t="s">
        <v>81</v>
      </c>
      <c r="BK42" s="85" t="s">
        <v>81</v>
      </c>
      <c r="BL42" s="85" t="s">
        <v>81</v>
      </c>
      <c r="BM42" s="85" t="s">
        <v>81</v>
      </c>
      <c r="BN42" s="85" t="s">
        <v>81</v>
      </c>
      <c r="BO42" s="85" t="s">
        <v>81</v>
      </c>
      <c r="BP42" s="85" t="s">
        <v>81</v>
      </c>
      <c r="BQ42" s="85" t="s">
        <v>81</v>
      </c>
      <c r="BR42" s="85" t="s">
        <v>81</v>
      </c>
      <c r="BS42" s="85" t="s">
        <v>81</v>
      </c>
      <c r="BT42" s="85" t="s">
        <v>81</v>
      </c>
      <c r="BU42" s="85" t="s">
        <v>81</v>
      </c>
      <c r="BV42" s="85" t="s">
        <v>81</v>
      </c>
      <c r="BW42" s="85" t="s">
        <v>81</v>
      </c>
      <c r="BX42" s="85" t="s">
        <v>81</v>
      </c>
      <c r="BY42" s="85" t="s">
        <v>81</v>
      </c>
      <c r="BZ42" s="85" t="s">
        <v>81</v>
      </c>
      <c r="CA42" s="85" t="s">
        <v>81</v>
      </c>
      <c r="CB42" s="85" t="s">
        <v>81</v>
      </c>
      <c r="CC42" s="85" t="s">
        <v>81</v>
      </c>
      <c r="CD42" s="85" t="s">
        <v>81</v>
      </c>
      <c r="CE42" s="85" t="s">
        <v>81</v>
      </c>
      <c r="CF42" s="85" t="s">
        <v>81</v>
      </c>
      <c r="CG42" s="85" t="s">
        <v>81</v>
      </c>
      <c r="CH42" s="85" t="s">
        <v>81</v>
      </c>
      <c r="CI42" s="85" t="s">
        <v>81</v>
      </c>
      <c r="CJ42" s="85" t="s">
        <v>81</v>
      </c>
      <c r="CK42" s="85" t="s">
        <v>81</v>
      </c>
      <c r="CL42" s="85" t="s">
        <v>81</v>
      </c>
      <c r="CM42" s="85" t="s">
        <v>81</v>
      </c>
      <c r="CN42" s="85" t="s">
        <v>81</v>
      </c>
      <c r="CO42" s="85" t="s">
        <v>81</v>
      </c>
      <c r="CP42" s="85" t="s">
        <v>81</v>
      </c>
      <c r="CQ42" s="85" t="s">
        <v>81</v>
      </c>
      <c r="CR42" s="85" t="s">
        <v>81</v>
      </c>
      <c r="CS42" s="85" t="s">
        <v>81</v>
      </c>
      <c r="CT42" s="85" t="s">
        <v>81</v>
      </c>
      <c r="CU42" s="85" t="s">
        <v>81</v>
      </c>
      <c r="CV42" s="85" t="s">
        <v>81</v>
      </c>
      <c r="CW42" s="85" t="s">
        <v>81</v>
      </c>
      <c r="CX42" s="85" t="s">
        <v>81</v>
      </c>
      <c r="CY42" s="85" t="s">
        <v>81</v>
      </c>
      <c r="CZ42" s="85" t="s">
        <v>81</v>
      </c>
      <c r="DA42" s="85" t="s">
        <v>81</v>
      </c>
      <c r="DB42" s="85" t="s">
        <v>81</v>
      </c>
      <c r="DC42" s="85" t="s">
        <v>81</v>
      </c>
      <c r="DD42" s="85" t="s">
        <v>81</v>
      </c>
      <c r="DE42" s="85" t="s">
        <v>81</v>
      </c>
      <c r="DF42" s="85" t="s">
        <v>81</v>
      </c>
      <c r="DG42" s="85" t="s">
        <v>81</v>
      </c>
      <c r="DH42" s="85" t="s">
        <v>81</v>
      </c>
      <c r="DI42" s="85" t="s">
        <v>81</v>
      </c>
      <c r="DJ42" s="85" t="s">
        <v>81</v>
      </c>
      <c r="DK42" s="85" t="s">
        <v>81</v>
      </c>
      <c r="DL42" s="85" t="s">
        <v>81</v>
      </c>
      <c r="DM42" s="85" t="s">
        <v>81</v>
      </c>
      <c r="DN42" s="85" t="s">
        <v>81</v>
      </c>
      <c r="DO42" s="85" t="s">
        <v>81</v>
      </c>
      <c r="DP42" s="85" t="s">
        <v>81</v>
      </c>
      <c r="DQ42" s="85" t="s">
        <v>81</v>
      </c>
      <c r="DR42" s="85" t="s">
        <v>81</v>
      </c>
      <c r="DS42" s="85" t="s">
        <v>81</v>
      </c>
      <c r="DT42" s="85" t="s">
        <v>81</v>
      </c>
      <c r="DU42" s="85" t="s">
        <v>81</v>
      </c>
      <c r="DV42" s="85" t="s">
        <v>81</v>
      </c>
      <c r="DW42" s="85" t="s">
        <v>81</v>
      </c>
      <c r="DX42" s="85" t="s">
        <v>81</v>
      </c>
      <c r="DY42" s="85" t="s">
        <v>81</v>
      </c>
      <c r="DZ42" s="85" t="s">
        <v>81</v>
      </c>
      <c r="EA42" s="85" t="s">
        <v>81</v>
      </c>
      <c r="EB42" s="85" t="s">
        <v>81</v>
      </c>
      <c r="EC42" s="85" t="s">
        <v>81</v>
      </c>
      <c r="ED42" s="85" t="s">
        <v>81</v>
      </c>
      <c r="EE42" s="85" t="s">
        <v>81</v>
      </c>
      <c r="EF42" s="85" t="s">
        <v>81</v>
      </c>
      <c r="EG42" s="85" t="s">
        <v>81</v>
      </c>
      <c r="EH42" s="85" t="s">
        <v>81</v>
      </c>
      <c r="EI42" s="85" t="s">
        <v>81</v>
      </c>
      <c r="EJ42" s="85" t="s">
        <v>81</v>
      </c>
      <c r="EK42" s="85" t="s">
        <v>81</v>
      </c>
      <c r="EL42" s="85" t="s">
        <v>81</v>
      </c>
      <c r="EM42" s="85" t="s">
        <v>81</v>
      </c>
      <c r="EN42" s="85" t="s">
        <v>81</v>
      </c>
      <c r="EO42" s="85" t="s">
        <v>81</v>
      </c>
      <c r="EP42" s="85" t="s">
        <v>81</v>
      </c>
      <c r="EQ42" s="85" t="s">
        <v>81</v>
      </c>
      <c r="ER42" s="85" t="s">
        <v>81</v>
      </c>
      <c r="ES42" s="85" t="s">
        <v>81</v>
      </c>
      <c r="ET42" s="85" t="s">
        <v>81</v>
      </c>
      <c r="EU42" s="85" t="s">
        <v>81</v>
      </c>
      <c r="EV42" s="85" t="s">
        <v>81</v>
      </c>
      <c r="EW42" s="85" t="s">
        <v>81</v>
      </c>
      <c r="EX42" s="85" t="s">
        <v>81</v>
      </c>
      <c r="EY42" s="85" t="s">
        <v>81</v>
      </c>
      <c r="EZ42" s="85" t="s">
        <v>81</v>
      </c>
      <c r="FA42" s="85" t="s">
        <v>81</v>
      </c>
      <c r="FB42" s="85" t="s">
        <v>81</v>
      </c>
      <c r="FC42" s="85" t="s">
        <v>81</v>
      </c>
      <c r="FD42" s="85" t="s">
        <v>81</v>
      </c>
      <c r="FE42" s="85" t="s">
        <v>81</v>
      </c>
      <c r="FF42" s="85" t="s">
        <v>81</v>
      </c>
      <c r="FG42" s="85" t="s">
        <v>81</v>
      </c>
      <c r="FH42" s="85" t="s">
        <v>81</v>
      </c>
      <c r="FI42" s="85" t="s">
        <v>81</v>
      </c>
      <c r="FJ42" s="85" t="s">
        <v>81</v>
      </c>
      <c r="FK42" s="85" t="s">
        <v>81</v>
      </c>
      <c r="FL42" s="85" t="s">
        <v>81</v>
      </c>
      <c r="FM42" s="85" t="s">
        <v>81</v>
      </c>
      <c r="FN42" s="85" t="s">
        <v>81</v>
      </c>
      <c r="FO42" s="85" t="s">
        <v>81</v>
      </c>
      <c r="FP42" s="85" t="s">
        <v>81</v>
      </c>
      <c r="FQ42" s="85" t="s">
        <v>81</v>
      </c>
      <c r="FR42" s="85" t="s">
        <v>81</v>
      </c>
      <c r="FS42" s="85" t="s">
        <v>81</v>
      </c>
      <c r="FT42" s="85" t="s">
        <v>81</v>
      </c>
      <c r="FU42" s="85" t="s">
        <v>81</v>
      </c>
      <c r="FV42" s="85" t="s">
        <v>81</v>
      </c>
      <c r="FW42" s="85" t="s">
        <v>81</v>
      </c>
      <c r="FX42" s="85" t="s">
        <v>81</v>
      </c>
      <c r="FY42" s="85" t="s">
        <v>81</v>
      </c>
      <c r="FZ42" s="85" t="s">
        <v>81</v>
      </c>
      <c r="GA42" s="85" t="s">
        <v>81</v>
      </c>
      <c r="GB42" s="85" t="s">
        <v>81</v>
      </c>
      <c r="GC42" s="85" t="s">
        <v>81</v>
      </c>
      <c r="GD42" s="85" t="s">
        <v>81</v>
      </c>
      <c r="GE42" s="85" t="s">
        <v>81</v>
      </c>
      <c r="GF42" s="85" t="s">
        <v>81</v>
      </c>
      <c r="GG42" s="85" t="s">
        <v>81</v>
      </c>
      <c r="GH42" s="85" t="s">
        <v>81</v>
      </c>
      <c r="GI42" s="85" t="s">
        <v>81</v>
      </c>
      <c r="GJ42" s="85" t="s">
        <v>81</v>
      </c>
      <c r="GK42" s="85" t="s">
        <v>81</v>
      </c>
      <c r="GL42" s="85" t="s">
        <v>81</v>
      </c>
      <c r="GM42" s="85" t="s">
        <v>81</v>
      </c>
      <c r="GN42" s="85" t="s">
        <v>81</v>
      </c>
      <c r="GO42" s="85" t="s">
        <v>81</v>
      </c>
      <c r="GP42" s="85" t="s">
        <v>81</v>
      </c>
      <c r="GQ42" s="85" t="s">
        <v>81</v>
      </c>
      <c r="GR42" s="85" t="s">
        <v>81</v>
      </c>
      <c r="GS42" s="85" t="s">
        <v>81</v>
      </c>
      <c r="GT42" s="85" t="s">
        <v>81</v>
      </c>
      <c r="GU42" s="85" t="s">
        <v>81</v>
      </c>
      <c r="GV42" s="85" t="s">
        <v>81</v>
      </c>
      <c r="GW42" s="85" t="s">
        <v>81</v>
      </c>
      <c r="GX42" s="85" t="s">
        <v>81</v>
      </c>
      <c r="GY42" s="85" t="s">
        <v>81</v>
      </c>
      <c r="GZ42" s="85" t="s">
        <v>81</v>
      </c>
      <c r="HA42" s="85" t="s">
        <v>81</v>
      </c>
      <c r="HB42" s="85" t="s">
        <v>81</v>
      </c>
      <c r="HC42" s="85" t="s">
        <v>81</v>
      </c>
      <c r="HD42" s="85" t="s">
        <v>81</v>
      </c>
      <c r="HE42" s="85" t="s">
        <v>81</v>
      </c>
      <c r="HF42" s="85" t="s">
        <v>81</v>
      </c>
      <c r="HG42" s="85" t="s">
        <v>81</v>
      </c>
      <c r="HH42" s="85" t="s">
        <v>81</v>
      </c>
      <c r="HI42" s="85" t="s">
        <v>81</v>
      </c>
      <c r="HJ42" s="85" t="s">
        <v>81</v>
      </c>
      <c r="HK42" s="85" t="s">
        <v>81</v>
      </c>
      <c r="HL42" s="85" t="s">
        <v>81</v>
      </c>
      <c r="HM42" s="85" t="s">
        <v>81</v>
      </c>
      <c r="HN42" s="85" t="s">
        <v>81</v>
      </c>
      <c r="HO42" s="85" t="s">
        <v>81</v>
      </c>
      <c r="HP42" s="85" t="s">
        <v>81</v>
      </c>
      <c r="HQ42" s="85" t="s">
        <v>81</v>
      </c>
      <c r="HR42" s="85" t="s">
        <v>81</v>
      </c>
      <c r="HS42" s="85" t="s">
        <v>81</v>
      </c>
      <c r="HT42" s="85" t="s">
        <v>81</v>
      </c>
      <c r="HU42" s="85" t="s">
        <v>81</v>
      </c>
      <c r="HV42" s="85" t="s">
        <v>81</v>
      </c>
      <c r="HW42" s="85" t="s">
        <v>81</v>
      </c>
      <c r="HX42" s="85" t="s">
        <v>81</v>
      </c>
      <c r="HY42" s="85" t="s">
        <v>81</v>
      </c>
      <c r="HZ42" s="85" t="s">
        <v>81</v>
      </c>
      <c r="IA42" s="85" t="s">
        <v>81</v>
      </c>
      <c r="IB42" s="85" t="s">
        <v>81</v>
      </c>
      <c r="IC42" s="85" t="s">
        <v>81</v>
      </c>
      <c r="ID42" s="85" t="s">
        <v>81</v>
      </c>
      <c r="IE42" s="85" t="s">
        <v>81</v>
      </c>
      <c r="IF42" s="85" t="s">
        <v>81</v>
      </c>
      <c r="IG42" s="85" t="s">
        <v>81</v>
      </c>
      <c r="IH42" s="85" t="s">
        <v>81</v>
      </c>
      <c r="II42" s="85" t="s">
        <v>81</v>
      </c>
      <c r="IJ42" s="85" t="s">
        <v>81</v>
      </c>
      <c r="IK42" s="85" t="s">
        <v>81</v>
      </c>
      <c r="IL42" s="85" t="s">
        <v>81</v>
      </c>
      <c r="IM42" s="85" t="s">
        <v>81</v>
      </c>
      <c r="IN42" s="85" t="s">
        <v>81</v>
      </c>
      <c r="IO42" s="85" t="s">
        <v>81</v>
      </c>
      <c r="IP42" s="85" t="s">
        <v>81</v>
      </c>
      <c r="IQ42" s="85" t="s">
        <v>81</v>
      </c>
      <c r="IR42" s="85" t="s">
        <v>81</v>
      </c>
      <c r="IS42" s="85" t="s">
        <v>81</v>
      </c>
      <c r="IT42" s="85" t="s">
        <v>81</v>
      </c>
      <c r="IU42" s="85" t="s">
        <v>81</v>
      </c>
      <c r="IV42" s="85" t="s">
        <v>81</v>
      </c>
    </row>
    <row r="43" spans="1:256" ht="12.75" customHeight="1">
      <c r="A43" s="77"/>
      <c r="B43" s="77"/>
      <c r="C43" s="77"/>
      <c r="D43" s="77"/>
      <c r="E43" s="85" t="s">
        <v>83</v>
      </c>
      <c r="F43" s="106">
        <v>929.81</v>
      </c>
      <c r="G43" s="85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7" ht="12.75" customHeight="1">
      <c r="A44" s="21"/>
      <c r="B44" s="28"/>
      <c r="C44" s="21"/>
      <c r="D44" s="21"/>
      <c r="E44" s="85" t="s">
        <v>84</v>
      </c>
      <c r="F44" s="87">
        <v>168</v>
      </c>
      <c r="G44" s="33"/>
    </row>
    <row r="45" spans="1:7" ht="12.75" customHeight="1">
      <c r="A45" s="21"/>
      <c r="B45" s="28"/>
      <c r="C45" s="21"/>
      <c r="D45" s="21"/>
      <c r="E45" s="85" t="s">
        <v>185</v>
      </c>
      <c r="F45" s="87">
        <v>119.75</v>
      </c>
      <c r="G45" s="33"/>
    </row>
    <row r="46" spans="1:7" ht="12.75" customHeight="1">
      <c r="A46" s="21"/>
      <c r="B46" s="28"/>
      <c r="C46" s="21"/>
      <c r="D46" s="21"/>
      <c r="E46" s="85" t="s">
        <v>214</v>
      </c>
      <c r="F46" s="87">
        <v>86.6</v>
      </c>
      <c r="G46" s="33"/>
    </row>
    <row r="47" spans="1:7" ht="12.75" customHeight="1">
      <c r="A47" s="21"/>
      <c r="B47" s="28"/>
      <c r="C47" s="21"/>
      <c r="D47" s="21"/>
      <c r="E47" s="85" t="s">
        <v>215</v>
      </c>
      <c r="F47" s="87">
        <v>415.2</v>
      </c>
      <c r="G47" s="33"/>
    </row>
    <row r="48" spans="1:7" ht="12.75" customHeight="1">
      <c r="A48" s="21"/>
      <c r="B48" s="28"/>
      <c r="C48" s="21"/>
      <c r="D48" s="21"/>
      <c r="E48" s="85" t="s">
        <v>216</v>
      </c>
      <c r="F48" s="87">
        <v>894.74</v>
      </c>
      <c r="G48" s="33"/>
    </row>
    <row r="49" spans="1:7" ht="12.75" customHeight="1">
      <c r="A49" s="21"/>
      <c r="B49" s="28"/>
      <c r="C49" s="21"/>
      <c r="D49" s="21"/>
      <c r="E49" s="85" t="s">
        <v>210</v>
      </c>
      <c r="F49" s="87">
        <v>185.1</v>
      </c>
      <c r="G49" s="33"/>
    </row>
    <row r="50" spans="1:7" ht="12.75" customHeight="1">
      <c r="A50" s="21"/>
      <c r="B50" s="28"/>
      <c r="C50" s="21"/>
      <c r="D50" s="21"/>
      <c r="E50" s="85" t="s">
        <v>95</v>
      </c>
      <c r="F50" s="87">
        <v>5682.56</v>
      </c>
      <c r="G50" s="33"/>
    </row>
    <row r="51" spans="1:7" s="1" customFormat="1" ht="12.75" customHeight="1">
      <c r="A51" s="56"/>
      <c r="B51" s="57"/>
      <c r="C51" s="63"/>
      <c r="D51" s="63"/>
      <c r="E51" s="88" t="s">
        <v>96</v>
      </c>
      <c r="F51" s="90">
        <v>6420.24</v>
      </c>
      <c r="G51" s="58"/>
    </row>
    <row r="52" spans="1:7" ht="12.75" customHeight="1">
      <c r="A52" s="21"/>
      <c r="B52" s="28"/>
      <c r="C52" s="21"/>
      <c r="D52" s="21"/>
      <c r="E52" s="85"/>
      <c r="F52" s="90"/>
      <c r="G52" s="61"/>
    </row>
    <row r="53" spans="1:7" ht="12.75" customHeight="1">
      <c r="A53" s="21"/>
      <c r="B53" s="28"/>
      <c r="C53" s="21"/>
      <c r="D53" s="21"/>
      <c r="E53" s="39"/>
      <c r="F53" s="62"/>
      <c r="G53" s="62"/>
    </row>
    <row r="54" spans="1:7" ht="12.75" customHeight="1">
      <c r="A54" s="21"/>
      <c r="B54" s="28"/>
      <c r="C54" s="79" t="s">
        <v>20</v>
      </c>
      <c r="D54" s="21"/>
      <c r="E54" s="38"/>
      <c r="F54" s="64">
        <f>SUM(F55:F56)</f>
        <v>0</v>
      </c>
      <c r="G54" s="33"/>
    </row>
    <row r="55" spans="1:7" ht="12.75" customHeight="1">
      <c r="A55" s="21"/>
      <c r="B55" s="28"/>
      <c r="C55" s="21"/>
      <c r="D55" s="21"/>
      <c r="E55" s="39"/>
      <c r="F55" s="87"/>
      <c r="G55" s="33"/>
    </row>
    <row r="56" spans="1:7" ht="12.75" customHeight="1">
      <c r="A56" s="21"/>
      <c r="B56" s="28"/>
      <c r="C56" s="21"/>
      <c r="D56" s="21"/>
      <c r="E56" s="39"/>
      <c r="F56" s="67"/>
      <c r="G56" s="33"/>
    </row>
    <row r="57" spans="1:7" ht="12.75" customHeight="1">
      <c r="A57" s="21"/>
      <c r="B57" s="28"/>
      <c r="C57" s="21"/>
      <c r="D57" s="21"/>
      <c r="E57" s="39"/>
      <c r="F57" s="61"/>
      <c r="G57" s="33"/>
    </row>
    <row r="58" spans="1:7" ht="12.75" customHeight="1">
      <c r="A58" s="21"/>
      <c r="B58" s="28"/>
      <c r="C58" s="79" t="s">
        <v>21</v>
      </c>
      <c r="D58" s="21"/>
      <c r="E58" s="38"/>
      <c r="F58" s="65">
        <f>SUM(F59:F63)</f>
        <v>40447.42</v>
      </c>
      <c r="G58" s="33"/>
    </row>
    <row r="59" spans="1:7" ht="12.75" customHeight="1">
      <c r="A59" s="21"/>
      <c r="B59" s="28"/>
      <c r="D59" s="92" t="s">
        <v>22</v>
      </c>
      <c r="E59" s="41"/>
      <c r="F59" s="90">
        <f>26261+6661.4-4489</f>
        <v>28433.4</v>
      </c>
      <c r="G59" s="33"/>
    </row>
    <row r="60" spans="1:7" ht="12.75" customHeight="1">
      <c r="A60" s="21"/>
      <c r="B60" s="28"/>
      <c r="D60" s="92" t="s">
        <v>23</v>
      </c>
      <c r="E60" s="41"/>
      <c r="F60" s="87">
        <f>5000+859.67+1665.35</f>
        <v>7525.02</v>
      </c>
      <c r="G60" s="33"/>
    </row>
    <row r="61" spans="1:7" ht="12.75" customHeight="1">
      <c r="A61" s="21"/>
      <c r="B61" s="28"/>
      <c r="D61" s="92" t="s">
        <v>24</v>
      </c>
      <c r="E61" s="41"/>
      <c r="F61" s="87">
        <v>4489</v>
      </c>
      <c r="G61" s="33"/>
    </row>
    <row r="62" spans="1:7" ht="12.75" customHeight="1">
      <c r="A62" s="21"/>
      <c r="B62" s="28"/>
      <c r="D62" s="92" t="s">
        <v>25</v>
      </c>
      <c r="E62" s="41"/>
      <c r="F62" s="87">
        <v>0</v>
      </c>
      <c r="G62" s="33"/>
    </row>
    <row r="63" spans="1:7" ht="12.75" customHeight="1">
      <c r="A63" s="21"/>
      <c r="B63" s="28"/>
      <c r="D63" s="92" t="s">
        <v>26</v>
      </c>
      <c r="E63" s="41"/>
      <c r="F63" s="87">
        <v>0</v>
      </c>
      <c r="G63" s="33"/>
    </row>
    <row r="64" spans="1:7" ht="12.75" customHeight="1">
      <c r="A64" s="21"/>
      <c r="B64" s="28"/>
      <c r="D64" s="40"/>
      <c r="E64" s="41"/>
      <c r="F64" s="61"/>
      <c r="G64" s="33"/>
    </row>
    <row r="65" spans="1:7" ht="12.75" customHeight="1">
      <c r="A65" s="21"/>
      <c r="B65" s="28"/>
      <c r="C65" s="79" t="s">
        <v>27</v>
      </c>
      <c r="D65" s="21"/>
      <c r="E65" s="38"/>
      <c r="F65" s="65">
        <f>SUM(F66:F70)</f>
        <v>4471.2</v>
      </c>
      <c r="G65" s="33"/>
    </row>
    <row r="66" spans="1:7" ht="12.75" customHeight="1">
      <c r="A66" s="21"/>
      <c r="B66" s="28"/>
      <c r="C66" s="21"/>
      <c r="D66" s="92" t="s">
        <v>28</v>
      </c>
      <c r="E66" s="41"/>
      <c r="F66" s="90">
        <v>1200</v>
      </c>
      <c r="G66" s="33"/>
    </row>
    <row r="67" spans="1:7" ht="12.75" customHeight="1">
      <c r="A67" s="21"/>
      <c r="B67" s="28"/>
      <c r="D67" s="92" t="s">
        <v>29</v>
      </c>
      <c r="E67" s="42"/>
      <c r="F67" s="87">
        <v>3271.2</v>
      </c>
      <c r="G67" s="33"/>
    </row>
    <row r="68" spans="1:7" ht="12.75" customHeight="1">
      <c r="A68" s="21"/>
      <c r="B68" s="28"/>
      <c r="D68" s="92" t="s">
        <v>31</v>
      </c>
      <c r="E68" s="41"/>
      <c r="F68" s="87">
        <v>0</v>
      </c>
      <c r="G68" s="33"/>
    </row>
    <row r="69" spans="1:7" ht="12.75" customHeight="1">
      <c r="A69" s="21"/>
      <c r="B69" s="28"/>
      <c r="D69" s="92" t="s">
        <v>32</v>
      </c>
      <c r="E69" s="41"/>
      <c r="F69" s="87"/>
      <c r="G69" s="33"/>
    </row>
    <row r="70" spans="1:7" ht="12.75" customHeight="1">
      <c r="A70" s="21"/>
      <c r="B70" s="28"/>
      <c r="D70" s="40"/>
      <c r="E70" s="93" t="s">
        <v>33</v>
      </c>
      <c r="F70" s="87">
        <v>0</v>
      </c>
      <c r="G70" s="33"/>
    </row>
    <row r="71" spans="1:7" ht="12.75" customHeight="1">
      <c r="A71" s="21"/>
      <c r="B71" s="28"/>
      <c r="D71" s="40"/>
      <c r="E71" s="42"/>
      <c r="F71" s="62"/>
      <c r="G71" s="33"/>
    </row>
    <row r="72" spans="1:7" ht="12.75" customHeight="1">
      <c r="A72" s="21"/>
      <c r="B72" s="28"/>
      <c r="C72" s="79" t="s">
        <v>34</v>
      </c>
      <c r="D72" s="21"/>
      <c r="E72" s="38"/>
      <c r="F72" s="59"/>
      <c r="G72" s="33"/>
    </row>
    <row r="73" spans="1:7" ht="12.75" customHeight="1">
      <c r="A73" s="21"/>
      <c r="B73" s="28"/>
      <c r="D73" s="21"/>
      <c r="E73" s="94" t="s">
        <v>35</v>
      </c>
      <c r="F73" s="66">
        <v>0</v>
      </c>
      <c r="G73" s="33"/>
    </row>
    <row r="74" spans="1:7" ht="12.75" customHeight="1">
      <c r="A74" s="21"/>
      <c r="B74" s="28"/>
      <c r="D74" s="21"/>
      <c r="E74" s="43"/>
      <c r="F74" s="59"/>
      <c r="G74" s="33"/>
    </row>
    <row r="75" spans="1:7" ht="12.75" customHeight="1">
      <c r="A75" s="21"/>
      <c r="B75" s="28"/>
      <c r="C75" s="79" t="s">
        <v>36</v>
      </c>
      <c r="D75" s="21"/>
      <c r="E75" s="38"/>
      <c r="F75" s="66">
        <v>0</v>
      </c>
      <c r="G75" s="33"/>
    </row>
    <row r="76" spans="1:7" ht="12.75" customHeight="1">
      <c r="A76" s="21"/>
      <c r="B76" s="28"/>
      <c r="C76" s="21"/>
      <c r="D76" s="21"/>
      <c r="E76" s="38"/>
      <c r="F76" s="59"/>
      <c r="G76" s="33"/>
    </row>
    <row r="77" spans="1:7" ht="12.75" customHeight="1">
      <c r="A77" s="21"/>
      <c r="B77" s="28"/>
      <c r="C77" s="79" t="s">
        <v>37</v>
      </c>
      <c r="D77" s="21"/>
      <c r="E77" s="38"/>
      <c r="F77" s="66">
        <v>0</v>
      </c>
      <c r="G77" s="33"/>
    </row>
    <row r="78" spans="1:7" ht="12.75" customHeight="1">
      <c r="A78" s="21"/>
      <c r="B78" s="28"/>
      <c r="C78" s="21"/>
      <c r="D78" s="21"/>
      <c r="E78" s="38"/>
      <c r="F78" s="59"/>
      <c r="G78" s="33"/>
    </row>
    <row r="79" spans="1:7" ht="12.75" customHeight="1">
      <c r="A79" s="21"/>
      <c r="B79" s="28"/>
      <c r="C79" s="79" t="s">
        <v>38</v>
      </c>
      <c r="D79" s="21"/>
      <c r="E79" s="38"/>
      <c r="F79" s="66">
        <f>SUM(F80:F82)</f>
        <v>1779.74</v>
      </c>
      <c r="G79" s="33"/>
    </row>
    <row r="80" spans="1:7" ht="12.75" customHeight="1">
      <c r="A80" s="21"/>
      <c r="B80" s="28"/>
      <c r="C80" s="21"/>
      <c r="D80" s="21"/>
      <c r="E80" s="85" t="s">
        <v>100</v>
      </c>
      <c r="F80" s="96">
        <v>724</v>
      </c>
      <c r="G80" s="33"/>
    </row>
    <row r="81" spans="1:7" ht="12.75" customHeight="1">
      <c r="A81" s="21"/>
      <c r="B81" s="28"/>
      <c r="C81" s="21"/>
      <c r="D81" s="21"/>
      <c r="E81" s="85" t="s">
        <v>124</v>
      </c>
      <c r="F81" s="96">
        <v>8.99</v>
      </c>
      <c r="G81" s="33"/>
    </row>
    <row r="82" spans="1:7" ht="12.75" customHeight="1">
      <c r="A82" s="21"/>
      <c r="B82" s="28"/>
      <c r="C82" s="21"/>
      <c r="D82" s="21"/>
      <c r="E82" s="85" t="s">
        <v>217</v>
      </c>
      <c r="F82" s="96">
        <v>1046.75</v>
      </c>
      <c r="G82" s="33"/>
    </row>
    <row r="83" spans="1:7" ht="12.75" customHeight="1">
      <c r="A83" s="21"/>
      <c r="B83" s="28"/>
      <c r="C83" s="21"/>
      <c r="D83" s="21"/>
      <c r="E83" s="43"/>
      <c r="F83" s="59" t="s">
        <v>0</v>
      </c>
      <c r="G83" s="33"/>
    </row>
    <row r="84" spans="1:9" ht="16.5" customHeight="1">
      <c r="A84" s="44"/>
      <c r="B84" s="75" t="s">
        <v>39</v>
      </c>
      <c r="C84" s="45"/>
      <c r="D84" s="45"/>
      <c r="E84" s="39"/>
      <c r="F84" s="59" t="s">
        <v>0</v>
      </c>
      <c r="G84" s="98">
        <f>SUM(G19:G80)</f>
        <v>2147.3499999999913</v>
      </c>
      <c r="I84" s="70"/>
    </row>
    <row r="85" spans="1:7" ht="12.75" customHeight="1">
      <c r="A85" s="21"/>
      <c r="B85" s="97" t="s">
        <v>40</v>
      </c>
      <c r="C85" s="21"/>
      <c r="D85" s="21"/>
      <c r="E85" s="43"/>
      <c r="F85" s="59" t="s">
        <v>0</v>
      </c>
      <c r="G85" s="46"/>
    </row>
    <row r="86" spans="2:7" ht="12" customHeight="1">
      <c r="B86" s="47"/>
      <c r="E86" s="38"/>
      <c r="F86" s="59" t="s">
        <v>0</v>
      </c>
      <c r="G86" s="46"/>
    </row>
    <row r="87" spans="2:7" ht="16.5" customHeight="1">
      <c r="B87" s="75" t="s">
        <v>52</v>
      </c>
      <c r="C87" s="35"/>
      <c r="D87" s="35"/>
      <c r="E87" s="48"/>
      <c r="F87" s="60"/>
      <c r="G87" s="98">
        <f>SUM(F89:F91)</f>
        <v>-313.43</v>
      </c>
    </row>
    <row r="88" spans="2:7" ht="12">
      <c r="B88" s="47"/>
      <c r="E88" s="38"/>
      <c r="F88" s="59"/>
      <c r="G88" s="46"/>
    </row>
    <row r="89" spans="2:7" ht="15">
      <c r="B89" s="28"/>
      <c r="C89" s="79" t="s">
        <v>49</v>
      </c>
      <c r="D89" s="21"/>
      <c r="E89" s="38"/>
      <c r="F89" s="64">
        <v>0</v>
      </c>
      <c r="G89" s="46"/>
    </row>
    <row r="90" spans="2:7" ht="15">
      <c r="B90" s="47"/>
      <c r="C90" s="79" t="s">
        <v>50</v>
      </c>
      <c r="E90" s="38"/>
      <c r="F90" s="71">
        <v>0</v>
      </c>
      <c r="G90" s="46"/>
    </row>
    <row r="91" spans="2:7" ht="15">
      <c r="B91" s="47"/>
      <c r="C91" s="79" t="s">
        <v>51</v>
      </c>
      <c r="E91" s="38"/>
      <c r="F91" s="66">
        <v>-313.43</v>
      </c>
      <c r="G91" s="46"/>
    </row>
    <row r="92" spans="2:7" ht="12">
      <c r="B92" s="47"/>
      <c r="E92" s="38"/>
      <c r="F92" s="59"/>
      <c r="G92" s="46"/>
    </row>
    <row r="93" spans="2:7" ht="18">
      <c r="B93" s="75" t="s">
        <v>75</v>
      </c>
      <c r="C93" s="35"/>
      <c r="D93" s="35"/>
      <c r="E93" s="48"/>
      <c r="F93" s="69">
        <v>0</v>
      </c>
      <c r="G93" s="99">
        <v>0</v>
      </c>
    </row>
    <row r="94" spans="2:7" ht="12">
      <c r="B94" s="47"/>
      <c r="E94" s="38"/>
      <c r="F94" s="59"/>
      <c r="G94" s="46"/>
    </row>
    <row r="95" spans="2:7" ht="18">
      <c r="B95" s="75" t="s">
        <v>76</v>
      </c>
      <c r="C95" s="35"/>
      <c r="D95" s="35"/>
      <c r="E95" s="48"/>
      <c r="F95" s="60"/>
      <c r="G95" s="98">
        <f>F97+F98</f>
        <v>-732.37</v>
      </c>
    </row>
    <row r="96" spans="2:7" ht="12">
      <c r="B96" s="47"/>
      <c r="E96" s="38"/>
      <c r="F96" s="59"/>
      <c r="G96" s="46"/>
    </row>
    <row r="97" spans="2:7" ht="14.25">
      <c r="B97" s="47"/>
      <c r="C97" s="79" t="s">
        <v>53</v>
      </c>
      <c r="E97" s="38"/>
      <c r="F97" s="68">
        <v>0</v>
      </c>
      <c r="G97" s="46"/>
    </row>
    <row r="98" spans="2:7" ht="14.25">
      <c r="B98" s="47"/>
      <c r="C98" s="79" t="s">
        <v>54</v>
      </c>
      <c r="E98" s="38"/>
      <c r="F98" s="68">
        <v>-732.37</v>
      </c>
      <c r="G98" s="46"/>
    </row>
    <row r="99" spans="2:7" ht="12">
      <c r="B99" s="47"/>
      <c r="E99" s="38"/>
      <c r="F99" s="59"/>
      <c r="G99" s="46"/>
    </row>
    <row r="100" spans="2:7" ht="12">
      <c r="B100" s="47"/>
      <c r="E100" s="38"/>
      <c r="F100" s="59"/>
      <c r="G100" s="46"/>
    </row>
    <row r="101" spans="2:9" ht="18">
      <c r="B101" s="31"/>
      <c r="E101" s="100" t="s">
        <v>55</v>
      </c>
      <c r="F101" s="59"/>
      <c r="G101" s="101">
        <f>G84+G87+G93+G95</f>
        <v>1101.549999999991</v>
      </c>
      <c r="I101" s="70"/>
    </row>
    <row r="102" spans="2:7" ht="12">
      <c r="B102" s="49"/>
      <c r="C102" s="50"/>
      <c r="D102" s="50"/>
      <c r="E102" s="51"/>
      <c r="F102" s="52"/>
      <c r="G102" s="53"/>
    </row>
    <row r="107" spans="5:7" ht="15.75">
      <c r="E107" s="103" t="s">
        <v>110</v>
      </c>
      <c r="G107" s="107">
        <f>773348.29*1.18/100</f>
        <v>9125.509822</v>
      </c>
    </row>
    <row r="109" spans="5:7" ht="15.75">
      <c r="E109" s="103" t="s">
        <v>111</v>
      </c>
      <c r="G109" s="107">
        <f>-886714.22*1.18/100-1.8</f>
        <v>-10465.027795999998</v>
      </c>
    </row>
    <row r="111" spans="5:7" ht="18">
      <c r="E111" s="103" t="s">
        <v>104</v>
      </c>
      <c r="G111" s="104">
        <f>SUM(G101:G109)</f>
        <v>-237.9679740000065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4" max="7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workbookViewId="0" topLeftCell="A84">
      <selection activeCell="G99" sqref="G99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49.12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69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559260.8500000001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558493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106</v>
      </c>
      <c r="F21" s="80">
        <v>558493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f>6396.39-6561.34</f>
        <v>-164.94999999999982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SUM(F28:F28)</f>
        <v>932.8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44</v>
      </c>
      <c r="F28" s="80">
        <v>932.8</v>
      </c>
      <c r="G28" s="34"/>
    </row>
    <row r="29" spans="1:7" ht="12.75" customHeight="1">
      <c r="A29" s="21"/>
      <c r="B29" s="28"/>
      <c r="C29" s="21"/>
      <c r="D29" s="21"/>
      <c r="E29" s="21"/>
      <c r="F29" s="59"/>
      <c r="G29" s="33"/>
    </row>
    <row r="30" spans="1:7" s="37" customFormat="1" ht="15.75" customHeight="1">
      <c r="A30" s="35"/>
      <c r="B30" s="75" t="s">
        <v>16</v>
      </c>
      <c r="C30" s="35"/>
      <c r="D30" s="35"/>
      <c r="E30" s="36"/>
      <c r="F30" s="60"/>
      <c r="G30" s="84">
        <f>-(F32+F38+F44+F48+F55+F63+F65+F67+F69)</f>
        <v>-551564.75</v>
      </c>
    </row>
    <row r="31" spans="1:7" ht="12.75" customHeight="1">
      <c r="A31" s="21"/>
      <c r="B31" s="28"/>
      <c r="C31" s="79" t="s">
        <v>17</v>
      </c>
      <c r="D31" s="21"/>
      <c r="F31" s="59" t="s">
        <v>0</v>
      </c>
      <c r="G31" s="33"/>
    </row>
    <row r="32" spans="1:7" ht="12.75" customHeight="1">
      <c r="A32" s="21"/>
      <c r="B32" s="28"/>
      <c r="D32" s="79" t="s">
        <v>18</v>
      </c>
      <c r="E32" s="38"/>
      <c r="F32" s="65">
        <f>SUM(F33:F36)</f>
        <v>251742.75</v>
      </c>
      <c r="G32" s="33"/>
    </row>
    <row r="33" spans="1:7" ht="12.75" customHeight="1">
      <c r="A33" s="21"/>
      <c r="B33" s="28"/>
      <c r="D33" s="79"/>
      <c r="E33" s="38" t="s">
        <v>107</v>
      </c>
      <c r="F33" s="86">
        <v>224771.33</v>
      </c>
      <c r="G33" s="33"/>
    </row>
    <row r="34" spans="1:7" ht="12.75" customHeight="1">
      <c r="A34" s="21"/>
      <c r="B34" s="28"/>
      <c r="D34" s="21"/>
      <c r="E34" s="85" t="s">
        <v>108</v>
      </c>
      <c r="F34" s="87">
        <v>26971.42</v>
      </c>
      <c r="G34" s="33"/>
    </row>
    <row r="35" spans="1:7" ht="12.75" customHeight="1">
      <c r="A35" s="21"/>
      <c r="B35" s="28"/>
      <c r="D35" s="21"/>
      <c r="E35" s="85" t="s">
        <v>109</v>
      </c>
      <c r="F35" s="96">
        <v>0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SUM(F39:F42)</f>
        <v>44175.090000000004</v>
      </c>
      <c r="G38" s="33"/>
    </row>
    <row r="39" spans="1:7" ht="12.75" customHeight="1">
      <c r="A39" s="21"/>
      <c r="B39" s="28"/>
      <c r="C39" s="21"/>
      <c r="D39" s="21"/>
      <c r="E39" s="85" t="s">
        <v>80</v>
      </c>
      <c r="F39" s="87">
        <v>6639.69</v>
      </c>
      <c r="G39" s="33"/>
    </row>
    <row r="40" spans="1:256" ht="12.75" customHeight="1">
      <c r="A40" s="85"/>
      <c r="B40" s="77"/>
      <c r="C40" s="77"/>
      <c r="D40" s="77"/>
      <c r="E40" s="85" t="s">
        <v>185</v>
      </c>
      <c r="F40" s="105">
        <v>17.6</v>
      </c>
      <c r="G40" s="85"/>
      <c r="H40" s="77"/>
      <c r="I40" s="77"/>
      <c r="J40" s="77"/>
      <c r="K40" s="77"/>
      <c r="L40" s="77"/>
      <c r="M40" s="77"/>
      <c r="N40" s="77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 t="s">
        <v>81</v>
      </c>
      <c r="BE40" s="85" t="s">
        <v>81</v>
      </c>
      <c r="BF40" s="85" t="s">
        <v>81</v>
      </c>
      <c r="BG40" s="85" t="s">
        <v>81</v>
      </c>
      <c r="BH40" s="85" t="s">
        <v>81</v>
      </c>
      <c r="BI40" s="85" t="s">
        <v>81</v>
      </c>
      <c r="BJ40" s="85" t="s">
        <v>81</v>
      </c>
      <c r="BK40" s="85" t="s">
        <v>81</v>
      </c>
      <c r="BL40" s="85" t="s">
        <v>81</v>
      </c>
      <c r="BM40" s="85" t="s">
        <v>81</v>
      </c>
      <c r="BN40" s="85" t="s">
        <v>81</v>
      </c>
      <c r="BO40" s="85" t="s">
        <v>81</v>
      </c>
      <c r="BP40" s="85" t="s">
        <v>81</v>
      </c>
      <c r="BQ40" s="85" t="s">
        <v>81</v>
      </c>
      <c r="BR40" s="85" t="s">
        <v>81</v>
      </c>
      <c r="BS40" s="85" t="s">
        <v>81</v>
      </c>
      <c r="BT40" s="85" t="s">
        <v>81</v>
      </c>
      <c r="BU40" s="85" t="s">
        <v>81</v>
      </c>
      <c r="BV40" s="85" t="s">
        <v>81</v>
      </c>
      <c r="BW40" s="85" t="s">
        <v>81</v>
      </c>
      <c r="BX40" s="85" t="s">
        <v>81</v>
      </c>
      <c r="BY40" s="85" t="s">
        <v>81</v>
      </c>
      <c r="BZ40" s="85" t="s">
        <v>81</v>
      </c>
      <c r="CA40" s="85" t="s">
        <v>81</v>
      </c>
      <c r="CB40" s="85" t="s">
        <v>81</v>
      </c>
      <c r="CC40" s="85" t="s">
        <v>81</v>
      </c>
      <c r="CD40" s="85" t="s">
        <v>81</v>
      </c>
      <c r="CE40" s="85" t="s">
        <v>81</v>
      </c>
      <c r="CF40" s="85" t="s">
        <v>81</v>
      </c>
      <c r="CG40" s="85" t="s">
        <v>81</v>
      </c>
      <c r="CH40" s="85" t="s">
        <v>81</v>
      </c>
      <c r="CI40" s="85" t="s">
        <v>81</v>
      </c>
      <c r="CJ40" s="85" t="s">
        <v>81</v>
      </c>
      <c r="CK40" s="85" t="s">
        <v>81</v>
      </c>
      <c r="CL40" s="85" t="s">
        <v>81</v>
      </c>
      <c r="CM40" s="85" t="s">
        <v>81</v>
      </c>
      <c r="CN40" s="85" t="s">
        <v>81</v>
      </c>
      <c r="CO40" s="85" t="s">
        <v>81</v>
      </c>
      <c r="CP40" s="85" t="s">
        <v>81</v>
      </c>
      <c r="CQ40" s="85" t="s">
        <v>81</v>
      </c>
      <c r="CR40" s="85" t="s">
        <v>81</v>
      </c>
      <c r="CS40" s="85" t="s">
        <v>81</v>
      </c>
      <c r="CT40" s="85" t="s">
        <v>81</v>
      </c>
      <c r="CU40" s="85" t="s">
        <v>81</v>
      </c>
      <c r="CV40" s="85" t="s">
        <v>81</v>
      </c>
      <c r="CW40" s="85" t="s">
        <v>81</v>
      </c>
      <c r="CX40" s="85" t="s">
        <v>81</v>
      </c>
      <c r="CY40" s="85" t="s">
        <v>81</v>
      </c>
      <c r="CZ40" s="85" t="s">
        <v>81</v>
      </c>
      <c r="DA40" s="85" t="s">
        <v>81</v>
      </c>
      <c r="DB40" s="85" t="s">
        <v>81</v>
      </c>
      <c r="DC40" s="85" t="s">
        <v>81</v>
      </c>
      <c r="DD40" s="85" t="s">
        <v>81</v>
      </c>
      <c r="DE40" s="85" t="s">
        <v>81</v>
      </c>
      <c r="DF40" s="85" t="s">
        <v>81</v>
      </c>
      <c r="DG40" s="85" t="s">
        <v>81</v>
      </c>
      <c r="DH40" s="85" t="s">
        <v>81</v>
      </c>
      <c r="DI40" s="85" t="s">
        <v>81</v>
      </c>
      <c r="DJ40" s="85" t="s">
        <v>81</v>
      </c>
      <c r="DK40" s="85" t="s">
        <v>81</v>
      </c>
      <c r="DL40" s="85" t="s">
        <v>81</v>
      </c>
      <c r="DM40" s="85" t="s">
        <v>81</v>
      </c>
      <c r="DN40" s="85" t="s">
        <v>81</v>
      </c>
      <c r="DO40" s="85" t="s">
        <v>81</v>
      </c>
      <c r="DP40" s="85" t="s">
        <v>81</v>
      </c>
      <c r="DQ40" s="85" t="s">
        <v>81</v>
      </c>
      <c r="DR40" s="85" t="s">
        <v>81</v>
      </c>
      <c r="DS40" s="85" t="s">
        <v>81</v>
      </c>
      <c r="DT40" s="85" t="s">
        <v>81</v>
      </c>
      <c r="DU40" s="85" t="s">
        <v>81</v>
      </c>
      <c r="DV40" s="85" t="s">
        <v>81</v>
      </c>
      <c r="DW40" s="85" t="s">
        <v>81</v>
      </c>
      <c r="DX40" s="85" t="s">
        <v>81</v>
      </c>
      <c r="DY40" s="85" t="s">
        <v>81</v>
      </c>
      <c r="DZ40" s="85" t="s">
        <v>81</v>
      </c>
      <c r="EA40" s="85" t="s">
        <v>81</v>
      </c>
      <c r="EB40" s="85" t="s">
        <v>81</v>
      </c>
      <c r="EC40" s="85" t="s">
        <v>81</v>
      </c>
      <c r="ED40" s="85" t="s">
        <v>81</v>
      </c>
      <c r="EE40" s="85" t="s">
        <v>81</v>
      </c>
      <c r="EF40" s="85" t="s">
        <v>81</v>
      </c>
      <c r="EG40" s="85" t="s">
        <v>81</v>
      </c>
      <c r="EH40" s="85" t="s">
        <v>81</v>
      </c>
      <c r="EI40" s="85" t="s">
        <v>81</v>
      </c>
      <c r="EJ40" s="85" t="s">
        <v>81</v>
      </c>
      <c r="EK40" s="85" t="s">
        <v>81</v>
      </c>
      <c r="EL40" s="85" t="s">
        <v>81</v>
      </c>
      <c r="EM40" s="85" t="s">
        <v>81</v>
      </c>
      <c r="EN40" s="85" t="s">
        <v>81</v>
      </c>
      <c r="EO40" s="85" t="s">
        <v>81</v>
      </c>
      <c r="EP40" s="85" t="s">
        <v>81</v>
      </c>
      <c r="EQ40" s="85" t="s">
        <v>81</v>
      </c>
      <c r="ER40" s="85" t="s">
        <v>81</v>
      </c>
      <c r="ES40" s="85" t="s">
        <v>81</v>
      </c>
      <c r="ET40" s="85" t="s">
        <v>81</v>
      </c>
      <c r="EU40" s="85" t="s">
        <v>81</v>
      </c>
      <c r="EV40" s="85" t="s">
        <v>81</v>
      </c>
      <c r="EW40" s="85" t="s">
        <v>81</v>
      </c>
      <c r="EX40" s="85" t="s">
        <v>81</v>
      </c>
      <c r="EY40" s="85" t="s">
        <v>81</v>
      </c>
      <c r="EZ40" s="85" t="s">
        <v>81</v>
      </c>
      <c r="FA40" s="85" t="s">
        <v>81</v>
      </c>
      <c r="FB40" s="85" t="s">
        <v>81</v>
      </c>
      <c r="FC40" s="85" t="s">
        <v>81</v>
      </c>
      <c r="FD40" s="85" t="s">
        <v>81</v>
      </c>
      <c r="FE40" s="85" t="s">
        <v>81</v>
      </c>
      <c r="FF40" s="85" t="s">
        <v>81</v>
      </c>
      <c r="FG40" s="85" t="s">
        <v>81</v>
      </c>
      <c r="FH40" s="85" t="s">
        <v>81</v>
      </c>
      <c r="FI40" s="85" t="s">
        <v>81</v>
      </c>
      <c r="FJ40" s="85" t="s">
        <v>81</v>
      </c>
      <c r="FK40" s="85" t="s">
        <v>81</v>
      </c>
      <c r="FL40" s="85" t="s">
        <v>81</v>
      </c>
      <c r="FM40" s="85" t="s">
        <v>81</v>
      </c>
      <c r="FN40" s="85" t="s">
        <v>81</v>
      </c>
      <c r="FO40" s="85" t="s">
        <v>81</v>
      </c>
      <c r="FP40" s="85" t="s">
        <v>81</v>
      </c>
      <c r="FQ40" s="85" t="s">
        <v>81</v>
      </c>
      <c r="FR40" s="85" t="s">
        <v>81</v>
      </c>
      <c r="FS40" s="85" t="s">
        <v>81</v>
      </c>
      <c r="FT40" s="85" t="s">
        <v>81</v>
      </c>
      <c r="FU40" s="85" t="s">
        <v>81</v>
      </c>
      <c r="FV40" s="85" t="s">
        <v>81</v>
      </c>
      <c r="FW40" s="85" t="s">
        <v>81</v>
      </c>
      <c r="FX40" s="85" t="s">
        <v>81</v>
      </c>
      <c r="FY40" s="85" t="s">
        <v>81</v>
      </c>
      <c r="FZ40" s="85" t="s">
        <v>81</v>
      </c>
      <c r="GA40" s="85" t="s">
        <v>81</v>
      </c>
      <c r="GB40" s="85" t="s">
        <v>81</v>
      </c>
      <c r="GC40" s="85" t="s">
        <v>81</v>
      </c>
      <c r="GD40" s="85" t="s">
        <v>81</v>
      </c>
      <c r="GE40" s="85" t="s">
        <v>81</v>
      </c>
      <c r="GF40" s="85" t="s">
        <v>81</v>
      </c>
      <c r="GG40" s="85" t="s">
        <v>81</v>
      </c>
      <c r="GH40" s="85" t="s">
        <v>81</v>
      </c>
      <c r="GI40" s="85" t="s">
        <v>81</v>
      </c>
      <c r="GJ40" s="85" t="s">
        <v>81</v>
      </c>
      <c r="GK40" s="85" t="s">
        <v>81</v>
      </c>
      <c r="GL40" s="85" t="s">
        <v>81</v>
      </c>
      <c r="GM40" s="85" t="s">
        <v>81</v>
      </c>
      <c r="GN40" s="85" t="s">
        <v>81</v>
      </c>
      <c r="GO40" s="85" t="s">
        <v>81</v>
      </c>
      <c r="GP40" s="85" t="s">
        <v>81</v>
      </c>
      <c r="GQ40" s="85" t="s">
        <v>81</v>
      </c>
      <c r="GR40" s="85" t="s">
        <v>81</v>
      </c>
      <c r="GS40" s="85" t="s">
        <v>81</v>
      </c>
      <c r="GT40" s="85" t="s">
        <v>81</v>
      </c>
      <c r="GU40" s="85" t="s">
        <v>81</v>
      </c>
      <c r="GV40" s="85" t="s">
        <v>81</v>
      </c>
      <c r="GW40" s="85" t="s">
        <v>81</v>
      </c>
      <c r="GX40" s="85" t="s">
        <v>81</v>
      </c>
      <c r="GY40" s="85" t="s">
        <v>81</v>
      </c>
      <c r="GZ40" s="85" t="s">
        <v>81</v>
      </c>
      <c r="HA40" s="85" t="s">
        <v>81</v>
      </c>
      <c r="HB40" s="85" t="s">
        <v>81</v>
      </c>
      <c r="HC40" s="85" t="s">
        <v>81</v>
      </c>
      <c r="HD40" s="85" t="s">
        <v>81</v>
      </c>
      <c r="HE40" s="85" t="s">
        <v>81</v>
      </c>
      <c r="HF40" s="85" t="s">
        <v>81</v>
      </c>
      <c r="HG40" s="85" t="s">
        <v>81</v>
      </c>
      <c r="HH40" s="85" t="s">
        <v>81</v>
      </c>
      <c r="HI40" s="85" t="s">
        <v>81</v>
      </c>
      <c r="HJ40" s="85" t="s">
        <v>81</v>
      </c>
      <c r="HK40" s="85" t="s">
        <v>81</v>
      </c>
      <c r="HL40" s="85" t="s">
        <v>81</v>
      </c>
      <c r="HM40" s="85" t="s">
        <v>81</v>
      </c>
      <c r="HN40" s="85" t="s">
        <v>81</v>
      </c>
      <c r="HO40" s="85" t="s">
        <v>81</v>
      </c>
      <c r="HP40" s="85" t="s">
        <v>81</v>
      </c>
      <c r="HQ40" s="85" t="s">
        <v>81</v>
      </c>
      <c r="HR40" s="85" t="s">
        <v>81</v>
      </c>
      <c r="HS40" s="85" t="s">
        <v>81</v>
      </c>
      <c r="HT40" s="85" t="s">
        <v>81</v>
      </c>
      <c r="HU40" s="85" t="s">
        <v>81</v>
      </c>
      <c r="HV40" s="85" t="s">
        <v>81</v>
      </c>
      <c r="HW40" s="85" t="s">
        <v>81</v>
      </c>
      <c r="HX40" s="85" t="s">
        <v>81</v>
      </c>
      <c r="HY40" s="85" t="s">
        <v>81</v>
      </c>
      <c r="HZ40" s="85" t="s">
        <v>81</v>
      </c>
      <c r="IA40" s="85" t="s">
        <v>81</v>
      </c>
      <c r="IB40" s="85" t="s">
        <v>81</v>
      </c>
      <c r="IC40" s="85" t="s">
        <v>81</v>
      </c>
      <c r="ID40" s="85" t="s">
        <v>81</v>
      </c>
      <c r="IE40" s="85" t="s">
        <v>81</v>
      </c>
      <c r="IF40" s="85" t="s">
        <v>81</v>
      </c>
      <c r="IG40" s="85" t="s">
        <v>81</v>
      </c>
      <c r="IH40" s="85" t="s">
        <v>81</v>
      </c>
      <c r="II40" s="85" t="s">
        <v>81</v>
      </c>
      <c r="IJ40" s="85" t="s">
        <v>81</v>
      </c>
      <c r="IK40" s="85" t="s">
        <v>81</v>
      </c>
      <c r="IL40" s="85" t="s">
        <v>81</v>
      </c>
      <c r="IM40" s="85" t="s">
        <v>81</v>
      </c>
      <c r="IN40" s="85" t="s">
        <v>81</v>
      </c>
      <c r="IO40" s="85" t="s">
        <v>81</v>
      </c>
      <c r="IP40" s="85" t="s">
        <v>81</v>
      </c>
      <c r="IQ40" s="85" t="s">
        <v>81</v>
      </c>
      <c r="IR40" s="85" t="s">
        <v>81</v>
      </c>
      <c r="IS40" s="85" t="s">
        <v>81</v>
      </c>
      <c r="IT40" s="85" t="s">
        <v>81</v>
      </c>
      <c r="IU40" s="85" t="s">
        <v>81</v>
      </c>
      <c r="IV40" s="85" t="s">
        <v>81</v>
      </c>
    </row>
    <row r="41" spans="1:256" ht="12.75" customHeight="1">
      <c r="A41" s="77"/>
      <c r="B41" s="77"/>
      <c r="C41" s="77"/>
      <c r="D41" s="77"/>
      <c r="E41" s="85" t="s">
        <v>91</v>
      </c>
      <c r="F41" s="106">
        <v>37517.8</v>
      </c>
      <c r="G41" s="85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7" ht="12.75" customHeight="1">
      <c r="A42" s="21"/>
      <c r="B42" s="28"/>
      <c r="C42" s="21"/>
      <c r="D42" s="21"/>
      <c r="E42" s="85"/>
      <c r="F42" s="90"/>
      <c r="G42" s="61"/>
    </row>
    <row r="43" spans="1:7" ht="12.75" customHeight="1">
      <c r="A43" s="21"/>
      <c r="B43" s="28"/>
      <c r="C43" s="21"/>
      <c r="D43" s="21"/>
      <c r="E43" s="39"/>
      <c r="F43" s="62"/>
      <c r="G43" s="62"/>
    </row>
    <row r="44" spans="1:7" ht="12.75" customHeight="1">
      <c r="A44" s="21"/>
      <c r="B44" s="28"/>
      <c r="C44" s="79" t="s">
        <v>20</v>
      </c>
      <c r="D44" s="21"/>
      <c r="E44" s="38"/>
      <c r="F44" s="64">
        <f>SUM(F45:F46)</f>
        <v>0</v>
      </c>
      <c r="G44" s="33"/>
    </row>
    <row r="45" spans="1:7" ht="12.75" customHeight="1">
      <c r="A45" s="21"/>
      <c r="B45" s="28"/>
      <c r="C45" s="21"/>
      <c r="D45" s="21"/>
      <c r="E45" s="39"/>
      <c r="F45" s="87"/>
      <c r="G45" s="33"/>
    </row>
    <row r="46" spans="1:7" ht="12.75" customHeight="1">
      <c r="A46" s="21"/>
      <c r="B46" s="28"/>
      <c r="C46" s="21"/>
      <c r="D46" s="21"/>
      <c r="E46" s="39"/>
      <c r="F46" s="67"/>
      <c r="G46" s="33"/>
    </row>
    <row r="47" spans="1:7" ht="12.75" customHeight="1">
      <c r="A47" s="21"/>
      <c r="B47" s="28"/>
      <c r="C47" s="21"/>
      <c r="D47" s="21"/>
      <c r="E47" s="39"/>
      <c r="F47" s="61"/>
      <c r="G47" s="33"/>
    </row>
    <row r="48" spans="1:7" ht="12.75" customHeight="1">
      <c r="A48" s="21"/>
      <c r="B48" s="28"/>
      <c r="C48" s="79" t="s">
        <v>21</v>
      </c>
      <c r="D48" s="21"/>
      <c r="E48" s="38"/>
      <c r="F48" s="65">
        <f>SUM(F49:F53)</f>
        <v>251865.43</v>
      </c>
      <c r="G48" s="33"/>
    </row>
    <row r="49" spans="1:7" ht="12.75" customHeight="1">
      <c r="A49" s="21"/>
      <c r="B49" s="28"/>
      <c r="D49" s="92" t="s">
        <v>22</v>
      </c>
      <c r="E49" s="41"/>
      <c r="F49" s="90">
        <f>150153.01+7756.12+3629.58+19984.2</f>
        <v>181522.91</v>
      </c>
      <c r="G49" s="33"/>
    </row>
    <row r="50" spans="1:7" ht="12.75" customHeight="1">
      <c r="A50" s="21"/>
      <c r="B50" s="28"/>
      <c r="D50" s="92" t="s">
        <v>23</v>
      </c>
      <c r="E50" s="41"/>
      <c r="F50" s="87">
        <f>42101.22+4943.12+2308.61+863.84+4996.05</f>
        <v>55212.840000000004</v>
      </c>
      <c r="G50" s="33"/>
    </row>
    <row r="51" spans="1:7" ht="12.75" customHeight="1">
      <c r="A51" s="21"/>
      <c r="B51" s="28"/>
      <c r="D51" s="92" t="s">
        <v>24</v>
      </c>
      <c r="E51" s="41"/>
      <c r="F51" s="87">
        <v>15129.68</v>
      </c>
      <c r="G51" s="33"/>
    </row>
    <row r="52" spans="1:7" ht="12.75" customHeight="1">
      <c r="A52" s="21"/>
      <c r="B52" s="28"/>
      <c r="D52" s="92" t="s">
        <v>25</v>
      </c>
      <c r="E52" s="41"/>
      <c r="F52" s="87">
        <v>0</v>
      </c>
      <c r="G52" s="33"/>
    </row>
    <row r="53" spans="1:7" ht="12.75" customHeight="1">
      <c r="A53" s="21"/>
      <c r="B53" s="28"/>
      <c r="D53" s="92" t="s">
        <v>26</v>
      </c>
      <c r="E53" s="41"/>
      <c r="F53" s="87">
        <v>0</v>
      </c>
      <c r="G53" s="33"/>
    </row>
    <row r="54" spans="1:7" ht="12.75" customHeight="1">
      <c r="A54" s="21"/>
      <c r="B54" s="28"/>
      <c r="D54" s="40"/>
      <c r="E54" s="41"/>
      <c r="F54" s="61"/>
      <c r="G54" s="33"/>
    </row>
    <row r="55" spans="1:7" ht="12.75" customHeight="1">
      <c r="A55" s="21"/>
      <c r="B55" s="28"/>
      <c r="C55" s="79" t="s">
        <v>27</v>
      </c>
      <c r="D55" s="21"/>
      <c r="E55" s="38"/>
      <c r="F55" s="65">
        <f>SUM(F56:F60)</f>
        <v>2760.2</v>
      </c>
      <c r="G55" s="33"/>
    </row>
    <row r="56" spans="1:7" ht="12.75" customHeight="1">
      <c r="A56" s="21"/>
      <c r="B56" s="28"/>
      <c r="C56" s="21"/>
      <c r="D56" s="92" t="s">
        <v>28</v>
      </c>
      <c r="E56" s="41"/>
      <c r="F56" s="90">
        <v>0</v>
      </c>
      <c r="G56" s="33"/>
    </row>
    <row r="57" spans="1:7" ht="12.75" customHeight="1">
      <c r="A57" s="21"/>
      <c r="B57" s="28"/>
      <c r="D57" s="92" t="s">
        <v>29</v>
      </c>
      <c r="E57" s="42"/>
      <c r="F57" s="87">
        <v>2760.2</v>
      </c>
      <c r="G57" s="33"/>
    </row>
    <row r="58" spans="1:7" ht="12.75" customHeight="1">
      <c r="A58" s="21"/>
      <c r="B58" s="28"/>
      <c r="D58" s="92" t="s">
        <v>31</v>
      </c>
      <c r="E58" s="41"/>
      <c r="F58" s="87">
        <v>0</v>
      </c>
      <c r="G58" s="33"/>
    </row>
    <row r="59" spans="1:7" ht="12.75" customHeight="1">
      <c r="A59" s="21"/>
      <c r="B59" s="28"/>
      <c r="D59" s="92" t="s">
        <v>32</v>
      </c>
      <c r="E59" s="41"/>
      <c r="F59" s="87"/>
      <c r="G59" s="33"/>
    </row>
    <row r="60" spans="1:7" ht="12.75" customHeight="1">
      <c r="A60" s="21"/>
      <c r="B60" s="28"/>
      <c r="D60" s="40"/>
      <c r="E60" s="93" t="s">
        <v>33</v>
      </c>
      <c r="F60" s="87">
        <v>0</v>
      </c>
      <c r="G60" s="33"/>
    </row>
    <row r="61" spans="1:7" ht="12.75" customHeight="1">
      <c r="A61" s="21"/>
      <c r="B61" s="28"/>
      <c r="D61" s="40"/>
      <c r="E61" s="42"/>
      <c r="F61" s="62"/>
      <c r="G61" s="33"/>
    </row>
    <row r="62" spans="1:7" ht="12.75" customHeight="1">
      <c r="A62" s="21"/>
      <c r="B62" s="28"/>
      <c r="C62" s="79" t="s">
        <v>34</v>
      </c>
      <c r="D62" s="21"/>
      <c r="E62" s="38"/>
      <c r="F62" s="59"/>
      <c r="G62" s="33"/>
    </row>
    <row r="63" spans="1:7" ht="12.75" customHeight="1">
      <c r="A63" s="21"/>
      <c r="B63" s="28"/>
      <c r="D63" s="21"/>
      <c r="E63" s="94" t="s">
        <v>35</v>
      </c>
      <c r="F63" s="66">
        <v>0</v>
      </c>
      <c r="G63" s="33"/>
    </row>
    <row r="64" spans="1:7" ht="12.75" customHeight="1">
      <c r="A64" s="21"/>
      <c r="B64" s="28"/>
      <c r="D64" s="21"/>
      <c r="E64" s="43"/>
      <c r="F64" s="59"/>
      <c r="G64" s="33"/>
    </row>
    <row r="65" spans="1:7" ht="12.75" customHeight="1">
      <c r="A65" s="21"/>
      <c r="B65" s="28"/>
      <c r="C65" s="79" t="s">
        <v>36</v>
      </c>
      <c r="D65" s="21"/>
      <c r="E65" s="38"/>
      <c r="F65" s="66">
        <v>0</v>
      </c>
      <c r="G65" s="33"/>
    </row>
    <row r="66" spans="1:7" ht="12.75" customHeight="1">
      <c r="A66" s="21"/>
      <c r="B66" s="28"/>
      <c r="C66" s="21"/>
      <c r="D66" s="21"/>
      <c r="E66" s="38"/>
      <c r="F66" s="59"/>
      <c r="G66" s="33"/>
    </row>
    <row r="67" spans="1:7" ht="12.75" customHeight="1">
      <c r="A67" s="21"/>
      <c r="B67" s="28"/>
      <c r="C67" s="79" t="s">
        <v>37</v>
      </c>
      <c r="D67" s="21"/>
      <c r="E67" s="38"/>
      <c r="F67" s="66">
        <v>0</v>
      </c>
      <c r="G67" s="33"/>
    </row>
    <row r="68" spans="1:7" ht="12.75" customHeight="1">
      <c r="A68" s="21"/>
      <c r="B68" s="28"/>
      <c r="C68" s="21"/>
      <c r="D68" s="21"/>
      <c r="E68" s="38"/>
      <c r="F68" s="59"/>
      <c r="G68" s="33"/>
    </row>
    <row r="69" spans="1:7" ht="12.75" customHeight="1">
      <c r="A69" s="21"/>
      <c r="B69" s="28"/>
      <c r="C69" s="79" t="s">
        <v>38</v>
      </c>
      <c r="D69" s="21"/>
      <c r="E69" s="38"/>
      <c r="F69" s="66">
        <f>SUM(F70:F71)</f>
        <v>1021.28</v>
      </c>
      <c r="G69" s="33"/>
    </row>
    <row r="70" spans="1:7" ht="12.75" customHeight="1">
      <c r="A70" s="21"/>
      <c r="B70" s="28"/>
      <c r="C70" s="79"/>
      <c r="D70" s="21" t="s">
        <v>0</v>
      </c>
      <c r="E70" s="38" t="s">
        <v>123</v>
      </c>
      <c r="F70" s="81">
        <v>1.81</v>
      </c>
      <c r="G70" s="33"/>
    </row>
    <row r="71" spans="1:7" ht="12.75" customHeight="1">
      <c r="A71" s="21"/>
      <c r="B71" s="28"/>
      <c r="C71" s="79"/>
      <c r="D71" s="21"/>
      <c r="E71" s="38" t="s">
        <v>217</v>
      </c>
      <c r="F71" s="81">
        <v>1019.47</v>
      </c>
      <c r="G71" s="33"/>
    </row>
    <row r="72" spans="1:7" ht="12.75" customHeight="1">
      <c r="A72" s="21"/>
      <c r="B72" s="28"/>
      <c r="C72" s="21"/>
      <c r="D72" s="21"/>
      <c r="E72" s="43"/>
      <c r="F72" s="59" t="s">
        <v>0</v>
      </c>
      <c r="G72" s="33"/>
    </row>
    <row r="73" spans="1:9" ht="16.5" customHeight="1">
      <c r="A73" s="44"/>
      <c r="B73" s="75" t="s">
        <v>39</v>
      </c>
      <c r="C73" s="45"/>
      <c r="D73" s="45"/>
      <c r="E73" s="39"/>
      <c r="F73" s="59" t="s">
        <v>0</v>
      </c>
      <c r="G73" s="98">
        <f>SUM(G19:G69)</f>
        <v>7696.100000000093</v>
      </c>
      <c r="I73" s="70"/>
    </row>
    <row r="74" spans="1:7" ht="12.75" customHeight="1">
      <c r="A74" s="21"/>
      <c r="B74" s="97" t="s">
        <v>40</v>
      </c>
      <c r="C74" s="21"/>
      <c r="D74" s="21"/>
      <c r="E74" s="43"/>
      <c r="F74" s="59" t="s">
        <v>0</v>
      </c>
      <c r="G74" s="46"/>
    </row>
    <row r="75" spans="2:7" ht="12" customHeight="1">
      <c r="B75" s="47"/>
      <c r="E75" s="38"/>
      <c r="F75" s="59" t="s">
        <v>0</v>
      </c>
      <c r="G75" s="46"/>
    </row>
    <row r="76" spans="2:7" ht="16.5" customHeight="1">
      <c r="B76" s="75" t="s">
        <v>52</v>
      </c>
      <c r="C76" s="35"/>
      <c r="D76" s="35"/>
      <c r="E76" s="48"/>
      <c r="F76" s="60"/>
      <c r="G76" s="98">
        <f>SUM(F78:F80)</f>
        <v>0</v>
      </c>
    </row>
    <row r="77" spans="2:7" ht="12">
      <c r="B77" s="47"/>
      <c r="E77" s="38"/>
      <c r="F77" s="59"/>
      <c r="G77" s="46"/>
    </row>
    <row r="78" spans="2:7" ht="15">
      <c r="B78" s="28"/>
      <c r="C78" s="79" t="s">
        <v>49</v>
      </c>
      <c r="D78" s="21"/>
      <c r="E78" s="38"/>
      <c r="F78" s="64">
        <v>0</v>
      </c>
      <c r="G78" s="46"/>
    </row>
    <row r="79" spans="2:7" ht="15">
      <c r="B79" s="47"/>
      <c r="C79" s="79" t="s">
        <v>50</v>
      </c>
      <c r="E79" s="38"/>
      <c r="F79" s="71">
        <v>0</v>
      </c>
      <c r="G79" s="46"/>
    </row>
    <row r="80" spans="2:7" ht="15">
      <c r="B80" s="47"/>
      <c r="C80" s="79" t="s">
        <v>51</v>
      </c>
      <c r="E80" s="38"/>
      <c r="F80" s="66">
        <v>0</v>
      </c>
      <c r="G80" s="46"/>
    </row>
    <row r="81" spans="2:7" ht="12">
      <c r="B81" s="47"/>
      <c r="E81" s="38"/>
      <c r="F81" s="59"/>
      <c r="G81" s="46"/>
    </row>
    <row r="82" spans="2:7" ht="18">
      <c r="B82" s="75" t="s">
        <v>75</v>
      </c>
      <c r="C82" s="35"/>
      <c r="D82" s="35"/>
      <c r="E82" s="48"/>
      <c r="F82" s="69">
        <v>0</v>
      </c>
      <c r="G82" s="99">
        <v>0</v>
      </c>
    </row>
    <row r="83" spans="2:7" ht="12">
      <c r="B83" s="47"/>
      <c r="E83" s="38"/>
      <c r="F83" s="59"/>
      <c r="G83" s="46"/>
    </row>
    <row r="84" spans="2:7" ht="18">
      <c r="B84" s="75" t="s">
        <v>76</v>
      </c>
      <c r="C84" s="35"/>
      <c r="D84" s="35"/>
      <c r="E84" s="48"/>
      <c r="F84" s="60"/>
      <c r="G84" s="98">
        <f>F86-F87</f>
        <v>0</v>
      </c>
    </row>
    <row r="85" spans="2:7" ht="12">
      <c r="B85" s="47"/>
      <c r="E85" s="38"/>
      <c r="F85" s="59"/>
      <c r="G85" s="46"/>
    </row>
    <row r="86" spans="2:7" ht="14.25">
      <c r="B86" s="47"/>
      <c r="C86" s="79" t="s">
        <v>53</v>
      </c>
      <c r="E86" s="38"/>
      <c r="F86" s="68">
        <v>0</v>
      </c>
      <c r="G86" s="46"/>
    </row>
    <row r="87" spans="2:7" ht="14.25">
      <c r="B87" s="47"/>
      <c r="C87" s="79" t="s">
        <v>54</v>
      </c>
      <c r="E87" s="38"/>
      <c r="F87" s="68">
        <v>0</v>
      </c>
      <c r="G87" s="46"/>
    </row>
    <row r="88" spans="2:7" ht="12">
      <c r="B88" s="47"/>
      <c r="E88" s="38"/>
      <c r="F88" s="59"/>
      <c r="G88" s="46"/>
    </row>
    <row r="89" spans="2:7" ht="12">
      <c r="B89" s="47"/>
      <c r="E89" s="38"/>
      <c r="F89" s="59"/>
      <c r="G89" s="46"/>
    </row>
    <row r="90" spans="2:9" ht="18">
      <c r="B90" s="31"/>
      <c r="E90" s="100" t="s">
        <v>55</v>
      </c>
      <c r="F90" s="59"/>
      <c r="G90" s="101">
        <f>G73+G76+G82+G84</f>
        <v>7696.100000000093</v>
      </c>
      <c r="I90" s="70"/>
    </row>
    <row r="91" spans="2:7" ht="12">
      <c r="B91" s="49"/>
      <c r="C91" s="50"/>
      <c r="D91" s="50"/>
      <c r="E91" s="51"/>
      <c r="F91" s="52"/>
      <c r="G91" s="53"/>
    </row>
    <row r="96" spans="5:7" ht="15.75">
      <c r="E96" s="103" t="s">
        <v>110</v>
      </c>
      <c r="G96" s="107">
        <f>773348.29*6.99/100</f>
        <v>54057.045471</v>
      </c>
    </row>
    <row r="98" spans="5:7" ht="15.75">
      <c r="E98" s="103" t="s">
        <v>111</v>
      </c>
      <c r="G98" s="107">
        <f>-886714.22*6.99/100+3.17</f>
        <v>-61978.153978</v>
      </c>
    </row>
    <row r="100" spans="5:7" ht="18">
      <c r="E100" s="103" t="s">
        <v>156</v>
      </c>
      <c r="G100" s="104">
        <f>G90+G96+G98</f>
        <v>-225.00850699991133</v>
      </c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2" r:id="rId1"/>
  <rowBreaks count="1" manualBreakCount="1">
    <brk id="54" max="255" man="1"/>
  </rowBreaks>
  <ignoredErrors>
    <ignoredError sqref="G97 G99:G10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workbookViewId="0" topLeftCell="A97">
      <selection activeCell="G113" sqref="G113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112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F20+F24+F25+F26+F28</f>
        <v>550146.27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SUM(F21:F22)</f>
        <v>436761.23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113</v>
      </c>
      <c r="F21" s="80">
        <f>160298.97+183159.51</f>
        <v>343458.48</v>
      </c>
      <c r="G21" s="32"/>
    </row>
    <row r="22" spans="1:7" ht="12.75" customHeight="1">
      <c r="A22" s="21"/>
      <c r="B22" s="28"/>
      <c r="C22" s="76"/>
      <c r="D22" s="76" t="s">
        <v>30</v>
      </c>
      <c r="E22" s="77" t="s">
        <v>114</v>
      </c>
      <c r="F22" s="80">
        <v>93302.75</v>
      </c>
      <c r="G22" s="32"/>
    </row>
    <row r="23" spans="1:7" ht="12.75" customHeight="1">
      <c r="A23" s="21"/>
      <c r="B23" s="28"/>
      <c r="C23" s="76" t="s">
        <v>8</v>
      </c>
      <c r="D23" s="76" t="s">
        <v>9</v>
      </c>
      <c r="E23" s="77"/>
      <c r="F23" s="81"/>
      <c r="G23" s="32"/>
    </row>
    <row r="24" spans="1:7" ht="12.75" customHeight="1">
      <c r="A24" s="21"/>
      <c r="B24" s="28"/>
      <c r="C24" s="76"/>
      <c r="D24" s="76" t="s">
        <v>10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11</v>
      </c>
      <c r="D25" s="76" t="s">
        <v>12</v>
      </c>
      <c r="E25" s="77"/>
      <c r="F25" s="81">
        <v>0</v>
      </c>
      <c r="G25" s="32"/>
    </row>
    <row r="26" spans="1:7" ht="12.75" customHeight="1">
      <c r="A26" s="21"/>
      <c r="B26" s="28"/>
      <c r="C26" s="76" t="s">
        <v>13</v>
      </c>
      <c r="D26" s="76"/>
      <c r="E26" s="77"/>
      <c r="F26" s="81">
        <v>0</v>
      </c>
      <c r="G26" s="32"/>
    </row>
    <row r="27" spans="1:7" ht="12.75" customHeight="1">
      <c r="A27" s="21"/>
      <c r="B27" s="28"/>
      <c r="C27" s="76" t="s">
        <v>14</v>
      </c>
      <c r="D27" s="76"/>
      <c r="E27" s="77"/>
      <c r="F27" s="81" t="s">
        <v>0</v>
      </c>
      <c r="G27" s="33"/>
    </row>
    <row r="28" spans="1:7" ht="12.75" customHeight="1">
      <c r="A28" s="21"/>
      <c r="B28" s="28"/>
      <c r="C28" s="76"/>
      <c r="D28" s="76" t="s">
        <v>15</v>
      </c>
      <c r="E28" s="77"/>
      <c r="F28" s="64">
        <f>SUM(F29:F30)</f>
        <v>113385.04000000001</v>
      </c>
      <c r="G28" s="33"/>
    </row>
    <row r="29" spans="1:7" ht="12.75" customHeight="1">
      <c r="A29" s="21"/>
      <c r="B29" s="28"/>
      <c r="C29" s="76"/>
      <c r="D29" s="76" t="s">
        <v>30</v>
      </c>
      <c r="E29" s="77" t="s">
        <v>115</v>
      </c>
      <c r="F29" s="80">
        <v>111897.22</v>
      </c>
      <c r="G29" s="33"/>
    </row>
    <row r="30" spans="1:7" ht="12.75" customHeight="1">
      <c r="A30" s="21"/>
      <c r="B30" s="28"/>
      <c r="C30" s="76"/>
      <c r="D30" s="78" t="s">
        <v>30</v>
      </c>
      <c r="E30" s="77" t="s">
        <v>44</v>
      </c>
      <c r="F30" s="80">
        <v>1487.82</v>
      </c>
      <c r="G30" s="34"/>
    </row>
    <row r="31" spans="1:7" ht="12.75" customHeight="1">
      <c r="A31" s="21"/>
      <c r="B31" s="28"/>
      <c r="C31" s="21"/>
      <c r="D31" s="21"/>
      <c r="E31" s="21"/>
      <c r="F31" s="59"/>
      <c r="G31" s="33"/>
    </row>
    <row r="32" spans="1:7" s="37" customFormat="1" ht="15.75" customHeight="1">
      <c r="A32" s="35"/>
      <c r="B32" s="75" t="s">
        <v>16</v>
      </c>
      <c r="C32" s="35"/>
      <c r="D32" s="35"/>
      <c r="E32" s="36"/>
      <c r="F32" s="60"/>
      <c r="G32" s="84">
        <f>-(F34+F40+F58+F62+F69+F77+F79+F81+F83)</f>
        <v>-527473.6399999999</v>
      </c>
    </row>
    <row r="33" spans="1:7" ht="12.75" customHeight="1">
      <c r="A33" s="21"/>
      <c r="B33" s="28"/>
      <c r="C33" s="79" t="s">
        <v>17</v>
      </c>
      <c r="D33" s="21"/>
      <c r="F33" s="59" t="s">
        <v>0</v>
      </c>
      <c r="G33" s="33"/>
    </row>
    <row r="34" spans="1:7" ht="12.75" customHeight="1">
      <c r="A34" s="21"/>
      <c r="B34" s="28"/>
      <c r="D34" s="79" t="s">
        <v>18</v>
      </c>
      <c r="E34" s="38"/>
      <c r="F34" s="65">
        <f>SUM(F35:F38)</f>
        <v>4942.55</v>
      </c>
      <c r="G34" s="33"/>
    </row>
    <row r="35" spans="1:7" ht="12.75" customHeight="1">
      <c r="A35" s="21"/>
      <c r="B35" s="28"/>
      <c r="D35" s="21"/>
      <c r="E35" s="85" t="s">
        <v>116</v>
      </c>
      <c r="F35" s="96">
        <v>873</v>
      </c>
      <c r="G35" s="33"/>
    </row>
    <row r="36" spans="1:7" ht="12.75" customHeight="1">
      <c r="A36" s="21"/>
      <c r="B36" s="28"/>
      <c r="D36" s="21"/>
      <c r="E36" s="85" t="s">
        <v>117</v>
      </c>
      <c r="F36" s="96">
        <v>2875.04</v>
      </c>
      <c r="G36" s="33"/>
    </row>
    <row r="37" spans="1:7" ht="12.75" customHeight="1">
      <c r="A37" s="21"/>
      <c r="B37" s="28"/>
      <c r="D37" s="21"/>
      <c r="E37" s="85" t="s">
        <v>109</v>
      </c>
      <c r="F37" s="96">
        <v>1194.51</v>
      </c>
      <c r="G37" s="33"/>
    </row>
    <row r="38" spans="1:7" ht="12.75" customHeight="1">
      <c r="A38" s="21"/>
      <c r="B38" s="28"/>
      <c r="D38" s="21"/>
      <c r="E38" s="85"/>
      <c r="F38" s="83"/>
      <c r="G38" s="33"/>
    </row>
    <row r="39" spans="1:7" ht="12.75" customHeight="1">
      <c r="A39" s="21"/>
      <c r="B39" s="28"/>
      <c r="D39" s="21"/>
      <c r="E39" s="38"/>
      <c r="F39" s="62"/>
      <c r="G39" s="33"/>
    </row>
    <row r="40" spans="1:7" ht="12.75" customHeight="1">
      <c r="A40" s="21"/>
      <c r="B40" s="28"/>
      <c r="C40" s="79" t="s">
        <v>19</v>
      </c>
      <c r="D40" s="21"/>
      <c r="E40" s="38"/>
      <c r="F40" s="65">
        <f>SUM(F41:F56)</f>
        <v>383708.45999999996</v>
      </c>
      <c r="G40" s="33"/>
    </row>
    <row r="41" spans="1:7" ht="12.75" customHeight="1">
      <c r="A41" s="21"/>
      <c r="B41" s="28"/>
      <c r="C41" s="79"/>
      <c r="D41" s="21"/>
      <c r="E41" s="38" t="s">
        <v>78</v>
      </c>
      <c r="F41" s="86">
        <v>1799.07</v>
      </c>
      <c r="G41" s="33"/>
    </row>
    <row r="42" spans="1:7" ht="12.75" customHeight="1">
      <c r="A42" s="21"/>
      <c r="B42" s="28"/>
      <c r="C42" s="79"/>
      <c r="D42" s="21"/>
      <c r="E42" s="38" t="s">
        <v>79</v>
      </c>
      <c r="F42" s="86">
        <f>302.48+97.84</f>
        <v>400.32000000000005</v>
      </c>
      <c r="G42" s="33"/>
    </row>
    <row r="43" spans="1:7" ht="12.75" customHeight="1">
      <c r="A43" s="21"/>
      <c r="B43" s="28"/>
      <c r="C43" s="79"/>
      <c r="D43" s="21"/>
      <c r="E43" s="38" t="s">
        <v>148</v>
      </c>
      <c r="F43" s="86">
        <v>310.21</v>
      </c>
      <c r="G43" s="33"/>
    </row>
    <row r="44" spans="1:7" ht="12.75" customHeight="1">
      <c r="A44" s="21"/>
      <c r="B44" s="28"/>
      <c r="C44" s="79"/>
      <c r="D44" s="21"/>
      <c r="E44" s="38" t="s">
        <v>181</v>
      </c>
      <c r="F44" s="86">
        <v>240</v>
      </c>
      <c r="G44" s="33"/>
    </row>
    <row r="45" spans="1:7" ht="12.75" customHeight="1">
      <c r="A45" s="21"/>
      <c r="B45" s="28"/>
      <c r="C45" s="21"/>
      <c r="D45" s="21"/>
      <c r="E45" s="85" t="s">
        <v>118</v>
      </c>
      <c r="F45" s="87">
        <f>6198.17+655.41+3420</f>
        <v>10273.58</v>
      </c>
      <c r="G45" s="33"/>
    </row>
    <row r="46" spans="1:256" ht="12.75" customHeight="1">
      <c r="A46" s="85"/>
      <c r="B46" s="77"/>
      <c r="C46" s="77"/>
      <c r="D46" s="77"/>
      <c r="E46" s="85" t="s">
        <v>119</v>
      </c>
      <c r="F46" s="105">
        <v>2991.15</v>
      </c>
      <c r="G46" s="85"/>
      <c r="H46" s="77"/>
      <c r="I46" s="77"/>
      <c r="J46" s="77"/>
      <c r="K46" s="77"/>
      <c r="L46" s="77"/>
      <c r="M46" s="77"/>
      <c r="N46" s="77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 t="s">
        <v>81</v>
      </c>
      <c r="BE46" s="85" t="s">
        <v>81</v>
      </c>
      <c r="BF46" s="85" t="s">
        <v>81</v>
      </c>
      <c r="BG46" s="85" t="s">
        <v>81</v>
      </c>
      <c r="BH46" s="85" t="s">
        <v>81</v>
      </c>
      <c r="BI46" s="85" t="s">
        <v>81</v>
      </c>
      <c r="BJ46" s="85" t="s">
        <v>81</v>
      </c>
      <c r="BK46" s="85" t="s">
        <v>81</v>
      </c>
      <c r="BL46" s="85" t="s">
        <v>81</v>
      </c>
      <c r="BM46" s="85" t="s">
        <v>81</v>
      </c>
      <c r="BN46" s="85" t="s">
        <v>81</v>
      </c>
      <c r="BO46" s="85" t="s">
        <v>81</v>
      </c>
      <c r="BP46" s="85" t="s">
        <v>81</v>
      </c>
      <c r="BQ46" s="85" t="s">
        <v>81</v>
      </c>
      <c r="BR46" s="85" t="s">
        <v>81</v>
      </c>
      <c r="BS46" s="85" t="s">
        <v>81</v>
      </c>
      <c r="BT46" s="85" t="s">
        <v>81</v>
      </c>
      <c r="BU46" s="85" t="s">
        <v>81</v>
      </c>
      <c r="BV46" s="85" t="s">
        <v>81</v>
      </c>
      <c r="BW46" s="85" t="s">
        <v>81</v>
      </c>
      <c r="BX46" s="85" t="s">
        <v>81</v>
      </c>
      <c r="BY46" s="85" t="s">
        <v>81</v>
      </c>
      <c r="BZ46" s="85" t="s">
        <v>81</v>
      </c>
      <c r="CA46" s="85" t="s">
        <v>81</v>
      </c>
      <c r="CB46" s="85" t="s">
        <v>81</v>
      </c>
      <c r="CC46" s="85" t="s">
        <v>81</v>
      </c>
      <c r="CD46" s="85" t="s">
        <v>81</v>
      </c>
      <c r="CE46" s="85" t="s">
        <v>81</v>
      </c>
      <c r="CF46" s="85" t="s">
        <v>81</v>
      </c>
      <c r="CG46" s="85" t="s">
        <v>81</v>
      </c>
      <c r="CH46" s="85" t="s">
        <v>81</v>
      </c>
      <c r="CI46" s="85" t="s">
        <v>81</v>
      </c>
      <c r="CJ46" s="85" t="s">
        <v>81</v>
      </c>
      <c r="CK46" s="85" t="s">
        <v>81</v>
      </c>
      <c r="CL46" s="85" t="s">
        <v>81</v>
      </c>
      <c r="CM46" s="85" t="s">
        <v>81</v>
      </c>
      <c r="CN46" s="85" t="s">
        <v>81</v>
      </c>
      <c r="CO46" s="85" t="s">
        <v>81</v>
      </c>
      <c r="CP46" s="85" t="s">
        <v>81</v>
      </c>
      <c r="CQ46" s="85" t="s">
        <v>81</v>
      </c>
      <c r="CR46" s="85" t="s">
        <v>81</v>
      </c>
      <c r="CS46" s="85" t="s">
        <v>81</v>
      </c>
      <c r="CT46" s="85" t="s">
        <v>81</v>
      </c>
      <c r="CU46" s="85" t="s">
        <v>81</v>
      </c>
      <c r="CV46" s="85" t="s">
        <v>81</v>
      </c>
      <c r="CW46" s="85" t="s">
        <v>81</v>
      </c>
      <c r="CX46" s="85" t="s">
        <v>81</v>
      </c>
      <c r="CY46" s="85" t="s">
        <v>81</v>
      </c>
      <c r="CZ46" s="85" t="s">
        <v>81</v>
      </c>
      <c r="DA46" s="85" t="s">
        <v>81</v>
      </c>
      <c r="DB46" s="85" t="s">
        <v>81</v>
      </c>
      <c r="DC46" s="85" t="s">
        <v>81</v>
      </c>
      <c r="DD46" s="85" t="s">
        <v>81</v>
      </c>
      <c r="DE46" s="85" t="s">
        <v>81</v>
      </c>
      <c r="DF46" s="85" t="s">
        <v>81</v>
      </c>
      <c r="DG46" s="85" t="s">
        <v>81</v>
      </c>
      <c r="DH46" s="85" t="s">
        <v>81</v>
      </c>
      <c r="DI46" s="85" t="s">
        <v>81</v>
      </c>
      <c r="DJ46" s="85" t="s">
        <v>81</v>
      </c>
      <c r="DK46" s="85" t="s">
        <v>81</v>
      </c>
      <c r="DL46" s="85" t="s">
        <v>81</v>
      </c>
      <c r="DM46" s="85" t="s">
        <v>81</v>
      </c>
      <c r="DN46" s="85" t="s">
        <v>81</v>
      </c>
      <c r="DO46" s="85" t="s">
        <v>81</v>
      </c>
      <c r="DP46" s="85" t="s">
        <v>81</v>
      </c>
      <c r="DQ46" s="85" t="s">
        <v>81</v>
      </c>
      <c r="DR46" s="85" t="s">
        <v>81</v>
      </c>
      <c r="DS46" s="85" t="s">
        <v>81</v>
      </c>
      <c r="DT46" s="85" t="s">
        <v>81</v>
      </c>
      <c r="DU46" s="85" t="s">
        <v>81</v>
      </c>
      <c r="DV46" s="85" t="s">
        <v>81</v>
      </c>
      <c r="DW46" s="85" t="s">
        <v>81</v>
      </c>
      <c r="DX46" s="85" t="s">
        <v>81</v>
      </c>
      <c r="DY46" s="85" t="s">
        <v>81</v>
      </c>
      <c r="DZ46" s="85" t="s">
        <v>81</v>
      </c>
      <c r="EA46" s="85" t="s">
        <v>81</v>
      </c>
      <c r="EB46" s="85" t="s">
        <v>81</v>
      </c>
      <c r="EC46" s="85" t="s">
        <v>81</v>
      </c>
      <c r="ED46" s="85" t="s">
        <v>81</v>
      </c>
      <c r="EE46" s="85" t="s">
        <v>81</v>
      </c>
      <c r="EF46" s="85" t="s">
        <v>81</v>
      </c>
      <c r="EG46" s="85" t="s">
        <v>81</v>
      </c>
      <c r="EH46" s="85" t="s">
        <v>81</v>
      </c>
      <c r="EI46" s="85" t="s">
        <v>81</v>
      </c>
      <c r="EJ46" s="85" t="s">
        <v>81</v>
      </c>
      <c r="EK46" s="85" t="s">
        <v>81</v>
      </c>
      <c r="EL46" s="85" t="s">
        <v>81</v>
      </c>
      <c r="EM46" s="85" t="s">
        <v>81</v>
      </c>
      <c r="EN46" s="85" t="s">
        <v>81</v>
      </c>
      <c r="EO46" s="85" t="s">
        <v>81</v>
      </c>
      <c r="EP46" s="85" t="s">
        <v>81</v>
      </c>
      <c r="EQ46" s="85" t="s">
        <v>81</v>
      </c>
      <c r="ER46" s="85" t="s">
        <v>81</v>
      </c>
      <c r="ES46" s="85" t="s">
        <v>81</v>
      </c>
      <c r="ET46" s="85" t="s">
        <v>81</v>
      </c>
      <c r="EU46" s="85" t="s">
        <v>81</v>
      </c>
      <c r="EV46" s="85" t="s">
        <v>81</v>
      </c>
      <c r="EW46" s="85" t="s">
        <v>81</v>
      </c>
      <c r="EX46" s="85" t="s">
        <v>81</v>
      </c>
      <c r="EY46" s="85" t="s">
        <v>81</v>
      </c>
      <c r="EZ46" s="85" t="s">
        <v>81</v>
      </c>
      <c r="FA46" s="85" t="s">
        <v>81</v>
      </c>
      <c r="FB46" s="85" t="s">
        <v>81</v>
      </c>
      <c r="FC46" s="85" t="s">
        <v>81</v>
      </c>
      <c r="FD46" s="85" t="s">
        <v>81</v>
      </c>
      <c r="FE46" s="85" t="s">
        <v>81</v>
      </c>
      <c r="FF46" s="85" t="s">
        <v>81</v>
      </c>
      <c r="FG46" s="85" t="s">
        <v>81</v>
      </c>
      <c r="FH46" s="85" t="s">
        <v>81</v>
      </c>
      <c r="FI46" s="85" t="s">
        <v>81</v>
      </c>
      <c r="FJ46" s="85" t="s">
        <v>81</v>
      </c>
      <c r="FK46" s="85" t="s">
        <v>81</v>
      </c>
      <c r="FL46" s="85" t="s">
        <v>81</v>
      </c>
      <c r="FM46" s="85" t="s">
        <v>81</v>
      </c>
      <c r="FN46" s="85" t="s">
        <v>81</v>
      </c>
      <c r="FO46" s="85" t="s">
        <v>81</v>
      </c>
      <c r="FP46" s="85" t="s">
        <v>81</v>
      </c>
      <c r="FQ46" s="85" t="s">
        <v>81</v>
      </c>
      <c r="FR46" s="85" t="s">
        <v>81</v>
      </c>
      <c r="FS46" s="85" t="s">
        <v>81</v>
      </c>
      <c r="FT46" s="85" t="s">
        <v>81</v>
      </c>
      <c r="FU46" s="85" t="s">
        <v>81</v>
      </c>
      <c r="FV46" s="85" t="s">
        <v>81</v>
      </c>
      <c r="FW46" s="85" t="s">
        <v>81</v>
      </c>
      <c r="FX46" s="85" t="s">
        <v>81</v>
      </c>
      <c r="FY46" s="85" t="s">
        <v>81</v>
      </c>
      <c r="FZ46" s="85" t="s">
        <v>81</v>
      </c>
      <c r="GA46" s="85" t="s">
        <v>81</v>
      </c>
      <c r="GB46" s="85" t="s">
        <v>81</v>
      </c>
      <c r="GC46" s="85" t="s">
        <v>81</v>
      </c>
      <c r="GD46" s="85" t="s">
        <v>81</v>
      </c>
      <c r="GE46" s="85" t="s">
        <v>81</v>
      </c>
      <c r="GF46" s="85" t="s">
        <v>81</v>
      </c>
      <c r="GG46" s="85" t="s">
        <v>81</v>
      </c>
      <c r="GH46" s="85" t="s">
        <v>81</v>
      </c>
      <c r="GI46" s="85" t="s">
        <v>81</v>
      </c>
      <c r="GJ46" s="85" t="s">
        <v>81</v>
      </c>
      <c r="GK46" s="85" t="s">
        <v>81</v>
      </c>
      <c r="GL46" s="85" t="s">
        <v>81</v>
      </c>
      <c r="GM46" s="85" t="s">
        <v>81</v>
      </c>
      <c r="GN46" s="85" t="s">
        <v>81</v>
      </c>
      <c r="GO46" s="85" t="s">
        <v>81</v>
      </c>
      <c r="GP46" s="85" t="s">
        <v>81</v>
      </c>
      <c r="GQ46" s="85" t="s">
        <v>81</v>
      </c>
      <c r="GR46" s="85" t="s">
        <v>81</v>
      </c>
      <c r="GS46" s="85" t="s">
        <v>81</v>
      </c>
      <c r="GT46" s="85" t="s">
        <v>81</v>
      </c>
      <c r="GU46" s="85" t="s">
        <v>81</v>
      </c>
      <c r="GV46" s="85" t="s">
        <v>81</v>
      </c>
      <c r="GW46" s="85" t="s">
        <v>81</v>
      </c>
      <c r="GX46" s="85" t="s">
        <v>81</v>
      </c>
      <c r="GY46" s="85" t="s">
        <v>81</v>
      </c>
      <c r="GZ46" s="85" t="s">
        <v>81</v>
      </c>
      <c r="HA46" s="85" t="s">
        <v>81</v>
      </c>
      <c r="HB46" s="85" t="s">
        <v>81</v>
      </c>
      <c r="HC46" s="85" t="s">
        <v>81</v>
      </c>
      <c r="HD46" s="85" t="s">
        <v>81</v>
      </c>
      <c r="HE46" s="85" t="s">
        <v>81</v>
      </c>
      <c r="HF46" s="85" t="s">
        <v>81</v>
      </c>
      <c r="HG46" s="85" t="s">
        <v>81</v>
      </c>
      <c r="HH46" s="85" t="s">
        <v>81</v>
      </c>
      <c r="HI46" s="85" t="s">
        <v>81</v>
      </c>
      <c r="HJ46" s="85" t="s">
        <v>81</v>
      </c>
      <c r="HK46" s="85" t="s">
        <v>81</v>
      </c>
      <c r="HL46" s="85" t="s">
        <v>81</v>
      </c>
      <c r="HM46" s="85" t="s">
        <v>81</v>
      </c>
      <c r="HN46" s="85" t="s">
        <v>81</v>
      </c>
      <c r="HO46" s="85" t="s">
        <v>81</v>
      </c>
      <c r="HP46" s="85" t="s">
        <v>81</v>
      </c>
      <c r="HQ46" s="85" t="s">
        <v>81</v>
      </c>
      <c r="HR46" s="85" t="s">
        <v>81</v>
      </c>
      <c r="HS46" s="85" t="s">
        <v>81</v>
      </c>
      <c r="HT46" s="85" t="s">
        <v>81</v>
      </c>
      <c r="HU46" s="85" t="s">
        <v>81</v>
      </c>
      <c r="HV46" s="85" t="s">
        <v>81</v>
      </c>
      <c r="HW46" s="85" t="s">
        <v>81</v>
      </c>
      <c r="HX46" s="85" t="s">
        <v>81</v>
      </c>
      <c r="HY46" s="85" t="s">
        <v>81</v>
      </c>
      <c r="HZ46" s="85" t="s">
        <v>81</v>
      </c>
      <c r="IA46" s="85" t="s">
        <v>81</v>
      </c>
      <c r="IB46" s="85" t="s">
        <v>81</v>
      </c>
      <c r="IC46" s="85" t="s">
        <v>81</v>
      </c>
      <c r="ID46" s="85" t="s">
        <v>81</v>
      </c>
      <c r="IE46" s="85" t="s">
        <v>81</v>
      </c>
      <c r="IF46" s="85" t="s">
        <v>81</v>
      </c>
      <c r="IG46" s="85" t="s">
        <v>81</v>
      </c>
      <c r="IH46" s="85" t="s">
        <v>81</v>
      </c>
      <c r="II46" s="85" t="s">
        <v>81</v>
      </c>
      <c r="IJ46" s="85" t="s">
        <v>81</v>
      </c>
      <c r="IK46" s="85" t="s">
        <v>81</v>
      </c>
      <c r="IL46" s="85" t="s">
        <v>81</v>
      </c>
      <c r="IM46" s="85" t="s">
        <v>81</v>
      </c>
      <c r="IN46" s="85" t="s">
        <v>81</v>
      </c>
      <c r="IO46" s="85" t="s">
        <v>81</v>
      </c>
      <c r="IP46" s="85" t="s">
        <v>81</v>
      </c>
      <c r="IQ46" s="85" t="s">
        <v>81</v>
      </c>
      <c r="IR46" s="85" t="s">
        <v>81</v>
      </c>
      <c r="IS46" s="85" t="s">
        <v>81</v>
      </c>
      <c r="IT46" s="85" t="s">
        <v>81</v>
      </c>
      <c r="IU46" s="85" t="s">
        <v>81</v>
      </c>
      <c r="IV46" s="85" t="s">
        <v>81</v>
      </c>
    </row>
    <row r="47" spans="1:256" ht="12.75" customHeight="1">
      <c r="A47" s="77"/>
      <c r="B47" s="108"/>
      <c r="C47" s="77"/>
      <c r="D47" s="77"/>
      <c r="E47" s="85" t="s">
        <v>84</v>
      </c>
      <c r="F47" s="106">
        <v>426.6</v>
      </c>
      <c r="G47" s="85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7" ht="12.75" customHeight="1">
      <c r="A48" s="21"/>
      <c r="B48" s="28"/>
      <c r="C48" s="21"/>
      <c r="D48" s="21"/>
      <c r="E48" s="85" t="s">
        <v>202</v>
      </c>
      <c r="F48" s="109">
        <v>1264.35</v>
      </c>
      <c r="G48" s="33"/>
    </row>
    <row r="49" spans="1:7" ht="12.75" customHeight="1">
      <c r="A49" s="21"/>
      <c r="B49" s="28"/>
      <c r="C49" s="21"/>
      <c r="D49" s="21"/>
      <c r="E49" s="85" t="s">
        <v>210</v>
      </c>
      <c r="F49" s="109">
        <v>486.23</v>
      </c>
      <c r="G49" s="33"/>
    </row>
    <row r="50" spans="1:7" ht="12.75" customHeight="1">
      <c r="A50" s="21"/>
      <c r="B50" s="28"/>
      <c r="C50" s="21"/>
      <c r="D50" s="21"/>
      <c r="E50" s="85" t="s">
        <v>218</v>
      </c>
      <c r="F50" s="109">
        <v>542.32</v>
      </c>
      <c r="G50" s="33"/>
    </row>
    <row r="51" spans="1:7" ht="12.75" customHeight="1">
      <c r="A51" s="21"/>
      <c r="B51" s="28"/>
      <c r="C51" s="21"/>
      <c r="D51" s="21"/>
      <c r="E51" s="85" t="s">
        <v>120</v>
      </c>
      <c r="F51" s="109">
        <v>95641.15</v>
      </c>
      <c r="G51" s="33"/>
    </row>
    <row r="52" spans="1:7" ht="12.75" customHeight="1">
      <c r="A52" s="21"/>
      <c r="B52" s="28"/>
      <c r="C52" s="21"/>
      <c r="D52" s="21"/>
      <c r="E52" s="85" t="s">
        <v>187</v>
      </c>
      <c r="F52" s="109">
        <f>88334.2+29033.33</f>
        <v>117367.53</v>
      </c>
      <c r="G52" s="33"/>
    </row>
    <row r="53" spans="1:7" ht="12.75" customHeight="1">
      <c r="A53" s="21"/>
      <c r="B53" s="28"/>
      <c r="C53" s="21"/>
      <c r="D53" s="21"/>
      <c r="E53" s="85" t="s">
        <v>188</v>
      </c>
      <c r="F53" s="109">
        <v>36945.97</v>
      </c>
      <c r="G53" s="33"/>
    </row>
    <row r="54" spans="1:7" ht="12.75" customHeight="1">
      <c r="A54" s="21"/>
      <c r="B54" s="28"/>
      <c r="C54" s="21"/>
      <c r="D54" s="21"/>
      <c r="E54" s="85" t="s">
        <v>121</v>
      </c>
      <c r="F54" s="109">
        <v>57005.68</v>
      </c>
      <c r="G54" s="33"/>
    </row>
    <row r="55" spans="1:7" ht="12.75" customHeight="1">
      <c r="A55" s="21"/>
      <c r="B55" s="28"/>
      <c r="C55" s="21"/>
      <c r="D55" s="21"/>
      <c r="E55" s="85" t="s">
        <v>70</v>
      </c>
      <c r="F55" s="109">
        <v>49806.24</v>
      </c>
      <c r="G55" s="33"/>
    </row>
    <row r="56" spans="1:7" ht="12.75" customHeight="1">
      <c r="A56" s="21"/>
      <c r="B56" s="28"/>
      <c r="C56" s="21"/>
      <c r="D56" s="21"/>
      <c r="E56" s="85" t="s">
        <v>136</v>
      </c>
      <c r="F56" s="110">
        <v>8208.06</v>
      </c>
      <c r="G56" s="111"/>
    </row>
    <row r="57" spans="1:7" ht="12.75" customHeight="1">
      <c r="A57" s="21"/>
      <c r="B57" s="28"/>
      <c r="C57" s="21"/>
      <c r="D57" s="21"/>
      <c r="E57" s="39"/>
      <c r="F57" s="62"/>
      <c r="G57" s="111"/>
    </row>
    <row r="58" spans="1:7" ht="12.75" customHeight="1">
      <c r="A58" s="21"/>
      <c r="B58" s="28"/>
      <c r="C58" s="79" t="s">
        <v>20</v>
      </c>
      <c r="D58" s="21"/>
      <c r="E58" s="38"/>
      <c r="F58" s="64">
        <f>SUM(F59:F60)</f>
        <v>1106.76</v>
      </c>
      <c r="G58" s="33"/>
    </row>
    <row r="59" spans="1:7" ht="12.75" customHeight="1">
      <c r="A59" s="21"/>
      <c r="B59" s="28"/>
      <c r="C59" s="21"/>
      <c r="D59" s="21"/>
      <c r="E59" s="39" t="s">
        <v>122</v>
      </c>
      <c r="F59" s="87">
        <v>1106.76</v>
      </c>
      <c r="G59" s="33"/>
    </row>
    <row r="60" spans="1:7" ht="12.75" customHeight="1">
      <c r="A60" s="21"/>
      <c r="B60" s="28"/>
      <c r="C60" s="21"/>
      <c r="D60" s="21"/>
      <c r="E60" s="39"/>
      <c r="F60" s="67"/>
      <c r="G60" s="33"/>
    </row>
    <row r="61" spans="1:7" ht="12.75" customHeight="1">
      <c r="A61" s="21"/>
      <c r="B61" s="28"/>
      <c r="C61" s="21"/>
      <c r="D61" s="21"/>
      <c r="E61" s="39"/>
      <c r="F61" s="61"/>
      <c r="G61" s="33"/>
    </row>
    <row r="62" spans="1:7" ht="12.75" customHeight="1">
      <c r="A62" s="21"/>
      <c r="B62" s="28"/>
      <c r="C62" s="79" t="s">
        <v>21</v>
      </c>
      <c r="D62" s="21"/>
      <c r="E62" s="38"/>
      <c r="F62" s="65">
        <f>SUM(F63:F67)</f>
        <v>131913.41</v>
      </c>
      <c r="G62" s="33"/>
    </row>
    <row r="63" spans="1:7" ht="12.75" customHeight="1">
      <c r="A63" s="21"/>
      <c r="B63" s="28"/>
      <c r="D63" s="92" t="s">
        <v>22</v>
      </c>
      <c r="E63" s="41"/>
      <c r="F63" s="90">
        <f>82374.55+2820.41+10571.36+10658.24</f>
        <v>106424.56000000001</v>
      </c>
      <c r="G63" s="33"/>
    </row>
    <row r="64" spans="1:7" ht="12.75" customHeight="1">
      <c r="A64" s="21"/>
      <c r="B64" s="28"/>
      <c r="D64" s="92" t="s">
        <v>23</v>
      </c>
      <c r="E64" s="41"/>
      <c r="F64" s="87">
        <f>9089.98+1934.26+839.49+2515.99+2664.56</f>
        <v>17044.28</v>
      </c>
      <c r="G64" s="33"/>
    </row>
    <row r="65" spans="1:7" ht="12.75" customHeight="1">
      <c r="A65" s="21"/>
      <c r="B65" s="28"/>
      <c r="D65" s="92" t="s">
        <v>24</v>
      </c>
      <c r="E65" s="41"/>
      <c r="F65" s="87">
        <v>8444.57</v>
      </c>
      <c r="G65" s="33"/>
    </row>
    <row r="66" spans="1:7" ht="12.75" customHeight="1">
      <c r="A66" s="21"/>
      <c r="B66" s="28"/>
      <c r="D66" s="92" t="s">
        <v>25</v>
      </c>
      <c r="E66" s="41"/>
      <c r="F66" s="87">
        <v>0</v>
      </c>
      <c r="G66" s="33"/>
    </row>
    <row r="67" spans="1:7" ht="12.75" customHeight="1">
      <c r="A67" s="21"/>
      <c r="B67" s="28"/>
      <c r="D67" s="92" t="s">
        <v>26</v>
      </c>
      <c r="E67" s="41"/>
      <c r="F67" s="87">
        <v>0</v>
      </c>
      <c r="G67" s="33"/>
    </row>
    <row r="68" spans="1:7" ht="12.75" customHeight="1">
      <c r="A68" s="21"/>
      <c r="B68" s="28"/>
      <c r="D68" s="40"/>
      <c r="E68" s="41"/>
      <c r="F68" s="61"/>
      <c r="G68" s="33"/>
    </row>
    <row r="69" spans="1:7" ht="12.75" customHeight="1">
      <c r="A69" s="21"/>
      <c r="B69" s="28"/>
      <c r="C69" s="79" t="s">
        <v>27</v>
      </c>
      <c r="D69" s="21"/>
      <c r="E69" s="38"/>
      <c r="F69" s="65">
        <f>SUM(F70:F74)</f>
        <v>3602.6099999999997</v>
      </c>
      <c r="G69" s="33"/>
    </row>
    <row r="70" spans="1:7" ht="12.75" customHeight="1">
      <c r="A70" s="21"/>
      <c r="B70" s="28"/>
      <c r="C70" s="21"/>
      <c r="D70" s="92" t="s">
        <v>28</v>
      </c>
      <c r="E70" s="41"/>
      <c r="F70" s="90">
        <v>2950.64</v>
      </c>
      <c r="G70" s="33"/>
    </row>
    <row r="71" spans="1:7" ht="12.75" customHeight="1">
      <c r="A71" s="21"/>
      <c r="B71" s="28"/>
      <c r="D71" s="92" t="s">
        <v>29</v>
      </c>
      <c r="E71" s="42"/>
      <c r="F71" s="87">
        <v>651.97</v>
      </c>
      <c r="G71" s="33"/>
    </row>
    <row r="72" spans="1:7" ht="12.75" customHeight="1">
      <c r="A72" s="21"/>
      <c r="B72" s="28"/>
      <c r="D72" s="92" t="s">
        <v>31</v>
      </c>
      <c r="E72" s="41"/>
      <c r="F72" s="87">
        <v>0</v>
      </c>
      <c r="G72" s="33"/>
    </row>
    <row r="73" spans="1:7" ht="12.75" customHeight="1">
      <c r="A73" s="21"/>
      <c r="B73" s="28"/>
      <c r="D73" s="92" t="s">
        <v>32</v>
      </c>
      <c r="E73" s="41"/>
      <c r="F73" s="87"/>
      <c r="G73" s="33"/>
    </row>
    <row r="74" spans="1:7" ht="12.75" customHeight="1">
      <c r="A74" s="21"/>
      <c r="B74" s="28"/>
      <c r="D74" s="40"/>
      <c r="E74" s="93" t="s">
        <v>33</v>
      </c>
      <c r="F74" s="87">
        <v>0</v>
      </c>
      <c r="G74" s="33"/>
    </row>
    <row r="75" spans="1:7" ht="12.75" customHeight="1">
      <c r="A75" s="21"/>
      <c r="B75" s="28"/>
      <c r="D75" s="40"/>
      <c r="E75" s="42"/>
      <c r="F75" s="62"/>
      <c r="G75" s="33"/>
    </row>
    <row r="76" spans="1:7" ht="12.75" customHeight="1">
      <c r="A76" s="21"/>
      <c r="B76" s="28"/>
      <c r="C76" s="79" t="s">
        <v>34</v>
      </c>
      <c r="D76" s="21"/>
      <c r="E76" s="38"/>
      <c r="F76" s="59"/>
      <c r="G76" s="33"/>
    </row>
    <row r="77" spans="1:7" ht="12.75" customHeight="1">
      <c r="A77" s="21"/>
      <c r="B77" s="28"/>
      <c r="D77" s="21"/>
      <c r="E77" s="94" t="s">
        <v>35</v>
      </c>
      <c r="F77" s="66">
        <v>0</v>
      </c>
      <c r="G77" s="33"/>
    </row>
    <row r="78" spans="1:7" ht="12.75" customHeight="1">
      <c r="A78" s="21"/>
      <c r="B78" s="28"/>
      <c r="D78" s="21"/>
      <c r="E78" s="43"/>
      <c r="F78" s="59"/>
      <c r="G78" s="33"/>
    </row>
    <row r="79" spans="1:7" ht="12.75" customHeight="1">
      <c r="A79" s="21"/>
      <c r="B79" s="28"/>
      <c r="C79" s="79" t="s">
        <v>36</v>
      </c>
      <c r="D79" s="21"/>
      <c r="E79" s="38"/>
      <c r="F79" s="66">
        <v>0</v>
      </c>
      <c r="G79" s="33"/>
    </row>
    <row r="80" spans="1:7" ht="12.75" customHeight="1">
      <c r="A80" s="21"/>
      <c r="B80" s="28"/>
      <c r="C80" s="21"/>
      <c r="D80" s="21"/>
      <c r="E80" s="38"/>
      <c r="F80" s="59"/>
      <c r="G80" s="33"/>
    </row>
    <row r="81" spans="1:7" ht="12.75" customHeight="1">
      <c r="A81" s="21"/>
      <c r="B81" s="28"/>
      <c r="C81" s="79" t="s">
        <v>37</v>
      </c>
      <c r="D81" s="21"/>
      <c r="E81" s="38"/>
      <c r="F81" s="66">
        <v>0</v>
      </c>
      <c r="G81" s="33"/>
    </row>
    <row r="82" spans="1:7" ht="12.75" customHeight="1">
      <c r="A82" s="21"/>
      <c r="B82" s="28"/>
      <c r="C82" s="21"/>
      <c r="D82" s="21"/>
      <c r="E82" s="38"/>
      <c r="F82" s="59"/>
      <c r="G82" s="33"/>
    </row>
    <row r="83" spans="1:7" ht="12.75" customHeight="1">
      <c r="A83" s="21"/>
      <c r="B83" s="28"/>
      <c r="C83" s="79" t="s">
        <v>38</v>
      </c>
      <c r="D83" s="21"/>
      <c r="E83" s="38"/>
      <c r="F83" s="66">
        <f>SUM(F84:F85)</f>
        <v>2199.85</v>
      </c>
      <c r="G83" s="33"/>
    </row>
    <row r="84" spans="1:7" ht="12.75" customHeight="1">
      <c r="A84" s="21"/>
      <c r="B84" s="28"/>
      <c r="C84" s="79"/>
      <c r="D84" s="21"/>
      <c r="E84" s="38" t="s">
        <v>123</v>
      </c>
      <c r="F84" s="81">
        <v>1437.29</v>
      </c>
      <c r="G84" s="33"/>
    </row>
    <row r="85" spans="1:7" ht="12.75" customHeight="1">
      <c r="A85" s="21"/>
      <c r="B85" s="28"/>
      <c r="C85" s="79"/>
      <c r="D85" s="21"/>
      <c r="E85" s="38" t="s">
        <v>125</v>
      </c>
      <c r="F85" s="81">
        <v>762.56</v>
      </c>
      <c r="G85" s="33"/>
    </row>
    <row r="86" spans="1:7" ht="12.75" customHeight="1">
      <c r="A86" s="21"/>
      <c r="B86" s="28"/>
      <c r="C86" s="21"/>
      <c r="D86" s="21"/>
      <c r="E86" s="43"/>
      <c r="F86" s="59" t="s">
        <v>0</v>
      </c>
      <c r="G86" s="33"/>
    </row>
    <row r="87" spans="1:9" ht="16.5" customHeight="1">
      <c r="A87" s="44"/>
      <c r="B87" s="75" t="s">
        <v>39</v>
      </c>
      <c r="C87" s="45"/>
      <c r="D87" s="45"/>
      <c r="E87" s="39"/>
      <c r="F87" s="59" t="s">
        <v>0</v>
      </c>
      <c r="G87" s="98">
        <f>SUM(G19:G83)</f>
        <v>22672.63000000012</v>
      </c>
      <c r="I87" s="70"/>
    </row>
    <row r="88" spans="1:7" ht="12.75" customHeight="1">
      <c r="A88" s="21"/>
      <c r="B88" s="97" t="s">
        <v>40</v>
      </c>
      <c r="C88" s="21"/>
      <c r="D88" s="21"/>
      <c r="E88" s="43"/>
      <c r="F88" s="59" t="s">
        <v>0</v>
      </c>
      <c r="G88" s="46"/>
    </row>
    <row r="89" spans="2:7" ht="12" customHeight="1">
      <c r="B89" s="47"/>
      <c r="E89" s="38"/>
      <c r="F89" s="59" t="s">
        <v>0</v>
      </c>
      <c r="G89" s="46"/>
    </row>
    <row r="90" spans="2:7" ht="16.5" customHeight="1">
      <c r="B90" s="75" t="s">
        <v>52</v>
      </c>
      <c r="C90" s="35"/>
      <c r="D90" s="35"/>
      <c r="E90" s="48"/>
      <c r="F90" s="60"/>
      <c r="G90" s="98">
        <f>SUM(F92:F94)</f>
        <v>0</v>
      </c>
    </row>
    <row r="91" spans="2:7" ht="12">
      <c r="B91" s="47"/>
      <c r="E91" s="38"/>
      <c r="F91" s="59"/>
      <c r="G91" s="46"/>
    </row>
    <row r="92" spans="2:7" ht="15">
      <c r="B92" s="28"/>
      <c r="C92" s="79" t="s">
        <v>49</v>
      </c>
      <c r="D92" s="21"/>
      <c r="E92" s="38"/>
      <c r="F92" s="64">
        <v>0</v>
      </c>
      <c r="G92" s="46"/>
    </row>
    <row r="93" spans="2:7" ht="15">
      <c r="B93" s="47"/>
      <c r="C93" s="79" t="s">
        <v>50</v>
      </c>
      <c r="E93" s="38"/>
      <c r="F93" s="71">
        <v>0</v>
      </c>
      <c r="G93" s="46"/>
    </row>
    <row r="94" spans="2:7" ht="15">
      <c r="B94" s="47"/>
      <c r="C94" s="79" t="s">
        <v>51</v>
      </c>
      <c r="E94" s="38"/>
      <c r="F94" s="66">
        <v>0</v>
      </c>
      <c r="G94" s="46"/>
    </row>
    <row r="95" spans="2:7" ht="12">
      <c r="B95" s="47"/>
      <c r="E95" s="38"/>
      <c r="F95" s="59"/>
      <c r="G95" s="46"/>
    </row>
    <row r="96" spans="2:7" ht="18">
      <c r="B96" s="75" t="s">
        <v>75</v>
      </c>
      <c r="C96" s="35"/>
      <c r="D96" s="35"/>
      <c r="E96" s="48"/>
      <c r="F96" s="69">
        <v>0</v>
      </c>
      <c r="G96" s="99">
        <v>0</v>
      </c>
    </row>
    <row r="97" spans="2:7" ht="12">
      <c r="B97" s="47"/>
      <c r="E97" s="38"/>
      <c r="F97" s="59"/>
      <c r="G97" s="46"/>
    </row>
    <row r="98" spans="2:7" ht="18">
      <c r="B98" s="75" t="s">
        <v>76</v>
      </c>
      <c r="C98" s="35"/>
      <c r="D98" s="35"/>
      <c r="E98" s="48"/>
      <c r="F98" s="60"/>
      <c r="G98" s="98">
        <f>F100-F101</f>
        <v>0</v>
      </c>
    </row>
    <row r="99" spans="2:7" ht="12">
      <c r="B99" s="47"/>
      <c r="E99" s="38"/>
      <c r="F99" s="59"/>
      <c r="G99" s="46"/>
    </row>
    <row r="100" spans="2:7" ht="14.25">
      <c r="B100" s="47"/>
      <c r="C100" s="79" t="s">
        <v>53</v>
      </c>
      <c r="E100" s="38"/>
      <c r="F100" s="68">
        <v>0</v>
      </c>
      <c r="G100" s="46"/>
    </row>
    <row r="101" spans="2:7" ht="14.25">
      <c r="B101" s="47"/>
      <c r="C101" s="79" t="s">
        <v>54</v>
      </c>
      <c r="E101" s="38"/>
      <c r="F101" s="68">
        <v>0</v>
      </c>
      <c r="G101" s="46"/>
    </row>
    <row r="102" spans="2:7" ht="12">
      <c r="B102" s="47"/>
      <c r="E102" s="38"/>
      <c r="F102" s="59"/>
      <c r="G102" s="46"/>
    </row>
    <row r="103" spans="2:7" ht="12">
      <c r="B103" s="47"/>
      <c r="E103" s="38"/>
      <c r="F103" s="59"/>
      <c r="G103" s="46"/>
    </row>
    <row r="104" spans="2:9" ht="18">
      <c r="B104" s="31"/>
      <c r="E104" s="100" t="s">
        <v>55</v>
      </c>
      <c r="F104" s="59"/>
      <c r="G104" s="101">
        <f>G87+G90+G96+G98</f>
        <v>22672.63000000012</v>
      </c>
      <c r="I104" s="70"/>
    </row>
    <row r="105" spans="2:7" ht="12">
      <c r="B105" s="49"/>
      <c r="C105" s="50"/>
      <c r="D105" s="50"/>
      <c r="E105" s="51"/>
      <c r="F105" s="52"/>
      <c r="G105" s="53"/>
    </row>
    <row r="110" spans="5:7" ht="15.75">
      <c r="E110" s="103" t="s">
        <v>110</v>
      </c>
      <c r="G110" s="107">
        <f>773348.29*6.49/100</f>
        <v>50190.304021</v>
      </c>
    </row>
    <row r="112" spans="5:7" ht="15.75">
      <c r="E112" s="103" t="s">
        <v>111</v>
      </c>
      <c r="G112" s="107">
        <f>-886714.22*6.49/100-0.39</f>
        <v>-57548.142878</v>
      </c>
    </row>
    <row r="114" spans="5:7" ht="18">
      <c r="E114" s="103" t="s">
        <v>104</v>
      </c>
      <c r="G114" s="104">
        <f>G104+G110+G112</f>
        <v>15314.791143000126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scale="91" r:id="rId1"/>
  <rowBreaks count="1" manualBreakCount="1">
    <brk id="77" max="255" man="1"/>
  </rowBreaks>
  <ignoredErrors>
    <ignoredError sqref="G113:G114 G1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A85">
      <selection activeCell="G102" sqref="G102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126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142593.63999999998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60755.18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127</v>
      </c>
      <c r="F21" s="80">
        <f>4009.92+56745.26</f>
        <v>60755.18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SUM(F28:F29)</f>
        <v>81838.45999999999</v>
      </c>
      <c r="G27" s="33"/>
    </row>
    <row r="28" spans="1:7" ht="12.75" customHeight="1">
      <c r="A28" s="21"/>
      <c r="B28" s="28"/>
      <c r="C28" s="76"/>
      <c r="D28" s="76" t="s">
        <v>30</v>
      </c>
      <c r="E28" s="77" t="s">
        <v>128</v>
      </c>
      <c r="F28" s="80">
        <v>81430.04</v>
      </c>
      <c r="G28" s="33"/>
    </row>
    <row r="29" spans="1:7" ht="12.75" customHeight="1">
      <c r="A29" s="21"/>
      <c r="B29" s="28"/>
      <c r="C29" s="76"/>
      <c r="D29" s="78" t="s">
        <v>30</v>
      </c>
      <c r="E29" s="77" t="s">
        <v>44</v>
      </c>
      <c r="F29" s="80">
        <f>333.04+75.38</f>
        <v>408.42</v>
      </c>
      <c r="G29" s="34"/>
    </row>
    <row r="30" spans="1:7" ht="12.75" customHeight="1">
      <c r="A30" s="21"/>
      <c r="B30" s="28"/>
      <c r="C30" s="21"/>
      <c r="D30" s="21"/>
      <c r="E30" s="21"/>
      <c r="F30" s="59"/>
      <c r="G30" s="33"/>
    </row>
    <row r="31" spans="1:7" s="37" customFormat="1" ht="15.75" customHeight="1">
      <c r="A31" s="35"/>
      <c r="B31" s="75" t="s">
        <v>16</v>
      </c>
      <c r="C31" s="35"/>
      <c r="D31" s="35"/>
      <c r="E31" s="36"/>
      <c r="F31" s="60"/>
      <c r="G31" s="84">
        <f>-(F33+F38+F47+F51+F58+F66+F68+F70+F72)</f>
        <v>-154578.65</v>
      </c>
    </row>
    <row r="32" spans="1:7" ht="12.75" customHeight="1">
      <c r="A32" s="21"/>
      <c r="B32" s="28"/>
      <c r="C32" s="79" t="s">
        <v>17</v>
      </c>
      <c r="D32" s="21"/>
      <c r="F32" s="59" t="s">
        <v>0</v>
      </c>
      <c r="G32" s="33"/>
    </row>
    <row r="33" spans="1:7" ht="12.75" customHeight="1">
      <c r="A33" s="21"/>
      <c r="B33" s="28"/>
      <c r="D33" s="79" t="s">
        <v>18</v>
      </c>
      <c r="E33" s="38"/>
      <c r="F33" s="65">
        <f>SUM(F34:F36)</f>
        <v>2723.13</v>
      </c>
      <c r="G33" s="33"/>
    </row>
    <row r="34" spans="1:7" ht="12.75" customHeight="1">
      <c r="A34" s="21"/>
      <c r="B34" s="28"/>
      <c r="D34" s="21"/>
      <c r="E34" s="85" t="s">
        <v>108</v>
      </c>
      <c r="F34" s="87">
        <f>306.34+333.88+470.32</f>
        <v>1110.54</v>
      </c>
      <c r="G34" s="33"/>
    </row>
    <row r="35" spans="1:7" ht="12.75" customHeight="1">
      <c r="A35" s="21"/>
      <c r="B35" s="28"/>
      <c r="D35" s="21"/>
      <c r="E35" s="85" t="s">
        <v>109</v>
      </c>
      <c r="F35" s="96">
        <v>1612.59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SUM(F39:F45)</f>
        <v>12587.97</v>
      </c>
      <c r="G38" s="33"/>
    </row>
    <row r="39" spans="1:7" ht="12.75" customHeight="1">
      <c r="A39" s="21"/>
      <c r="B39" s="28"/>
      <c r="C39" s="79"/>
      <c r="D39" s="21"/>
      <c r="E39" s="38" t="s">
        <v>189</v>
      </c>
      <c r="F39" s="86">
        <v>5587.6</v>
      </c>
      <c r="G39" s="33"/>
    </row>
    <row r="40" spans="1:7" ht="12.75" customHeight="1">
      <c r="A40" s="21"/>
      <c r="B40" s="28"/>
      <c r="C40" s="79"/>
      <c r="D40" s="21"/>
      <c r="E40" s="38" t="s">
        <v>78</v>
      </c>
      <c r="F40" s="86">
        <v>1799.07</v>
      </c>
      <c r="G40" s="33"/>
    </row>
    <row r="41" spans="1:7" ht="12.75" customHeight="1">
      <c r="A41" s="21"/>
      <c r="B41" s="28"/>
      <c r="C41" s="79"/>
      <c r="D41" s="21"/>
      <c r="E41" s="38" t="s">
        <v>79</v>
      </c>
      <c r="F41" s="86">
        <f>302.48+97.84</f>
        <v>400.32000000000005</v>
      </c>
      <c r="G41" s="33"/>
    </row>
    <row r="42" spans="1:256" ht="12.75" customHeight="1">
      <c r="A42" s="85"/>
      <c r="B42" s="77"/>
      <c r="C42" s="77"/>
      <c r="D42" s="77"/>
      <c r="E42" s="85" t="s">
        <v>119</v>
      </c>
      <c r="F42" s="105">
        <v>679.81</v>
      </c>
      <c r="G42" s="85"/>
      <c r="H42" s="77"/>
      <c r="I42" s="77"/>
      <c r="J42" s="77"/>
      <c r="K42" s="77"/>
      <c r="L42" s="77"/>
      <c r="M42" s="77"/>
      <c r="N42" s="77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 t="s">
        <v>81</v>
      </c>
      <c r="BE42" s="85" t="s">
        <v>81</v>
      </c>
      <c r="BF42" s="85" t="s">
        <v>81</v>
      </c>
      <c r="BG42" s="85" t="s">
        <v>81</v>
      </c>
      <c r="BH42" s="85" t="s">
        <v>81</v>
      </c>
      <c r="BI42" s="85" t="s">
        <v>81</v>
      </c>
      <c r="BJ42" s="85" t="s">
        <v>81</v>
      </c>
      <c r="BK42" s="85" t="s">
        <v>81</v>
      </c>
      <c r="BL42" s="85" t="s">
        <v>81</v>
      </c>
      <c r="BM42" s="85" t="s">
        <v>81</v>
      </c>
      <c r="BN42" s="85" t="s">
        <v>81</v>
      </c>
      <c r="BO42" s="85" t="s">
        <v>81</v>
      </c>
      <c r="BP42" s="85" t="s">
        <v>81</v>
      </c>
      <c r="BQ42" s="85" t="s">
        <v>81</v>
      </c>
      <c r="BR42" s="85" t="s">
        <v>81</v>
      </c>
      <c r="BS42" s="85" t="s">
        <v>81</v>
      </c>
      <c r="BT42" s="85" t="s">
        <v>81</v>
      </c>
      <c r="BU42" s="85" t="s">
        <v>81</v>
      </c>
      <c r="BV42" s="85" t="s">
        <v>81</v>
      </c>
      <c r="BW42" s="85" t="s">
        <v>81</v>
      </c>
      <c r="BX42" s="85" t="s">
        <v>81</v>
      </c>
      <c r="BY42" s="85" t="s">
        <v>81</v>
      </c>
      <c r="BZ42" s="85" t="s">
        <v>81</v>
      </c>
      <c r="CA42" s="85" t="s">
        <v>81</v>
      </c>
      <c r="CB42" s="85" t="s">
        <v>81</v>
      </c>
      <c r="CC42" s="85" t="s">
        <v>81</v>
      </c>
      <c r="CD42" s="85" t="s">
        <v>81</v>
      </c>
      <c r="CE42" s="85" t="s">
        <v>81</v>
      </c>
      <c r="CF42" s="85" t="s">
        <v>81</v>
      </c>
      <c r="CG42" s="85" t="s">
        <v>81</v>
      </c>
      <c r="CH42" s="85" t="s">
        <v>81</v>
      </c>
      <c r="CI42" s="85" t="s">
        <v>81</v>
      </c>
      <c r="CJ42" s="85" t="s">
        <v>81</v>
      </c>
      <c r="CK42" s="85" t="s">
        <v>81</v>
      </c>
      <c r="CL42" s="85" t="s">
        <v>81</v>
      </c>
      <c r="CM42" s="85" t="s">
        <v>81</v>
      </c>
      <c r="CN42" s="85" t="s">
        <v>81</v>
      </c>
      <c r="CO42" s="85" t="s">
        <v>81</v>
      </c>
      <c r="CP42" s="85" t="s">
        <v>81</v>
      </c>
      <c r="CQ42" s="85" t="s">
        <v>81</v>
      </c>
      <c r="CR42" s="85" t="s">
        <v>81</v>
      </c>
      <c r="CS42" s="85" t="s">
        <v>81</v>
      </c>
      <c r="CT42" s="85" t="s">
        <v>81</v>
      </c>
      <c r="CU42" s="85" t="s">
        <v>81</v>
      </c>
      <c r="CV42" s="85" t="s">
        <v>81</v>
      </c>
      <c r="CW42" s="85" t="s">
        <v>81</v>
      </c>
      <c r="CX42" s="85" t="s">
        <v>81</v>
      </c>
      <c r="CY42" s="85" t="s">
        <v>81</v>
      </c>
      <c r="CZ42" s="85" t="s">
        <v>81</v>
      </c>
      <c r="DA42" s="85" t="s">
        <v>81</v>
      </c>
      <c r="DB42" s="85" t="s">
        <v>81</v>
      </c>
      <c r="DC42" s="85" t="s">
        <v>81</v>
      </c>
      <c r="DD42" s="85" t="s">
        <v>81</v>
      </c>
      <c r="DE42" s="85" t="s">
        <v>81</v>
      </c>
      <c r="DF42" s="85" t="s">
        <v>81</v>
      </c>
      <c r="DG42" s="85" t="s">
        <v>81</v>
      </c>
      <c r="DH42" s="85" t="s">
        <v>81</v>
      </c>
      <c r="DI42" s="85" t="s">
        <v>81</v>
      </c>
      <c r="DJ42" s="85" t="s">
        <v>81</v>
      </c>
      <c r="DK42" s="85" t="s">
        <v>81</v>
      </c>
      <c r="DL42" s="85" t="s">
        <v>81</v>
      </c>
      <c r="DM42" s="85" t="s">
        <v>81</v>
      </c>
      <c r="DN42" s="85" t="s">
        <v>81</v>
      </c>
      <c r="DO42" s="85" t="s">
        <v>81</v>
      </c>
      <c r="DP42" s="85" t="s">
        <v>81</v>
      </c>
      <c r="DQ42" s="85" t="s">
        <v>81</v>
      </c>
      <c r="DR42" s="85" t="s">
        <v>81</v>
      </c>
      <c r="DS42" s="85" t="s">
        <v>81</v>
      </c>
      <c r="DT42" s="85" t="s">
        <v>81</v>
      </c>
      <c r="DU42" s="85" t="s">
        <v>81</v>
      </c>
      <c r="DV42" s="85" t="s">
        <v>81</v>
      </c>
      <c r="DW42" s="85" t="s">
        <v>81</v>
      </c>
      <c r="DX42" s="85" t="s">
        <v>81</v>
      </c>
      <c r="DY42" s="85" t="s">
        <v>81</v>
      </c>
      <c r="DZ42" s="85" t="s">
        <v>81</v>
      </c>
      <c r="EA42" s="85" t="s">
        <v>81</v>
      </c>
      <c r="EB42" s="85" t="s">
        <v>81</v>
      </c>
      <c r="EC42" s="85" t="s">
        <v>81</v>
      </c>
      <c r="ED42" s="85" t="s">
        <v>81</v>
      </c>
      <c r="EE42" s="85" t="s">
        <v>81</v>
      </c>
      <c r="EF42" s="85" t="s">
        <v>81</v>
      </c>
      <c r="EG42" s="85" t="s">
        <v>81</v>
      </c>
      <c r="EH42" s="85" t="s">
        <v>81</v>
      </c>
      <c r="EI42" s="85" t="s">
        <v>81</v>
      </c>
      <c r="EJ42" s="85" t="s">
        <v>81</v>
      </c>
      <c r="EK42" s="85" t="s">
        <v>81</v>
      </c>
      <c r="EL42" s="85" t="s">
        <v>81</v>
      </c>
      <c r="EM42" s="85" t="s">
        <v>81</v>
      </c>
      <c r="EN42" s="85" t="s">
        <v>81</v>
      </c>
      <c r="EO42" s="85" t="s">
        <v>81</v>
      </c>
      <c r="EP42" s="85" t="s">
        <v>81</v>
      </c>
      <c r="EQ42" s="85" t="s">
        <v>81</v>
      </c>
      <c r="ER42" s="85" t="s">
        <v>81</v>
      </c>
      <c r="ES42" s="85" t="s">
        <v>81</v>
      </c>
      <c r="ET42" s="85" t="s">
        <v>81</v>
      </c>
      <c r="EU42" s="85" t="s">
        <v>81</v>
      </c>
      <c r="EV42" s="85" t="s">
        <v>81</v>
      </c>
      <c r="EW42" s="85" t="s">
        <v>81</v>
      </c>
      <c r="EX42" s="85" t="s">
        <v>81</v>
      </c>
      <c r="EY42" s="85" t="s">
        <v>81</v>
      </c>
      <c r="EZ42" s="85" t="s">
        <v>81</v>
      </c>
      <c r="FA42" s="85" t="s">
        <v>81</v>
      </c>
      <c r="FB42" s="85" t="s">
        <v>81</v>
      </c>
      <c r="FC42" s="85" t="s">
        <v>81</v>
      </c>
      <c r="FD42" s="85" t="s">
        <v>81</v>
      </c>
      <c r="FE42" s="85" t="s">
        <v>81</v>
      </c>
      <c r="FF42" s="85" t="s">
        <v>81</v>
      </c>
      <c r="FG42" s="85" t="s">
        <v>81</v>
      </c>
      <c r="FH42" s="85" t="s">
        <v>81</v>
      </c>
      <c r="FI42" s="85" t="s">
        <v>81</v>
      </c>
      <c r="FJ42" s="85" t="s">
        <v>81</v>
      </c>
      <c r="FK42" s="85" t="s">
        <v>81</v>
      </c>
      <c r="FL42" s="85" t="s">
        <v>81</v>
      </c>
      <c r="FM42" s="85" t="s">
        <v>81</v>
      </c>
      <c r="FN42" s="85" t="s">
        <v>81</v>
      </c>
      <c r="FO42" s="85" t="s">
        <v>81</v>
      </c>
      <c r="FP42" s="85" t="s">
        <v>81</v>
      </c>
      <c r="FQ42" s="85" t="s">
        <v>81</v>
      </c>
      <c r="FR42" s="85" t="s">
        <v>81</v>
      </c>
      <c r="FS42" s="85" t="s">
        <v>81</v>
      </c>
      <c r="FT42" s="85" t="s">
        <v>81</v>
      </c>
      <c r="FU42" s="85" t="s">
        <v>81</v>
      </c>
      <c r="FV42" s="85" t="s">
        <v>81</v>
      </c>
      <c r="FW42" s="85" t="s">
        <v>81</v>
      </c>
      <c r="FX42" s="85" t="s">
        <v>81</v>
      </c>
      <c r="FY42" s="85" t="s">
        <v>81</v>
      </c>
      <c r="FZ42" s="85" t="s">
        <v>81</v>
      </c>
      <c r="GA42" s="85" t="s">
        <v>81</v>
      </c>
      <c r="GB42" s="85" t="s">
        <v>81</v>
      </c>
      <c r="GC42" s="85" t="s">
        <v>81</v>
      </c>
      <c r="GD42" s="85" t="s">
        <v>81</v>
      </c>
      <c r="GE42" s="85" t="s">
        <v>81</v>
      </c>
      <c r="GF42" s="85" t="s">
        <v>81</v>
      </c>
      <c r="GG42" s="85" t="s">
        <v>81</v>
      </c>
      <c r="GH42" s="85" t="s">
        <v>81</v>
      </c>
      <c r="GI42" s="85" t="s">
        <v>81</v>
      </c>
      <c r="GJ42" s="85" t="s">
        <v>81</v>
      </c>
      <c r="GK42" s="85" t="s">
        <v>81</v>
      </c>
      <c r="GL42" s="85" t="s">
        <v>81</v>
      </c>
      <c r="GM42" s="85" t="s">
        <v>81</v>
      </c>
      <c r="GN42" s="85" t="s">
        <v>81</v>
      </c>
      <c r="GO42" s="85" t="s">
        <v>81</v>
      </c>
      <c r="GP42" s="85" t="s">
        <v>81</v>
      </c>
      <c r="GQ42" s="85" t="s">
        <v>81</v>
      </c>
      <c r="GR42" s="85" t="s">
        <v>81</v>
      </c>
      <c r="GS42" s="85" t="s">
        <v>81</v>
      </c>
      <c r="GT42" s="85" t="s">
        <v>81</v>
      </c>
      <c r="GU42" s="85" t="s">
        <v>81</v>
      </c>
      <c r="GV42" s="85" t="s">
        <v>81</v>
      </c>
      <c r="GW42" s="85" t="s">
        <v>81</v>
      </c>
      <c r="GX42" s="85" t="s">
        <v>81</v>
      </c>
      <c r="GY42" s="85" t="s">
        <v>81</v>
      </c>
      <c r="GZ42" s="85" t="s">
        <v>81</v>
      </c>
      <c r="HA42" s="85" t="s">
        <v>81</v>
      </c>
      <c r="HB42" s="85" t="s">
        <v>81</v>
      </c>
      <c r="HC42" s="85" t="s">
        <v>81</v>
      </c>
      <c r="HD42" s="85" t="s">
        <v>81</v>
      </c>
      <c r="HE42" s="85" t="s">
        <v>81</v>
      </c>
      <c r="HF42" s="85" t="s">
        <v>81</v>
      </c>
      <c r="HG42" s="85" t="s">
        <v>81</v>
      </c>
      <c r="HH42" s="85" t="s">
        <v>81</v>
      </c>
      <c r="HI42" s="85" t="s">
        <v>81</v>
      </c>
      <c r="HJ42" s="85" t="s">
        <v>81</v>
      </c>
      <c r="HK42" s="85" t="s">
        <v>81</v>
      </c>
      <c r="HL42" s="85" t="s">
        <v>81</v>
      </c>
      <c r="HM42" s="85" t="s">
        <v>81</v>
      </c>
      <c r="HN42" s="85" t="s">
        <v>81</v>
      </c>
      <c r="HO42" s="85" t="s">
        <v>81</v>
      </c>
      <c r="HP42" s="85" t="s">
        <v>81</v>
      </c>
      <c r="HQ42" s="85" t="s">
        <v>81</v>
      </c>
      <c r="HR42" s="85" t="s">
        <v>81</v>
      </c>
      <c r="HS42" s="85" t="s">
        <v>81</v>
      </c>
      <c r="HT42" s="85" t="s">
        <v>81</v>
      </c>
      <c r="HU42" s="85" t="s">
        <v>81</v>
      </c>
      <c r="HV42" s="85" t="s">
        <v>81</v>
      </c>
      <c r="HW42" s="85" t="s">
        <v>81</v>
      </c>
      <c r="HX42" s="85" t="s">
        <v>81</v>
      </c>
      <c r="HY42" s="85" t="s">
        <v>81</v>
      </c>
      <c r="HZ42" s="85" t="s">
        <v>81</v>
      </c>
      <c r="IA42" s="85" t="s">
        <v>81</v>
      </c>
      <c r="IB42" s="85" t="s">
        <v>81</v>
      </c>
      <c r="IC42" s="85" t="s">
        <v>81</v>
      </c>
      <c r="ID42" s="85" t="s">
        <v>81</v>
      </c>
      <c r="IE42" s="85" t="s">
        <v>81</v>
      </c>
      <c r="IF42" s="85" t="s">
        <v>81</v>
      </c>
      <c r="IG42" s="85" t="s">
        <v>81</v>
      </c>
      <c r="IH42" s="85" t="s">
        <v>81</v>
      </c>
      <c r="II42" s="85" t="s">
        <v>81</v>
      </c>
      <c r="IJ42" s="85" t="s">
        <v>81</v>
      </c>
      <c r="IK42" s="85" t="s">
        <v>81</v>
      </c>
      <c r="IL42" s="85" t="s">
        <v>81</v>
      </c>
      <c r="IM42" s="85" t="s">
        <v>81</v>
      </c>
      <c r="IN42" s="85" t="s">
        <v>81</v>
      </c>
      <c r="IO42" s="85" t="s">
        <v>81</v>
      </c>
      <c r="IP42" s="85" t="s">
        <v>81</v>
      </c>
      <c r="IQ42" s="85" t="s">
        <v>81</v>
      </c>
      <c r="IR42" s="85" t="s">
        <v>81</v>
      </c>
      <c r="IS42" s="85" t="s">
        <v>81</v>
      </c>
      <c r="IT42" s="85" t="s">
        <v>81</v>
      </c>
      <c r="IU42" s="85" t="s">
        <v>81</v>
      </c>
      <c r="IV42" s="85" t="s">
        <v>81</v>
      </c>
    </row>
    <row r="43" spans="1:256" ht="12.75" customHeight="1">
      <c r="A43" s="77"/>
      <c r="B43" s="108"/>
      <c r="C43" s="77"/>
      <c r="D43" s="77"/>
      <c r="E43" s="85" t="s">
        <v>84</v>
      </c>
      <c r="F43" s="106">
        <v>56.8</v>
      </c>
      <c r="G43" s="85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7" ht="12.75" customHeight="1">
      <c r="A44" s="21"/>
      <c r="B44" s="28"/>
      <c r="C44" s="21"/>
      <c r="D44" s="21"/>
      <c r="E44" s="85" t="s">
        <v>130</v>
      </c>
      <c r="F44" s="87">
        <v>1778.59</v>
      </c>
      <c r="G44" s="33"/>
    </row>
    <row r="45" spans="1:7" ht="12.75" customHeight="1">
      <c r="A45" s="21"/>
      <c r="B45" s="28"/>
      <c r="C45" s="21"/>
      <c r="D45" s="21"/>
      <c r="E45" s="85" t="s">
        <v>93</v>
      </c>
      <c r="F45" s="109">
        <v>2285.78</v>
      </c>
      <c r="G45" s="33"/>
    </row>
    <row r="46" spans="1:7" ht="12.75" customHeight="1">
      <c r="A46" s="21"/>
      <c r="B46" s="28"/>
      <c r="C46" s="21"/>
      <c r="D46" s="21"/>
      <c r="E46" s="39"/>
      <c r="F46" s="62"/>
      <c r="G46" s="111"/>
    </row>
    <row r="47" spans="1:7" ht="12.75" customHeight="1">
      <c r="A47" s="21"/>
      <c r="B47" s="28"/>
      <c r="C47" s="79" t="s">
        <v>20</v>
      </c>
      <c r="D47" s="21"/>
      <c r="E47" s="38"/>
      <c r="F47" s="64">
        <f>SUM(F48:F49)</f>
        <v>648</v>
      </c>
      <c r="G47" s="33"/>
    </row>
    <row r="48" spans="1:7" ht="12.75" customHeight="1">
      <c r="A48" s="21"/>
      <c r="B48" s="28"/>
      <c r="C48" s="21"/>
      <c r="D48" s="21"/>
      <c r="E48" s="39" t="s">
        <v>131</v>
      </c>
      <c r="F48" s="87">
        <v>648</v>
      </c>
      <c r="G48" s="33"/>
    </row>
    <row r="49" spans="1:7" ht="12.75" customHeight="1">
      <c r="A49" s="21"/>
      <c r="B49" s="28"/>
      <c r="C49" s="21"/>
      <c r="D49" s="21"/>
      <c r="E49" s="39"/>
      <c r="F49" s="67"/>
      <c r="G49" s="33"/>
    </row>
    <row r="50" spans="1:7" ht="12.75" customHeight="1">
      <c r="A50" s="21"/>
      <c r="B50" s="28"/>
      <c r="C50" s="21"/>
      <c r="D50" s="21"/>
      <c r="E50" s="39"/>
      <c r="F50" s="61"/>
      <c r="G50" s="33"/>
    </row>
    <row r="51" spans="1:7" ht="12.75" customHeight="1">
      <c r="A51" s="21"/>
      <c r="B51" s="28"/>
      <c r="C51" s="79" t="s">
        <v>21</v>
      </c>
      <c r="D51" s="21"/>
      <c r="E51" s="38"/>
      <c r="F51" s="65">
        <f>SUM(F52:F56)</f>
        <v>137478.76</v>
      </c>
      <c r="G51" s="33"/>
    </row>
    <row r="52" spans="1:7" ht="12.75" customHeight="1">
      <c r="A52" s="21"/>
      <c r="B52" s="28"/>
      <c r="D52" s="92" t="s">
        <v>22</v>
      </c>
      <c r="E52" s="41"/>
      <c r="F52" s="90">
        <f>92512.19+1762.75+6661.4</f>
        <v>100936.34</v>
      </c>
      <c r="G52" s="33"/>
    </row>
    <row r="53" spans="1:7" ht="12.75" customHeight="1">
      <c r="A53" s="21"/>
      <c r="B53" s="28"/>
      <c r="D53" s="92" t="s">
        <v>23</v>
      </c>
      <c r="E53" s="41"/>
      <c r="F53" s="87">
        <f>25398.91+1289.51+524.68+368.44+1665.35</f>
        <v>29246.889999999996</v>
      </c>
      <c r="G53" s="33"/>
    </row>
    <row r="54" spans="1:7" ht="12.75" customHeight="1">
      <c r="A54" s="21"/>
      <c r="B54" s="28"/>
      <c r="D54" s="92" t="s">
        <v>24</v>
      </c>
      <c r="E54" s="41"/>
      <c r="F54" s="87">
        <v>7295.53</v>
      </c>
      <c r="G54" s="33"/>
    </row>
    <row r="55" spans="1:7" ht="12.75" customHeight="1">
      <c r="A55" s="21"/>
      <c r="B55" s="28"/>
      <c r="D55" s="92" t="s">
        <v>25</v>
      </c>
      <c r="E55" s="41"/>
      <c r="F55" s="87">
        <v>0</v>
      </c>
      <c r="G55" s="33"/>
    </row>
    <row r="56" spans="1:7" ht="12.75" customHeight="1">
      <c r="A56" s="21"/>
      <c r="B56" s="28"/>
      <c r="D56" s="92" t="s">
        <v>26</v>
      </c>
      <c r="E56" s="41"/>
      <c r="F56" s="87">
        <v>0</v>
      </c>
      <c r="G56" s="33"/>
    </row>
    <row r="57" spans="1:7" ht="12.75" customHeight="1">
      <c r="A57" s="21"/>
      <c r="B57" s="28"/>
      <c r="D57" s="40"/>
      <c r="E57" s="41"/>
      <c r="F57" s="61"/>
      <c r="G57" s="33"/>
    </row>
    <row r="58" spans="1:7" ht="12.75" customHeight="1">
      <c r="A58" s="21"/>
      <c r="B58" s="28"/>
      <c r="C58" s="79" t="s">
        <v>27</v>
      </c>
      <c r="D58" s="21"/>
      <c r="E58" s="38"/>
      <c r="F58" s="65">
        <f>SUM(F59:F63)</f>
        <v>425.43</v>
      </c>
      <c r="G58" s="33"/>
    </row>
    <row r="59" spans="1:7" ht="12.75" customHeight="1">
      <c r="A59" s="21"/>
      <c r="B59" s="28"/>
      <c r="C59" s="21"/>
      <c r="D59" s="92" t="s">
        <v>28</v>
      </c>
      <c r="E59" s="41"/>
      <c r="F59" s="90">
        <v>0</v>
      </c>
      <c r="G59" s="33"/>
    </row>
    <row r="60" spans="1:7" ht="12.75" customHeight="1">
      <c r="A60" s="21"/>
      <c r="B60" s="28"/>
      <c r="D60" s="92" t="s">
        <v>29</v>
      </c>
      <c r="E60" s="42"/>
      <c r="F60" s="87">
        <v>425.43</v>
      </c>
      <c r="G60" s="33"/>
    </row>
    <row r="61" spans="1:7" ht="12.75" customHeight="1">
      <c r="A61" s="21"/>
      <c r="B61" s="28"/>
      <c r="D61" s="92" t="s">
        <v>31</v>
      </c>
      <c r="E61" s="41"/>
      <c r="F61" s="87">
        <v>0</v>
      </c>
      <c r="G61" s="33"/>
    </row>
    <row r="62" spans="1:7" ht="12.75" customHeight="1">
      <c r="A62" s="21"/>
      <c r="B62" s="28"/>
      <c r="D62" s="92" t="s">
        <v>32</v>
      </c>
      <c r="E62" s="41"/>
      <c r="F62" s="87"/>
      <c r="G62" s="33"/>
    </row>
    <row r="63" spans="1:7" ht="12.75" customHeight="1">
      <c r="A63" s="21"/>
      <c r="B63" s="28"/>
      <c r="D63" s="40"/>
      <c r="E63" s="93" t="s">
        <v>33</v>
      </c>
      <c r="F63" s="87">
        <v>0</v>
      </c>
      <c r="G63" s="33"/>
    </row>
    <row r="64" spans="1:7" ht="12.75" customHeight="1">
      <c r="A64" s="21"/>
      <c r="B64" s="28"/>
      <c r="D64" s="40"/>
      <c r="E64" s="42"/>
      <c r="F64" s="62"/>
      <c r="G64" s="33"/>
    </row>
    <row r="65" spans="1:7" ht="12.75" customHeight="1">
      <c r="A65" s="21"/>
      <c r="B65" s="28"/>
      <c r="C65" s="79" t="s">
        <v>34</v>
      </c>
      <c r="D65" s="21"/>
      <c r="E65" s="38"/>
      <c r="F65" s="59"/>
      <c r="G65" s="33"/>
    </row>
    <row r="66" spans="1:7" ht="12.75" customHeight="1">
      <c r="A66" s="21"/>
      <c r="B66" s="28"/>
      <c r="D66" s="21"/>
      <c r="E66" s="94" t="s">
        <v>35</v>
      </c>
      <c r="F66" s="66">
        <v>0</v>
      </c>
      <c r="G66" s="33"/>
    </row>
    <row r="67" spans="1:7" ht="12.75" customHeight="1">
      <c r="A67" s="21"/>
      <c r="B67" s="28"/>
      <c r="D67" s="21"/>
      <c r="E67" s="43"/>
      <c r="F67" s="59"/>
      <c r="G67" s="33"/>
    </row>
    <row r="68" spans="1:7" ht="12.75" customHeight="1">
      <c r="A68" s="21"/>
      <c r="B68" s="28"/>
      <c r="C68" s="79" t="s">
        <v>36</v>
      </c>
      <c r="D68" s="21"/>
      <c r="E68" s="38"/>
      <c r="F68" s="66">
        <v>0</v>
      </c>
      <c r="G68" s="33"/>
    </row>
    <row r="69" spans="1:7" ht="12.75" customHeight="1">
      <c r="A69" s="21"/>
      <c r="B69" s="28"/>
      <c r="C69" s="21"/>
      <c r="D69" s="21"/>
      <c r="E69" s="38"/>
      <c r="F69" s="59"/>
      <c r="G69" s="33"/>
    </row>
    <row r="70" spans="1:7" ht="12.75" customHeight="1">
      <c r="A70" s="21"/>
      <c r="B70" s="28"/>
      <c r="C70" s="79" t="s">
        <v>37</v>
      </c>
      <c r="D70" s="21"/>
      <c r="E70" s="38"/>
      <c r="F70" s="66">
        <v>0</v>
      </c>
      <c r="G70" s="33"/>
    </row>
    <row r="71" spans="1:7" ht="12.75" customHeight="1">
      <c r="A71" s="21"/>
      <c r="B71" s="28"/>
      <c r="C71" s="21"/>
      <c r="D71" s="21"/>
      <c r="E71" s="38"/>
      <c r="F71" s="59"/>
      <c r="G71" s="33"/>
    </row>
    <row r="72" spans="1:7" ht="12.75" customHeight="1">
      <c r="A72" s="21"/>
      <c r="B72" s="28"/>
      <c r="C72" s="79" t="s">
        <v>38</v>
      </c>
      <c r="D72" s="21"/>
      <c r="E72" s="38"/>
      <c r="F72" s="66">
        <f>SUM(F73:F74)</f>
        <v>715.36</v>
      </c>
      <c r="G72" s="33"/>
    </row>
    <row r="73" spans="1:7" ht="12.75" customHeight="1">
      <c r="A73" s="21"/>
      <c r="B73" s="28"/>
      <c r="C73" s="79"/>
      <c r="D73" s="21"/>
      <c r="E73" s="85" t="s">
        <v>123</v>
      </c>
      <c r="F73" s="81">
        <v>336.66</v>
      </c>
      <c r="G73" s="33"/>
    </row>
    <row r="74" spans="1:7" ht="12.75" customHeight="1">
      <c r="A74" s="21"/>
      <c r="B74" s="28"/>
      <c r="C74" s="79"/>
      <c r="D74" s="21"/>
      <c r="E74" s="85" t="s">
        <v>186</v>
      </c>
      <c r="F74" s="81">
        <v>378.7</v>
      </c>
      <c r="G74" s="33"/>
    </row>
    <row r="75" spans="1:7" ht="12.75" customHeight="1">
      <c r="A75" s="21"/>
      <c r="B75" s="28"/>
      <c r="C75" s="21"/>
      <c r="D75" s="21"/>
      <c r="E75" s="43"/>
      <c r="F75" s="59" t="s">
        <v>0</v>
      </c>
      <c r="G75" s="33"/>
    </row>
    <row r="76" spans="1:9" ht="16.5" customHeight="1">
      <c r="A76" s="44"/>
      <c r="B76" s="75" t="s">
        <v>39</v>
      </c>
      <c r="C76" s="45"/>
      <c r="D76" s="45"/>
      <c r="E76" s="39"/>
      <c r="F76" s="59" t="s">
        <v>0</v>
      </c>
      <c r="G76" s="98">
        <f>SUM(G19:G72)</f>
        <v>-11985.01000000001</v>
      </c>
      <c r="I76" s="70"/>
    </row>
    <row r="77" spans="1:7" ht="12.75" customHeight="1">
      <c r="A77" s="21"/>
      <c r="B77" s="97" t="s">
        <v>40</v>
      </c>
      <c r="C77" s="21"/>
      <c r="D77" s="21"/>
      <c r="E77" s="43"/>
      <c r="F77" s="59" t="s">
        <v>0</v>
      </c>
      <c r="G77" s="46"/>
    </row>
    <row r="78" spans="2:7" ht="12" customHeight="1">
      <c r="B78" s="47"/>
      <c r="E78" s="38"/>
      <c r="F78" s="59" t="s">
        <v>0</v>
      </c>
      <c r="G78" s="46"/>
    </row>
    <row r="79" spans="2:7" ht="16.5" customHeight="1">
      <c r="B79" s="75" t="s">
        <v>52</v>
      </c>
      <c r="C79" s="35"/>
      <c r="D79" s="35"/>
      <c r="E79" s="48"/>
      <c r="F79" s="60"/>
      <c r="G79" s="98">
        <f>SUM(F81:F83)</f>
        <v>0</v>
      </c>
    </row>
    <row r="80" spans="2:7" ht="12">
      <c r="B80" s="47"/>
      <c r="E80" s="38"/>
      <c r="F80" s="59"/>
      <c r="G80" s="46"/>
    </row>
    <row r="81" spans="2:7" ht="15">
      <c r="B81" s="28"/>
      <c r="C81" s="79" t="s">
        <v>49</v>
      </c>
      <c r="D81" s="21"/>
      <c r="E81" s="38"/>
      <c r="F81" s="64">
        <v>0</v>
      </c>
      <c r="G81" s="46"/>
    </row>
    <row r="82" spans="2:7" ht="15">
      <c r="B82" s="47"/>
      <c r="C82" s="79" t="s">
        <v>50</v>
      </c>
      <c r="E82" s="38"/>
      <c r="F82" s="71">
        <v>0</v>
      </c>
      <c r="G82" s="46"/>
    </row>
    <row r="83" spans="2:7" ht="15">
      <c r="B83" s="47"/>
      <c r="C83" s="79" t="s">
        <v>51</v>
      </c>
      <c r="E83" s="38"/>
      <c r="F83" s="66">
        <v>0</v>
      </c>
      <c r="G83" s="46"/>
    </row>
    <row r="84" spans="2:7" ht="12">
      <c r="B84" s="47"/>
      <c r="E84" s="38"/>
      <c r="F84" s="59"/>
      <c r="G84" s="46"/>
    </row>
    <row r="85" spans="2:7" ht="18">
      <c r="B85" s="75" t="s">
        <v>75</v>
      </c>
      <c r="C85" s="35"/>
      <c r="D85" s="35"/>
      <c r="E85" s="48"/>
      <c r="F85" s="69">
        <v>0</v>
      </c>
      <c r="G85" s="99">
        <v>0</v>
      </c>
    </row>
    <row r="86" spans="2:7" ht="12">
      <c r="B86" s="47"/>
      <c r="E86" s="38"/>
      <c r="F86" s="59"/>
      <c r="G86" s="46"/>
    </row>
    <row r="87" spans="2:7" ht="18">
      <c r="B87" s="75" t="s">
        <v>76</v>
      </c>
      <c r="C87" s="35"/>
      <c r="D87" s="35"/>
      <c r="E87" s="48"/>
      <c r="F87" s="60"/>
      <c r="G87" s="98">
        <f>F89-F90</f>
        <v>0</v>
      </c>
    </row>
    <row r="88" spans="2:7" ht="12">
      <c r="B88" s="47"/>
      <c r="E88" s="38"/>
      <c r="F88" s="59"/>
      <c r="G88" s="46"/>
    </row>
    <row r="89" spans="2:7" ht="14.25">
      <c r="B89" s="47"/>
      <c r="C89" s="79" t="s">
        <v>53</v>
      </c>
      <c r="E89" s="38"/>
      <c r="F89" s="68">
        <v>0</v>
      </c>
      <c r="G89" s="46"/>
    </row>
    <row r="90" spans="2:7" ht="14.25">
      <c r="B90" s="47"/>
      <c r="C90" s="79" t="s">
        <v>54</v>
      </c>
      <c r="E90" s="38"/>
      <c r="F90" s="68">
        <v>0</v>
      </c>
      <c r="G90" s="46"/>
    </row>
    <row r="91" spans="2:7" ht="12">
      <c r="B91" s="47"/>
      <c r="E91" s="38"/>
      <c r="F91" s="59"/>
      <c r="G91" s="46"/>
    </row>
    <row r="92" spans="2:7" ht="12">
      <c r="B92" s="47"/>
      <c r="E92" s="38"/>
      <c r="F92" s="59"/>
      <c r="G92" s="46"/>
    </row>
    <row r="93" spans="2:9" ht="18">
      <c r="B93" s="31"/>
      <c r="E93" s="100" t="s">
        <v>55</v>
      </c>
      <c r="F93" s="59"/>
      <c r="G93" s="101">
        <f>G76+G79+G85+G87</f>
        <v>-11985.01000000001</v>
      </c>
      <c r="I93" s="70"/>
    </row>
    <row r="94" spans="2:7" ht="12">
      <c r="B94" s="49"/>
      <c r="C94" s="50"/>
      <c r="D94" s="50"/>
      <c r="E94" s="51"/>
      <c r="F94" s="52"/>
      <c r="G94" s="53"/>
    </row>
    <row r="99" spans="5:7" ht="15.75">
      <c r="E99" s="103" t="s">
        <v>110</v>
      </c>
      <c r="G99" s="107">
        <f>773348.29*1.91/100</f>
        <v>14770.952339000001</v>
      </c>
    </row>
    <row r="101" spans="5:7" ht="15.75">
      <c r="E101" s="103" t="s">
        <v>111</v>
      </c>
      <c r="G101" s="107">
        <f>-886714.22*1.91/100+3</f>
        <v>-16933.241602</v>
      </c>
    </row>
    <row r="103" spans="5:7" ht="18">
      <c r="E103" s="103" t="s">
        <v>104</v>
      </c>
      <c r="G103" s="104">
        <f>G93+G99+G101</f>
        <v>-14147.299263000006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1" r:id="rId1"/>
  <rowBreaks count="1" manualBreakCount="1">
    <brk id="48" max="6" man="1"/>
  </rowBreaks>
  <ignoredErrors>
    <ignoredError sqref="G102:G103 G10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workbookViewId="0" topLeftCell="A98">
      <selection activeCell="G113" sqref="G113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140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F20+F25+F26+F27+F29</f>
        <v>254876.08000000002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SUM(F21:F23)</f>
        <v>123650.04000000001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190</v>
      </c>
      <c r="F21" s="80">
        <v>27331.52</v>
      </c>
      <c r="G21" s="32"/>
    </row>
    <row r="22" spans="1:7" ht="12.75" customHeight="1">
      <c r="A22" s="21"/>
      <c r="B22" s="28"/>
      <c r="C22" s="76"/>
      <c r="D22" s="76" t="s">
        <v>30</v>
      </c>
      <c r="E22" s="77" t="s">
        <v>132</v>
      </c>
      <c r="F22" s="80">
        <v>61563.67</v>
      </c>
      <c r="G22" s="32"/>
    </row>
    <row r="23" spans="1:7" ht="12.75" customHeight="1">
      <c r="A23" s="21"/>
      <c r="B23" s="28"/>
      <c r="C23" s="76"/>
      <c r="D23" s="76" t="s">
        <v>30</v>
      </c>
      <c r="E23" s="77" t="s">
        <v>133</v>
      </c>
      <c r="F23" s="80">
        <v>34754.85</v>
      </c>
      <c r="G23" s="32"/>
    </row>
    <row r="24" spans="1:7" ht="12.75" customHeight="1">
      <c r="A24" s="21"/>
      <c r="B24" s="28"/>
      <c r="C24" s="76" t="s">
        <v>8</v>
      </c>
      <c r="D24" s="76" t="s">
        <v>9</v>
      </c>
      <c r="E24" s="77"/>
      <c r="F24" s="81"/>
      <c r="G24" s="32"/>
    </row>
    <row r="25" spans="1:7" ht="12.75" customHeight="1">
      <c r="A25" s="21"/>
      <c r="B25" s="28"/>
      <c r="C25" s="76"/>
      <c r="D25" s="76" t="s">
        <v>10</v>
      </c>
      <c r="E25" s="77"/>
      <c r="F25" s="81">
        <v>0</v>
      </c>
      <c r="G25" s="32"/>
    </row>
    <row r="26" spans="1:7" ht="12.75" customHeight="1">
      <c r="A26" s="21"/>
      <c r="B26" s="28"/>
      <c r="C26" s="76" t="s">
        <v>11</v>
      </c>
      <c r="D26" s="76" t="s">
        <v>12</v>
      </c>
      <c r="E26" s="77"/>
      <c r="F26" s="81">
        <v>0</v>
      </c>
      <c r="G26" s="32"/>
    </row>
    <row r="27" spans="1:7" ht="12.75" customHeight="1">
      <c r="A27" s="21"/>
      <c r="B27" s="28"/>
      <c r="C27" s="76" t="s">
        <v>13</v>
      </c>
      <c r="D27" s="76"/>
      <c r="E27" s="77"/>
      <c r="F27" s="81">
        <v>0</v>
      </c>
      <c r="G27" s="32"/>
    </row>
    <row r="28" spans="1:7" ht="12.75" customHeight="1">
      <c r="A28" s="21"/>
      <c r="B28" s="28"/>
      <c r="C28" s="76" t="s">
        <v>14</v>
      </c>
      <c r="D28" s="76"/>
      <c r="E28" s="77"/>
      <c r="F28" s="81" t="s">
        <v>0</v>
      </c>
      <c r="G28" s="33"/>
    </row>
    <row r="29" spans="1:7" ht="12.75" customHeight="1">
      <c r="A29" s="21"/>
      <c r="B29" s="28"/>
      <c r="C29" s="76"/>
      <c r="D29" s="76" t="s">
        <v>15</v>
      </c>
      <c r="E29" s="77"/>
      <c r="F29" s="64">
        <f>SUM(F30:F32)</f>
        <v>131226.04</v>
      </c>
      <c r="G29" s="33"/>
    </row>
    <row r="30" spans="1:7" ht="12.75" customHeight="1">
      <c r="A30" s="21"/>
      <c r="B30" s="28"/>
      <c r="C30" s="76"/>
      <c r="D30" s="76" t="s">
        <v>30</v>
      </c>
      <c r="E30" s="77" t="s">
        <v>134</v>
      </c>
      <c r="F30" s="80">
        <v>51650</v>
      </c>
      <c r="G30" s="33"/>
    </row>
    <row r="31" spans="1:7" ht="12.75" customHeight="1">
      <c r="A31" s="21"/>
      <c r="B31" s="28"/>
      <c r="C31" s="76"/>
      <c r="D31" s="76" t="s">
        <v>30</v>
      </c>
      <c r="E31" s="77" t="s">
        <v>191</v>
      </c>
      <c r="F31" s="80">
        <v>78000</v>
      </c>
      <c r="G31" s="33"/>
    </row>
    <row r="32" spans="1:7" ht="12.75" customHeight="1">
      <c r="A32" s="21"/>
      <c r="B32" s="28"/>
      <c r="C32" s="76"/>
      <c r="D32" s="78" t="s">
        <v>30</v>
      </c>
      <c r="E32" s="77" t="s">
        <v>44</v>
      </c>
      <c r="F32" s="80">
        <f>876.04+700</f>
        <v>1576.04</v>
      </c>
      <c r="G32" s="34"/>
    </row>
    <row r="33" spans="1:7" ht="12.75" customHeight="1">
      <c r="A33" s="21"/>
      <c r="B33" s="28"/>
      <c r="C33" s="21"/>
      <c r="D33" s="21"/>
      <c r="E33" s="21"/>
      <c r="F33" s="59"/>
      <c r="G33" s="33"/>
    </row>
    <row r="34" spans="1:7" s="37" customFormat="1" ht="15.75" customHeight="1">
      <c r="A34" s="35"/>
      <c r="B34" s="75" t="s">
        <v>16</v>
      </c>
      <c r="C34" s="35"/>
      <c r="D34" s="35"/>
      <c r="E34" s="36"/>
      <c r="F34" s="60"/>
      <c r="G34" s="84">
        <f>-(F36+F41+F52+F57+F64+F72+F74+F76+F78)</f>
        <v>-220660.36000000002</v>
      </c>
    </row>
    <row r="35" spans="1:7" ht="12.75" customHeight="1">
      <c r="A35" s="21"/>
      <c r="B35" s="28"/>
      <c r="C35" s="79" t="s">
        <v>17</v>
      </c>
      <c r="D35" s="21"/>
      <c r="F35" s="59" t="s">
        <v>0</v>
      </c>
      <c r="G35" s="33"/>
    </row>
    <row r="36" spans="1:7" ht="12.75" customHeight="1">
      <c r="A36" s="21"/>
      <c r="B36" s="28"/>
      <c r="D36" s="79" t="s">
        <v>18</v>
      </c>
      <c r="E36" s="38"/>
      <c r="F36" s="65">
        <f>SUM(F37:F39)</f>
        <v>28106.829999999998</v>
      </c>
      <c r="G36" s="33"/>
    </row>
    <row r="37" spans="1:7" ht="12.75" customHeight="1">
      <c r="A37" s="21"/>
      <c r="B37" s="28"/>
      <c r="D37" s="21"/>
      <c r="E37" s="85" t="s">
        <v>108</v>
      </c>
      <c r="F37" s="87">
        <v>7137.8</v>
      </c>
      <c r="G37" s="33"/>
    </row>
    <row r="38" spans="1:7" ht="12.75" customHeight="1">
      <c r="A38" s="21"/>
      <c r="B38" s="28"/>
      <c r="D38" s="21"/>
      <c r="E38" s="85" t="s">
        <v>109</v>
      </c>
      <c r="F38" s="96">
        <v>20969.03</v>
      </c>
      <c r="G38" s="33"/>
    </row>
    <row r="39" spans="1:7" ht="12.75" customHeight="1">
      <c r="A39" s="21"/>
      <c r="B39" s="28"/>
      <c r="D39" s="21"/>
      <c r="E39" s="85"/>
      <c r="F39" s="83"/>
      <c r="G39" s="33"/>
    </row>
    <row r="40" spans="1:7" ht="12.75" customHeight="1">
      <c r="A40" s="21"/>
      <c r="B40" s="28"/>
      <c r="D40" s="21"/>
      <c r="E40" s="38"/>
      <c r="F40" s="62"/>
      <c r="G40" s="33"/>
    </row>
    <row r="41" spans="1:7" ht="12.75" customHeight="1">
      <c r="A41" s="21"/>
      <c r="B41" s="28"/>
      <c r="C41" s="79" t="s">
        <v>19</v>
      </c>
      <c r="D41" s="21"/>
      <c r="E41" s="38"/>
      <c r="F41" s="65">
        <f>SUM(F42:F50)</f>
        <v>98762.44</v>
      </c>
      <c r="G41" s="33"/>
    </row>
    <row r="42" spans="1:7" ht="12.75" customHeight="1">
      <c r="A42" s="21"/>
      <c r="B42" s="28"/>
      <c r="C42" s="79"/>
      <c r="D42" s="21"/>
      <c r="E42" s="38" t="s">
        <v>78</v>
      </c>
      <c r="F42" s="86">
        <v>10983.83</v>
      </c>
      <c r="G42" s="33"/>
    </row>
    <row r="43" spans="1:7" ht="12.75" customHeight="1">
      <c r="A43" s="21"/>
      <c r="B43" s="28"/>
      <c r="C43" s="79"/>
      <c r="D43" s="21"/>
      <c r="E43" s="38" t="s">
        <v>79</v>
      </c>
      <c r="F43" s="86">
        <f>7959.7+1154.2</f>
        <v>9113.9</v>
      </c>
      <c r="G43" s="33"/>
    </row>
    <row r="44" spans="1:7" ht="12.75" customHeight="1">
      <c r="A44" s="21"/>
      <c r="B44" s="28"/>
      <c r="C44" s="21"/>
      <c r="D44" s="21"/>
      <c r="E44" s="85" t="s">
        <v>129</v>
      </c>
      <c r="F44" s="87">
        <f>3279.92+556.69</f>
        <v>3836.61</v>
      </c>
      <c r="G44" s="33"/>
    </row>
    <row r="45" spans="1:256" ht="12.75" customHeight="1">
      <c r="A45" s="85"/>
      <c r="B45" s="77"/>
      <c r="C45" s="77"/>
      <c r="D45" s="77"/>
      <c r="E45" s="85" t="s">
        <v>119</v>
      </c>
      <c r="F45" s="105">
        <v>1140.44</v>
      </c>
      <c r="G45" s="85"/>
      <c r="H45" s="77"/>
      <c r="I45" s="77"/>
      <c r="J45" s="77"/>
      <c r="K45" s="77"/>
      <c r="L45" s="77"/>
      <c r="M45" s="77"/>
      <c r="N45" s="77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 t="s">
        <v>81</v>
      </c>
      <c r="BE45" s="85" t="s">
        <v>81</v>
      </c>
      <c r="BF45" s="85" t="s">
        <v>81</v>
      </c>
      <c r="BG45" s="85" t="s">
        <v>81</v>
      </c>
      <c r="BH45" s="85" t="s">
        <v>81</v>
      </c>
      <c r="BI45" s="85" t="s">
        <v>81</v>
      </c>
      <c r="BJ45" s="85" t="s">
        <v>81</v>
      </c>
      <c r="BK45" s="85" t="s">
        <v>81</v>
      </c>
      <c r="BL45" s="85" t="s">
        <v>81</v>
      </c>
      <c r="BM45" s="85" t="s">
        <v>81</v>
      </c>
      <c r="BN45" s="85" t="s">
        <v>81</v>
      </c>
      <c r="BO45" s="85" t="s">
        <v>81</v>
      </c>
      <c r="BP45" s="85" t="s">
        <v>81</v>
      </c>
      <c r="BQ45" s="85" t="s">
        <v>81</v>
      </c>
      <c r="BR45" s="85" t="s">
        <v>81</v>
      </c>
      <c r="BS45" s="85" t="s">
        <v>81</v>
      </c>
      <c r="BT45" s="85" t="s">
        <v>81</v>
      </c>
      <c r="BU45" s="85" t="s">
        <v>81</v>
      </c>
      <c r="BV45" s="85" t="s">
        <v>81</v>
      </c>
      <c r="BW45" s="85" t="s">
        <v>81</v>
      </c>
      <c r="BX45" s="85" t="s">
        <v>81</v>
      </c>
      <c r="BY45" s="85" t="s">
        <v>81</v>
      </c>
      <c r="BZ45" s="85" t="s">
        <v>81</v>
      </c>
      <c r="CA45" s="85" t="s">
        <v>81</v>
      </c>
      <c r="CB45" s="85" t="s">
        <v>81</v>
      </c>
      <c r="CC45" s="85" t="s">
        <v>81</v>
      </c>
      <c r="CD45" s="85" t="s">
        <v>81</v>
      </c>
      <c r="CE45" s="85" t="s">
        <v>81</v>
      </c>
      <c r="CF45" s="85" t="s">
        <v>81</v>
      </c>
      <c r="CG45" s="85" t="s">
        <v>81</v>
      </c>
      <c r="CH45" s="85" t="s">
        <v>81</v>
      </c>
      <c r="CI45" s="85" t="s">
        <v>81</v>
      </c>
      <c r="CJ45" s="85" t="s">
        <v>81</v>
      </c>
      <c r="CK45" s="85" t="s">
        <v>81</v>
      </c>
      <c r="CL45" s="85" t="s">
        <v>81</v>
      </c>
      <c r="CM45" s="85" t="s">
        <v>81</v>
      </c>
      <c r="CN45" s="85" t="s">
        <v>81</v>
      </c>
      <c r="CO45" s="85" t="s">
        <v>81</v>
      </c>
      <c r="CP45" s="85" t="s">
        <v>81</v>
      </c>
      <c r="CQ45" s="85" t="s">
        <v>81</v>
      </c>
      <c r="CR45" s="85" t="s">
        <v>81</v>
      </c>
      <c r="CS45" s="85" t="s">
        <v>81</v>
      </c>
      <c r="CT45" s="85" t="s">
        <v>81</v>
      </c>
      <c r="CU45" s="85" t="s">
        <v>81</v>
      </c>
      <c r="CV45" s="85" t="s">
        <v>81</v>
      </c>
      <c r="CW45" s="85" t="s">
        <v>81</v>
      </c>
      <c r="CX45" s="85" t="s">
        <v>81</v>
      </c>
      <c r="CY45" s="85" t="s">
        <v>81</v>
      </c>
      <c r="CZ45" s="85" t="s">
        <v>81</v>
      </c>
      <c r="DA45" s="85" t="s">
        <v>81</v>
      </c>
      <c r="DB45" s="85" t="s">
        <v>81</v>
      </c>
      <c r="DC45" s="85" t="s">
        <v>81</v>
      </c>
      <c r="DD45" s="85" t="s">
        <v>81</v>
      </c>
      <c r="DE45" s="85" t="s">
        <v>81</v>
      </c>
      <c r="DF45" s="85" t="s">
        <v>81</v>
      </c>
      <c r="DG45" s="85" t="s">
        <v>81</v>
      </c>
      <c r="DH45" s="85" t="s">
        <v>81</v>
      </c>
      <c r="DI45" s="85" t="s">
        <v>81</v>
      </c>
      <c r="DJ45" s="85" t="s">
        <v>81</v>
      </c>
      <c r="DK45" s="85" t="s">
        <v>81</v>
      </c>
      <c r="DL45" s="85" t="s">
        <v>81</v>
      </c>
      <c r="DM45" s="85" t="s">
        <v>81</v>
      </c>
      <c r="DN45" s="85" t="s">
        <v>81</v>
      </c>
      <c r="DO45" s="85" t="s">
        <v>81</v>
      </c>
      <c r="DP45" s="85" t="s">
        <v>81</v>
      </c>
      <c r="DQ45" s="85" t="s">
        <v>81</v>
      </c>
      <c r="DR45" s="85" t="s">
        <v>81</v>
      </c>
      <c r="DS45" s="85" t="s">
        <v>81</v>
      </c>
      <c r="DT45" s="85" t="s">
        <v>81</v>
      </c>
      <c r="DU45" s="85" t="s">
        <v>81</v>
      </c>
      <c r="DV45" s="85" t="s">
        <v>81</v>
      </c>
      <c r="DW45" s="85" t="s">
        <v>81</v>
      </c>
      <c r="DX45" s="85" t="s">
        <v>81</v>
      </c>
      <c r="DY45" s="85" t="s">
        <v>81</v>
      </c>
      <c r="DZ45" s="85" t="s">
        <v>81</v>
      </c>
      <c r="EA45" s="85" t="s">
        <v>81</v>
      </c>
      <c r="EB45" s="85" t="s">
        <v>81</v>
      </c>
      <c r="EC45" s="85" t="s">
        <v>81</v>
      </c>
      <c r="ED45" s="85" t="s">
        <v>81</v>
      </c>
      <c r="EE45" s="85" t="s">
        <v>81</v>
      </c>
      <c r="EF45" s="85" t="s">
        <v>81</v>
      </c>
      <c r="EG45" s="85" t="s">
        <v>81</v>
      </c>
      <c r="EH45" s="85" t="s">
        <v>81</v>
      </c>
      <c r="EI45" s="85" t="s">
        <v>81</v>
      </c>
      <c r="EJ45" s="85" t="s">
        <v>81</v>
      </c>
      <c r="EK45" s="85" t="s">
        <v>81</v>
      </c>
      <c r="EL45" s="85" t="s">
        <v>81</v>
      </c>
      <c r="EM45" s="85" t="s">
        <v>81</v>
      </c>
      <c r="EN45" s="85" t="s">
        <v>81</v>
      </c>
      <c r="EO45" s="85" t="s">
        <v>81</v>
      </c>
      <c r="EP45" s="85" t="s">
        <v>81</v>
      </c>
      <c r="EQ45" s="85" t="s">
        <v>81</v>
      </c>
      <c r="ER45" s="85" t="s">
        <v>81</v>
      </c>
      <c r="ES45" s="85" t="s">
        <v>81</v>
      </c>
      <c r="ET45" s="85" t="s">
        <v>81</v>
      </c>
      <c r="EU45" s="85" t="s">
        <v>81</v>
      </c>
      <c r="EV45" s="85" t="s">
        <v>81</v>
      </c>
      <c r="EW45" s="85" t="s">
        <v>81</v>
      </c>
      <c r="EX45" s="85" t="s">
        <v>81</v>
      </c>
      <c r="EY45" s="85" t="s">
        <v>81</v>
      </c>
      <c r="EZ45" s="85" t="s">
        <v>81</v>
      </c>
      <c r="FA45" s="85" t="s">
        <v>81</v>
      </c>
      <c r="FB45" s="85" t="s">
        <v>81</v>
      </c>
      <c r="FC45" s="85" t="s">
        <v>81</v>
      </c>
      <c r="FD45" s="85" t="s">
        <v>81</v>
      </c>
      <c r="FE45" s="85" t="s">
        <v>81</v>
      </c>
      <c r="FF45" s="85" t="s">
        <v>81</v>
      </c>
      <c r="FG45" s="85" t="s">
        <v>81</v>
      </c>
      <c r="FH45" s="85" t="s">
        <v>81</v>
      </c>
      <c r="FI45" s="85" t="s">
        <v>81</v>
      </c>
      <c r="FJ45" s="85" t="s">
        <v>81</v>
      </c>
      <c r="FK45" s="85" t="s">
        <v>81</v>
      </c>
      <c r="FL45" s="85" t="s">
        <v>81</v>
      </c>
      <c r="FM45" s="85" t="s">
        <v>81</v>
      </c>
      <c r="FN45" s="85" t="s">
        <v>81</v>
      </c>
      <c r="FO45" s="85" t="s">
        <v>81</v>
      </c>
      <c r="FP45" s="85" t="s">
        <v>81</v>
      </c>
      <c r="FQ45" s="85" t="s">
        <v>81</v>
      </c>
      <c r="FR45" s="85" t="s">
        <v>81</v>
      </c>
      <c r="FS45" s="85" t="s">
        <v>81</v>
      </c>
      <c r="FT45" s="85" t="s">
        <v>81</v>
      </c>
      <c r="FU45" s="85" t="s">
        <v>81</v>
      </c>
      <c r="FV45" s="85" t="s">
        <v>81</v>
      </c>
      <c r="FW45" s="85" t="s">
        <v>81</v>
      </c>
      <c r="FX45" s="85" t="s">
        <v>81</v>
      </c>
      <c r="FY45" s="85" t="s">
        <v>81</v>
      </c>
      <c r="FZ45" s="85" t="s">
        <v>81</v>
      </c>
      <c r="GA45" s="85" t="s">
        <v>81</v>
      </c>
      <c r="GB45" s="85" t="s">
        <v>81</v>
      </c>
      <c r="GC45" s="85" t="s">
        <v>81</v>
      </c>
      <c r="GD45" s="85" t="s">
        <v>81</v>
      </c>
      <c r="GE45" s="85" t="s">
        <v>81</v>
      </c>
      <c r="GF45" s="85" t="s">
        <v>81</v>
      </c>
      <c r="GG45" s="85" t="s">
        <v>81</v>
      </c>
      <c r="GH45" s="85" t="s">
        <v>81</v>
      </c>
      <c r="GI45" s="85" t="s">
        <v>81</v>
      </c>
      <c r="GJ45" s="85" t="s">
        <v>81</v>
      </c>
      <c r="GK45" s="85" t="s">
        <v>81</v>
      </c>
      <c r="GL45" s="85" t="s">
        <v>81</v>
      </c>
      <c r="GM45" s="85" t="s">
        <v>81</v>
      </c>
      <c r="GN45" s="85" t="s">
        <v>81</v>
      </c>
      <c r="GO45" s="85" t="s">
        <v>81</v>
      </c>
      <c r="GP45" s="85" t="s">
        <v>81</v>
      </c>
      <c r="GQ45" s="85" t="s">
        <v>81</v>
      </c>
      <c r="GR45" s="85" t="s">
        <v>81</v>
      </c>
      <c r="GS45" s="85" t="s">
        <v>81</v>
      </c>
      <c r="GT45" s="85" t="s">
        <v>81</v>
      </c>
      <c r="GU45" s="85" t="s">
        <v>81</v>
      </c>
      <c r="GV45" s="85" t="s">
        <v>81</v>
      </c>
      <c r="GW45" s="85" t="s">
        <v>81</v>
      </c>
      <c r="GX45" s="85" t="s">
        <v>81</v>
      </c>
      <c r="GY45" s="85" t="s">
        <v>81</v>
      </c>
      <c r="GZ45" s="85" t="s">
        <v>81</v>
      </c>
      <c r="HA45" s="85" t="s">
        <v>81</v>
      </c>
      <c r="HB45" s="85" t="s">
        <v>81</v>
      </c>
      <c r="HC45" s="85" t="s">
        <v>81</v>
      </c>
      <c r="HD45" s="85" t="s">
        <v>81</v>
      </c>
      <c r="HE45" s="85" t="s">
        <v>81</v>
      </c>
      <c r="HF45" s="85" t="s">
        <v>81</v>
      </c>
      <c r="HG45" s="85" t="s">
        <v>81</v>
      </c>
      <c r="HH45" s="85" t="s">
        <v>81</v>
      </c>
      <c r="HI45" s="85" t="s">
        <v>81</v>
      </c>
      <c r="HJ45" s="85" t="s">
        <v>81</v>
      </c>
      <c r="HK45" s="85" t="s">
        <v>81</v>
      </c>
      <c r="HL45" s="85" t="s">
        <v>81</v>
      </c>
      <c r="HM45" s="85" t="s">
        <v>81</v>
      </c>
      <c r="HN45" s="85" t="s">
        <v>81</v>
      </c>
      <c r="HO45" s="85" t="s">
        <v>81</v>
      </c>
      <c r="HP45" s="85" t="s">
        <v>81</v>
      </c>
      <c r="HQ45" s="85" t="s">
        <v>81</v>
      </c>
      <c r="HR45" s="85" t="s">
        <v>81</v>
      </c>
      <c r="HS45" s="85" t="s">
        <v>81</v>
      </c>
      <c r="HT45" s="85" t="s">
        <v>81</v>
      </c>
      <c r="HU45" s="85" t="s">
        <v>81</v>
      </c>
      <c r="HV45" s="85" t="s">
        <v>81</v>
      </c>
      <c r="HW45" s="85" t="s">
        <v>81</v>
      </c>
      <c r="HX45" s="85" t="s">
        <v>81</v>
      </c>
      <c r="HY45" s="85" t="s">
        <v>81</v>
      </c>
      <c r="HZ45" s="85" t="s">
        <v>81</v>
      </c>
      <c r="IA45" s="85" t="s">
        <v>81</v>
      </c>
      <c r="IB45" s="85" t="s">
        <v>81</v>
      </c>
      <c r="IC45" s="85" t="s">
        <v>81</v>
      </c>
      <c r="ID45" s="85" t="s">
        <v>81</v>
      </c>
      <c r="IE45" s="85" t="s">
        <v>81</v>
      </c>
      <c r="IF45" s="85" t="s">
        <v>81</v>
      </c>
      <c r="IG45" s="85" t="s">
        <v>81</v>
      </c>
      <c r="IH45" s="85" t="s">
        <v>81</v>
      </c>
      <c r="II45" s="85" t="s">
        <v>81</v>
      </c>
      <c r="IJ45" s="85" t="s">
        <v>81</v>
      </c>
      <c r="IK45" s="85" t="s">
        <v>81</v>
      </c>
      <c r="IL45" s="85" t="s">
        <v>81</v>
      </c>
      <c r="IM45" s="85" t="s">
        <v>81</v>
      </c>
      <c r="IN45" s="85" t="s">
        <v>81</v>
      </c>
      <c r="IO45" s="85" t="s">
        <v>81</v>
      </c>
      <c r="IP45" s="85" t="s">
        <v>81</v>
      </c>
      <c r="IQ45" s="85" t="s">
        <v>81</v>
      </c>
      <c r="IR45" s="85" t="s">
        <v>81</v>
      </c>
      <c r="IS45" s="85" t="s">
        <v>81</v>
      </c>
      <c r="IT45" s="85" t="s">
        <v>81</v>
      </c>
      <c r="IU45" s="85" t="s">
        <v>81</v>
      </c>
      <c r="IV45" s="85" t="s">
        <v>81</v>
      </c>
    </row>
    <row r="46" spans="1:256" ht="12.75" customHeight="1">
      <c r="A46" s="77"/>
      <c r="B46" s="108"/>
      <c r="C46" s="77"/>
      <c r="D46" s="77"/>
      <c r="E46" s="85" t="s">
        <v>84</v>
      </c>
      <c r="F46" s="106">
        <v>44.33</v>
      </c>
      <c r="G46" s="85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7" ht="12.75" customHeight="1">
      <c r="A47" s="21"/>
      <c r="B47" s="28"/>
      <c r="C47" s="21"/>
      <c r="D47" s="21"/>
      <c r="E47" s="85" t="s">
        <v>135</v>
      </c>
      <c r="F47" s="87">
        <v>1188</v>
      </c>
      <c r="G47" s="33"/>
    </row>
    <row r="48" spans="1:7" ht="12.75" customHeight="1">
      <c r="A48" s="21"/>
      <c r="B48" s="28"/>
      <c r="C48" s="21"/>
      <c r="D48" s="21"/>
      <c r="E48" s="85" t="s">
        <v>192</v>
      </c>
      <c r="F48" s="109">
        <v>922.95</v>
      </c>
      <c r="G48" s="33"/>
    </row>
    <row r="49" spans="1:7" ht="12.75" customHeight="1">
      <c r="A49" s="21"/>
      <c r="B49" s="28"/>
      <c r="C49" s="21"/>
      <c r="D49" s="21"/>
      <c r="E49" s="85" t="s">
        <v>219</v>
      </c>
      <c r="F49" s="109">
        <v>14332.46</v>
      </c>
      <c r="G49" s="33"/>
    </row>
    <row r="50" spans="1:7" ht="12.75" customHeight="1">
      <c r="A50" s="21"/>
      <c r="B50" s="28"/>
      <c r="C50" s="21"/>
      <c r="D50" s="21"/>
      <c r="E50" s="85" t="s">
        <v>193</v>
      </c>
      <c r="F50" s="109">
        <v>57199.92</v>
      </c>
      <c r="G50" s="33"/>
    </row>
    <row r="51" spans="1:7" ht="12.75" customHeight="1">
      <c r="A51" s="21"/>
      <c r="B51" s="28"/>
      <c r="C51" s="21"/>
      <c r="D51" s="21"/>
      <c r="E51" s="39"/>
      <c r="F51" s="62"/>
      <c r="G51" s="111"/>
    </row>
    <row r="52" spans="1:7" ht="12.75" customHeight="1">
      <c r="A52" s="21"/>
      <c r="B52" s="28"/>
      <c r="C52" s="79" t="s">
        <v>20</v>
      </c>
      <c r="D52" s="21"/>
      <c r="E52" s="38"/>
      <c r="F52" s="64">
        <f>SUM(F53:F54)</f>
        <v>21342.32</v>
      </c>
      <c r="G52" s="33"/>
    </row>
    <row r="53" spans="1:7" ht="12.75" customHeight="1">
      <c r="A53" s="21"/>
      <c r="B53" s="28"/>
      <c r="C53" s="79"/>
      <c r="D53" s="21"/>
      <c r="E53" s="38" t="s">
        <v>137</v>
      </c>
      <c r="F53" s="91">
        <v>9165.62</v>
      </c>
      <c r="G53" s="33"/>
    </row>
    <row r="54" spans="1:7" ht="12.75" customHeight="1">
      <c r="A54" s="21"/>
      <c r="B54" s="28"/>
      <c r="C54" s="21"/>
      <c r="D54" s="21"/>
      <c r="E54" s="39" t="s">
        <v>138</v>
      </c>
      <c r="F54" s="87">
        <v>12176.7</v>
      </c>
      <c r="G54" s="33"/>
    </row>
    <row r="55" spans="1:7" ht="12.75" customHeight="1">
      <c r="A55" s="21"/>
      <c r="B55" s="28"/>
      <c r="C55" s="21"/>
      <c r="D55" s="21"/>
      <c r="E55" s="39"/>
      <c r="F55" s="67"/>
      <c r="G55" s="33"/>
    </row>
    <row r="56" spans="1:7" ht="12.75" customHeight="1">
      <c r="A56" s="21"/>
      <c r="B56" s="28"/>
      <c r="C56" s="21"/>
      <c r="D56" s="21"/>
      <c r="E56" s="39"/>
      <c r="F56" s="61"/>
      <c r="G56" s="33"/>
    </row>
    <row r="57" spans="1:7" ht="12.75" customHeight="1">
      <c r="A57" s="21"/>
      <c r="B57" s="28"/>
      <c r="C57" s="79" t="s">
        <v>21</v>
      </c>
      <c r="D57" s="21"/>
      <c r="E57" s="38"/>
      <c r="F57" s="65">
        <f>SUM(F58:F62)</f>
        <v>37187.990000000005</v>
      </c>
      <c r="G57" s="33"/>
    </row>
    <row r="58" spans="1:7" ht="12.75" customHeight="1">
      <c r="A58" s="21"/>
      <c r="B58" s="28"/>
      <c r="D58" s="92" t="s">
        <v>22</v>
      </c>
      <c r="E58" s="41"/>
      <c r="F58" s="90">
        <f>15612.23+705.1+5549.1+2664.56</f>
        <v>24530.99</v>
      </c>
      <c r="G58" s="33"/>
    </row>
    <row r="59" spans="1:7" ht="12.75" customHeight="1">
      <c r="A59" s="21"/>
      <c r="B59" s="28"/>
      <c r="D59" s="92" t="s">
        <v>23</v>
      </c>
      <c r="E59" s="41"/>
      <c r="F59" s="87">
        <f>6194.97+209.87+1320.69+666.14</f>
        <v>8391.67</v>
      </c>
      <c r="G59" s="33"/>
    </row>
    <row r="60" spans="1:7" ht="12.75" customHeight="1">
      <c r="A60" s="21"/>
      <c r="B60" s="28"/>
      <c r="D60" s="92" t="s">
        <v>24</v>
      </c>
      <c r="E60" s="41"/>
      <c r="F60" s="87">
        <v>4265.33</v>
      </c>
      <c r="G60" s="33"/>
    </row>
    <row r="61" spans="1:7" ht="12.75" customHeight="1">
      <c r="A61" s="21"/>
      <c r="B61" s="28"/>
      <c r="D61" s="92" t="s">
        <v>25</v>
      </c>
      <c r="E61" s="41"/>
      <c r="F61" s="87">
        <v>0</v>
      </c>
      <c r="G61" s="33"/>
    </row>
    <row r="62" spans="1:7" ht="12.75" customHeight="1">
      <c r="A62" s="21"/>
      <c r="B62" s="28"/>
      <c r="D62" s="92" t="s">
        <v>26</v>
      </c>
      <c r="E62" s="41"/>
      <c r="F62" s="87">
        <v>0</v>
      </c>
      <c r="G62" s="33"/>
    </row>
    <row r="63" spans="1:7" ht="12.75" customHeight="1">
      <c r="A63" s="21"/>
      <c r="B63" s="28"/>
      <c r="D63" s="40"/>
      <c r="E63" s="41"/>
      <c r="F63" s="61"/>
      <c r="G63" s="33"/>
    </row>
    <row r="64" spans="1:7" ht="12.75" customHeight="1">
      <c r="A64" s="21"/>
      <c r="B64" s="28"/>
      <c r="C64" s="79" t="s">
        <v>27</v>
      </c>
      <c r="D64" s="21"/>
      <c r="E64" s="38"/>
      <c r="F64" s="65">
        <f>SUM(F65:F69)</f>
        <v>28335.56</v>
      </c>
      <c r="G64" s="33"/>
    </row>
    <row r="65" spans="1:7" ht="12.75" customHeight="1">
      <c r="A65" s="21"/>
      <c r="B65" s="28"/>
      <c r="C65" s="21"/>
      <c r="D65" s="92" t="s">
        <v>28</v>
      </c>
      <c r="E65" s="41"/>
      <c r="F65" s="90">
        <v>0</v>
      </c>
      <c r="G65" s="33"/>
    </row>
    <row r="66" spans="1:7" ht="12.75" customHeight="1">
      <c r="A66" s="21"/>
      <c r="B66" s="28"/>
      <c r="D66" s="92" t="s">
        <v>29</v>
      </c>
      <c r="E66" s="42"/>
      <c r="F66" s="87">
        <v>28335.56</v>
      </c>
      <c r="G66" s="33"/>
    </row>
    <row r="67" spans="1:7" ht="12.75" customHeight="1">
      <c r="A67" s="21"/>
      <c r="B67" s="28"/>
      <c r="D67" s="92" t="s">
        <v>31</v>
      </c>
      <c r="E67" s="41"/>
      <c r="F67" s="87">
        <v>0</v>
      </c>
      <c r="G67" s="33"/>
    </row>
    <row r="68" spans="1:7" ht="12.75" customHeight="1">
      <c r="A68" s="21"/>
      <c r="B68" s="28"/>
      <c r="D68" s="92" t="s">
        <v>32</v>
      </c>
      <c r="E68" s="41"/>
      <c r="F68" s="87"/>
      <c r="G68" s="33"/>
    </row>
    <row r="69" spans="1:7" ht="12.75" customHeight="1">
      <c r="A69" s="21"/>
      <c r="B69" s="28"/>
      <c r="D69" s="40"/>
      <c r="E69" s="93" t="s">
        <v>33</v>
      </c>
      <c r="F69" s="87">
        <v>0</v>
      </c>
      <c r="G69" s="33"/>
    </row>
    <row r="70" spans="1:7" ht="12.75" customHeight="1">
      <c r="A70" s="21"/>
      <c r="B70" s="28"/>
      <c r="D70" s="40"/>
      <c r="E70" s="42"/>
      <c r="F70" s="62"/>
      <c r="G70" s="33"/>
    </row>
    <row r="71" spans="1:7" ht="12.75" customHeight="1">
      <c r="A71" s="21"/>
      <c r="B71" s="28"/>
      <c r="C71" s="79" t="s">
        <v>34</v>
      </c>
      <c r="D71" s="21"/>
      <c r="E71" s="38"/>
      <c r="F71" s="59"/>
      <c r="G71" s="33"/>
    </row>
    <row r="72" spans="1:7" ht="12.75" customHeight="1">
      <c r="A72" s="21"/>
      <c r="B72" s="28"/>
      <c r="D72" s="21"/>
      <c r="E72" s="94" t="s">
        <v>35</v>
      </c>
      <c r="F72" s="66">
        <v>0</v>
      </c>
      <c r="G72" s="33"/>
    </row>
    <row r="73" spans="1:7" ht="12.75" customHeight="1">
      <c r="A73" s="21"/>
      <c r="B73" s="28"/>
      <c r="D73" s="21"/>
      <c r="E73" s="43"/>
      <c r="F73" s="59"/>
      <c r="G73" s="33"/>
    </row>
    <row r="74" spans="1:7" ht="12.75" customHeight="1">
      <c r="A74" s="21"/>
      <c r="B74" s="28"/>
      <c r="C74" s="79" t="s">
        <v>36</v>
      </c>
      <c r="D74" s="21"/>
      <c r="E74" s="38"/>
      <c r="F74" s="66">
        <v>0</v>
      </c>
      <c r="G74" s="33"/>
    </row>
    <row r="75" spans="1:7" ht="12.75" customHeight="1">
      <c r="A75" s="21"/>
      <c r="B75" s="28"/>
      <c r="C75" s="21"/>
      <c r="D75" s="21"/>
      <c r="E75" s="38"/>
      <c r="F75" s="59"/>
      <c r="G75" s="33"/>
    </row>
    <row r="76" spans="1:7" ht="12.75" customHeight="1">
      <c r="A76" s="21"/>
      <c r="B76" s="28"/>
      <c r="C76" s="79" t="s">
        <v>37</v>
      </c>
      <c r="D76" s="21"/>
      <c r="E76" s="38"/>
      <c r="F76" s="66">
        <v>0</v>
      </c>
      <c r="G76" s="33"/>
    </row>
    <row r="77" spans="1:7" ht="12.75" customHeight="1">
      <c r="A77" s="21"/>
      <c r="B77" s="28"/>
      <c r="C77" s="21"/>
      <c r="D77" s="21"/>
      <c r="E77" s="38"/>
      <c r="F77" s="59"/>
      <c r="G77" s="33"/>
    </row>
    <row r="78" spans="1:7" ht="12.75" customHeight="1">
      <c r="A78" s="21"/>
      <c r="B78" s="28"/>
      <c r="C78" s="79" t="s">
        <v>38</v>
      </c>
      <c r="D78" s="21"/>
      <c r="E78" s="38"/>
      <c r="F78" s="66">
        <f>SUM(F79:F85)</f>
        <v>6925.22</v>
      </c>
      <c r="G78" s="33"/>
    </row>
    <row r="79" spans="1:7" ht="12.75" customHeight="1">
      <c r="A79" s="21"/>
      <c r="B79" s="28"/>
      <c r="C79" s="79"/>
      <c r="D79" s="21"/>
      <c r="E79" s="85" t="s">
        <v>123</v>
      </c>
      <c r="F79" s="81">
        <v>1839.75</v>
      </c>
      <c r="G79" s="33"/>
    </row>
    <row r="80" spans="1:7" ht="12.75" customHeight="1">
      <c r="A80" s="21"/>
      <c r="B80" s="28"/>
      <c r="C80" s="79"/>
      <c r="D80" s="21"/>
      <c r="E80" s="85" t="s">
        <v>124</v>
      </c>
      <c r="F80" s="81">
        <v>72.51</v>
      </c>
      <c r="G80" s="33"/>
    </row>
    <row r="81" spans="1:7" ht="12.75" customHeight="1">
      <c r="A81" s="21"/>
      <c r="B81" s="28"/>
      <c r="C81" s="79"/>
      <c r="D81" s="21"/>
      <c r="E81" s="85" t="s">
        <v>139</v>
      </c>
      <c r="F81" s="81">
        <v>1413.4</v>
      </c>
      <c r="G81" s="33"/>
    </row>
    <row r="82" spans="1:7" ht="12.75" customHeight="1">
      <c r="A82" s="21"/>
      <c r="B82" s="28"/>
      <c r="C82" s="79"/>
      <c r="D82" s="21"/>
      <c r="E82" s="85" t="s">
        <v>174</v>
      </c>
      <c r="F82" s="81">
        <v>258</v>
      </c>
      <c r="G82" s="33"/>
    </row>
    <row r="83" spans="1:7" ht="12.75" customHeight="1">
      <c r="A83" s="21"/>
      <c r="B83" s="28"/>
      <c r="C83" s="79"/>
      <c r="D83" s="21"/>
      <c r="E83" s="85" t="s">
        <v>101</v>
      </c>
      <c r="F83" s="81">
        <v>75.82</v>
      </c>
      <c r="G83" s="33"/>
    </row>
    <row r="84" spans="1:7" ht="12.75" customHeight="1">
      <c r="A84" s="21"/>
      <c r="B84" s="28"/>
      <c r="C84" s="79"/>
      <c r="D84" s="21"/>
      <c r="E84" s="85" t="s">
        <v>102</v>
      </c>
      <c r="F84" s="81">
        <v>3076.02</v>
      </c>
      <c r="G84" s="33"/>
    </row>
    <row r="85" spans="1:7" ht="12.75" customHeight="1">
      <c r="A85" s="21"/>
      <c r="B85" s="28"/>
      <c r="C85" s="79"/>
      <c r="D85" s="21"/>
      <c r="E85" s="85" t="s">
        <v>151</v>
      </c>
      <c r="F85" s="81">
        <v>189.72</v>
      </c>
      <c r="G85" s="33"/>
    </row>
    <row r="86" spans="1:7" ht="12.75" customHeight="1">
      <c r="A86" s="21"/>
      <c r="B86" s="28"/>
      <c r="C86" s="21"/>
      <c r="D86" s="21"/>
      <c r="E86" s="43"/>
      <c r="F86" s="59" t="s">
        <v>0</v>
      </c>
      <c r="G86" s="33"/>
    </row>
    <row r="87" spans="1:9" ht="16.5" customHeight="1">
      <c r="A87" s="44"/>
      <c r="B87" s="75" t="s">
        <v>39</v>
      </c>
      <c r="C87" s="45"/>
      <c r="D87" s="45"/>
      <c r="E87" s="39"/>
      <c r="F87" s="59" t="s">
        <v>0</v>
      </c>
      <c r="G87" s="98">
        <f>SUM(G19:G78)</f>
        <v>34215.72</v>
      </c>
      <c r="I87" s="70"/>
    </row>
    <row r="88" spans="1:7" ht="12.75" customHeight="1">
      <c r="A88" s="21"/>
      <c r="B88" s="97" t="s">
        <v>40</v>
      </c>
      <c r="C88" s="21"/>
      <c r="D88" s="21"/>
      <c r="E88" s="43"/>
      <c r="F88" s="59" t="s">
        <v>0</v>
      </c>
      <c r="G88" s="46"/>
    </row>
    <row r="89" spans="2:7" ht="12" customHeight="1">
      <c r="B89" s="47"/>
      <c r="E89" s="38"/>
      <c r="F89" s="59" t="s">
        <v>0</v>
      </c>
      <c r="G89" s="46"/>
    </row>
    <row r="90" spans="2:7" ht="16.5" customHeight="1">
      <c r="B90" s="75" t="s">
        <v>52</v>
      </c>
      <c r="C90" s="35"/>
      <c r="D90" s="35"/>
      <c r="E90" s="48"/>
      <c r="F90" s="60"/>
      <c r="G90" s="98">
        <f>SUM(F92:F94)</f>
        <v>-38749.12</v>
      </c>
    </row>
    <row r="91" spans="2:7" ht="12">
      <c r="B91" s="47"/>
      <c r="E91" s="38"/>
      <c r="F91" s="59"/>
      <c r="G91" s="46"/>
    </row>
    <row r="92" spans="2:7" ht="15">
      <c r="B92" s="28"/>
      <c r="C92" s="79" t="s">
        <v>49</v>
      </c>
      <c r="D92" s="21"/>
      <c r="E92" s="38"/>
      <c r="F92" s="64">
        <v>0</v>
      </c>
      <c r="G92" s="46"/>
    </row>
    <row r="93" spans="2:7" ht="15">
      <c r="B93" s="47"/>
      <c r="C93" s="79" t="s">
        <v>50</v>
      </c>
      <c r="E93" s="38"/>
      <c r="F93" s="71">
        <v>0.09</v>
      </c>
      <c r="G93" s="46"/>
    </row>
    <row r="94" spans="2:7" ht="15">
      <c r="B94" s="47"/>
      <c r="C94" s="79" t="s">
        <v>51</v>
      </c>
      <c r="E94" s="38"/>
      <c r="F94" s="66">
        <v>-38749.21</v>
      </c>
      <c r="G94" s="46"/>
    </row>
    <row r="95" spans="2:7" ht="12">
      <c r="B95" s="47"/>
      <c r="E95" s="38"/>
      <c r="F95" s="59"/>
      <c r="G95" s="46"/>
    </row>
    <row r="96" spans="2:7" ht="18">
      <c r="B96" s="75" t="s">
        <v>75</v>
      </c>
      <c r="C96" s="35"/>
      <c r="D96" s="35"/>
      <c r="E96" s="48"/>
      <c r="F96" s="69">
        <v>0</v>
      </c>
      <c r="G96" s="99">
        <v>0</v>
      </c>
    </row>
    <row r="97" spans="2:7" ht="12">
      <c r="B97" s="47"/>
      <c r="E97" s="38"/>
      <c r="F97" s="59"/>
      <c r="G97" s="46"/>
    </row>
    <row r="98" spans="2:7" ht="18">
      <c r="B98" s="75" t="s">
        <v>76</v>
      </c>
      <c r="C98" s="35"/>
      <c r="D98" s="35"/>
      <c r="E98" s="48"/>
      <c r="F98" s="60"/>
      <c r="G98" s="98">
        <f>F100+F101</f>
        <v>9705.97</v>
      </c>
    </row>
    <row r="99" spans="2:7" ht="12">
      <c r="B99" s="47"/>
      <c r="E99" s="38"/>
      <c r="F99" s="59"/>
      <c r="G99" s="46"/>
    </row>
    <row r="100" spans="2:7" ht="14.25">
      <c r="B100" s="47"/>
      <c r="C100" s="79" t="s">
        <v>53</v>
      </c>
      <c r="E100" s="38"/>
      <c r="F100" s="68">
        <v>10003.58</v>
      </c>
      <c r="G100" s="46"/>
    </row>
    <row r="101" spans="2:7" ht="14.25">
      <c r="B101" s="47"/>
      <c r="C101" s="79" t="s">
        <v>54</v>
      </c>
      <c r="E101" s="38"/>
      <c r="F101" s="68">
        <v>-297.61</v>
      </c>
      <c r="G101" s="46"/>
    </row>
    <row r="102" spans="2:7" ht="12">
      <c r="B102" s="47"/>
      <c r="E102" s="38"/>
      <c r="F102" s="59"/>
      <c r="G102" s="46"/>
    </row>
    <row r="103" spans="2:7" ht="12">
      <c r="B103" s="47"/>
      <c r="E103" s="38"/>
      <c r="F103" s="59"/>
      <c r="G103" s="46"/>
    </row>
    <row r="104" spans="2:9" ht="18">
      <c r="B104" s="31"/>
      <c r="E104" s="100" t="s">
        <v>55</v>
      </c>
      <c r="F104" s="59"/>
      <c r="G104" s="101">
        <f>G87+G90+G96+G98</f>
        <v>5172.569999999998</v>
      </c>
      <c r="I104" s="70"/>
    </row>
    <row r="105" spans="2:7" ht="12">
      <c r="B105" s="49"/>
      <c r="C105" s="50"/>
      <c r="D105" s="50"/>
      <c r="E105" s="51"/>
      <c r="F105" s="52"/>
      <c r="G105" s="53"/>
    </row>
    <row r="110" spans="5:7" ht="15.75">
      <c r="E110" s="103" t="s">
        <v>110</v>
      </c>
      <c r="G110" s="107">
        <f>773348.29*3.18/100</f>
        <v>24592.475622</v>
      </c>
    </row>
    <row r="112" spans="5:7" ht="15.75">
      <c r="E112" s="103" t="s">
        <v>111</v>
      </c>
      <c r="G112" s="107">
        <f>-886714.22*3.18/100-1.99</f>
        <v>-28199.502196</v>
      </c>
    </row>
    <row r="114" spans="5:7" ht="18">
      <c r="E114" s="103" t="s">
        <v>156</v>
      </c>
      <c r="G114" s="104">
        <f>G104+G110+G112</f>
        <v>1565.5434259999965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0" fitToWidth="1" horizontalDpi="300" verticalDpi="300" orientation="portrait" paperSize="9" scale="93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0"/>
  <sheetViews>
    <sheetView workbookViewId="0" topLeftCell="A85">
      <selection activeCell="G99" sqref="G99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60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F20+F23+F24+F25+F27</f>
        <v>18580.73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SUM(F21:F21)</f>
        <v>14517.38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141</v>
      </c>
      <c r="F21" s="80">
        <v>14517.38</v>
      </c>
      <c r="G21" s="32"/>
    </row>
    <row r="22" spans="1:7" ht="12.75" customHeight="1">
      <c r="A22" s="21"/>
      <c r="B22" s="28"/>
      <c r="C22" s="76" t="s">
        <v>8</v>
      </c>
      <c r="D22" s="76" t="s">
        <v>9</v>
      </c>
      <c r="E22" s="77"/>
      <c r="F22" s="81"/>
      <c r="G22" s="32"/>
    </row>
    <row r="23" spans="1:7" ht="12.75" customHeight="1">
      <c r="A23" s="21"/>
      <c r="B23" s="28"/>
      <c r="C23" s="76"/>
      <c r="D23" s="76" t="s">
        <v>10</v>
      </c>
      <c r="E23" s="77"/>
      <c r="F23" s="81">
        <v>0</v>
      </c>
      <c r="G23" s="32"/>
    </row>
    <row r="24" spans="1:7" ht="12.75" customHeight="1">
      <c r="A24" s="21"/>
      <c r="B24" s="28"/>
      <c r="C24" s="76" t="s">
        <v>11</v>
      </c>
      <c r="D24" s="76" t="s">
        <v>12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13</v>
      </c>
      <c r="D25" s="76"/>
      <c r="E25" s="77"/>
      <c r="F25" s="81">
        <v>0</v>
      </c>
      <c r="G25" s="32"/>
    </row>
    <row r="26" spans="1:7" ht="12.75" customHeight="1">
      <c r="A26" s="21"/>
      <c r="B26" s="28"/>
      <c r="C26" s="76" t="s">
        <v>14</v>
      </c>
      <c r="D26" s="76"/>
      <c r="E26" s="77"/>
      <c r="F26" s="81" t="s">
        <v>0</v>
      </c>
      <c r="G26" s="33"/>
    </row>
    <row r="27" spans="1:7" ht="12.75" customHeight="1">
      <c r="A27" s="21"/>
      <c r="B27" s="28"/>
      <c r="C27" s="76"/>
      <c r="D27" s="76" t="s">
        <v>15</v>
      </c>
      <c r="E27" s="77"/>
      <c r="F27" s="64">
        <f>SUM(F28:F28)</f>
        <v>4063.35</v>
      </c>
      <c r="G27" s="33"/>
    </row>
    <row r="28" spans="1:7" ht="12.75" customHeight="1">
      <c r="A28" s="21"/>
      <c r="B28" s="28"/>
      <c r="C28" s="76"/>
      <c r="D28" s="78" t="s">
        <v>30</v>
      </c>
      <c r="E28" s="77" t="s">
        <v>44</v>
      </c>
      <c r="F28" s="80">
        <f>4000+63.35</f>
        <v>4063.35</v>
      </c>
      <c r="G28" s="34"/>
    </row>
    <row r="29" spans="1:7" ht="12.75" customHeight="1">
      <c r="A29" s="21"/>
      <c r="B29" s="28"/>
      <c r="C29" s="21"/>
      <c r="D29" s="21"/>
      <c r="E29" s="21"/>
      <c r="F29" s="59"/>
      <c r="G29" s="33"/>
    </row>
    <row r="30" spans="1:7" s="37" customFormat="1" ht="15.75" customHeight="1">
      <c r="A30" s="35"/>
      <c r="B30" s="75" t="s">
        <v>16</v>
      </c>
      <c r="C30" s="35"/>
      <c r="D30" s="35"/>
      <c r="E30" s="36"/>
      <c r="F30" s="60"/>
      <c r="G30" s="84">
        <f>-(F32+F38+F45+F48+F55+F63+F65+F67+F69)</f>
        <v>-25083.839999999997</v>
      </c>
    </row>
    <row r="31" spans="1:7" ht="12.75" customHeight="1">
      <c r="A31" s="21"/>
      <c r="B31" s="28"/>
      <c r="C31" s="79" t="s">
        <v>17</v>
      </c>
      <c r="D31" s="21"/>
      <c r="F31" s="59" t="s">
        <v>0</v>
      </c>
      <c r="G31" s="33"/>
    </row>
    <row r="32" spans="1:7" ht="12.75" customHeight="1">
      <c r="A32" s="21"/>
      <c r="B32" s="28"/>
      <c r="D32" s="79" t="s">
        <v>18</v>
      </c>
      <c r="E32" s="38"/>
      <c r="F32" s="65">
        <f>SUM(F33:F36)</f>
        <v>7911.4</v>
      </c>
      <c r="G32" s="33"/>
    </row>
    <row r="33" spans="1:7" ht="12.75" customHeight="1">
      <c r="A33" s="21"/>
      <c r="B33" s="28"/>
      <c r="D33" s="21"/>
      <c r="E33" s="85" t="s">
        <v>108</v>
      </c>
      <c r="F33" s="87">
        <v>43.3</v>
      </c>
      <c r="G33" s="33"/>
    </row>
    <row r="34" spans="1:7" ht="12.75" customHeight="1">
      <c r="A34" s="21"/>
      <c r="B34" s="28"/>
      <c r="D34" s="21"/>
      <c r="E34" s="85" t="s">
        <v>116</v>
      </c>
      <c r="F34" s="96">
        <v>302.64</v>
      </c>
      <c r="G34" s="33"/>
    </row>
    <row r="35" spans="1:7" ht="12.75" customHeight="1">
      <c r="A35" s="21"/>
      <c r="B35" s="28"/>
      <c r="D35" s="21"/>
      <c r="E35" s="85" t="s">
        <v>117</v>
      </c>
      <c r="F35" s="96">
        <v>7565.46</v>
      </c>
      <c r="G35" s="33"/>
    </row>
    <row r="36" spans="1:7" ht="12.75" customHeight="1">
      <c r="A36" s="21"/>
      <c r="B36" s="28"/>
      <c r="D36" s="21"/>
      <c r="E36" s="85"/>
      <c r="F36" s="83"/>
      <c r="G36" s="33"/>
    </row>
    <row r="37" spans="1:7" ht="12.75" customHeight="1">
      <c r="A37" s="21"/>
      <c r="B37" s="28"/>
      <c r="D37" s="21"/>
      <c r="E37" s="38"/>
      <c r="F37" s="62"/>
      <c r="G37" s="33"/>
    </row>
    <row r="38" spans="1:7" ht="12.75" customHeight="1">
      <c r="A38" s="21"/>
      <c r="B38" s="28"/>
      <c r="C38" s="79" t="s">
        <v>19</v>
      </c>
      <c r="D38" s="21"/>
      <c r="E38" s="38"/>
      <c r="F38" s="65">
        <f>SUM(F39:F43)</f>
        <v>17004.59</v>
      </c>
      <c r="G38" s="33"/>
    </row>
    <row r="39" spans="1:7" ht="12.75" customHeight="1">
      <c r="A39" s="21"/>
      <c r="B39" s="28"/>
      <c r="C39" s="79"/>
      <c r="D39" s="21"/>
      <c r="E39" s="38" t="s">
        <v>220</v>
      </c>
      <c r="F39" s="86">
        <v>4514.51</v>
      </c>
      <c r="G39" s="33"/>
    </row>
    <row r="40" spans="1:7" ht="12.75" customHeight="1">
      <c r="A40" s="21"/>
      <c r="B40" s="28"/>
      <c r="C40" s="79"/>
      <c r="D40" s="21"/>
      <c r="E40" s="38" t="s">
        <v>221</v>
      </c>
      <c r="F40" s="86">
        <v>219.29</v>
      </c>
      <c r="G40" s="33"/>
    </row>
    <row r="41" spans="1:7" ht="12.75" customHeight="1">
      <c r="A41" s="21"/>
      <c r="B41" s="28"/>
      <c r="C41" s="21"/>
      <c r="D41" s="21"/>
      <c r="E41" s="85" t="s">
        <v>143</v>
      </c>
      <c r="F41" s="87">
        <f>5808.11+1084.06+2748</f>
        <v>9640.17</v>
      </c>
      <c r="G41" s="33"/>
    </row>
    <row r="42" spans="1:256" ht="12.75" customHeight="1">
      <c r="A42" s="85"/>
      <c r="B42" s="77"/>
      <c r="C42" s="77"/>
      <c r="D42" s="77"/>
      <c r="E42" s="85" t="s">
        <v>119</v>
      </c>
      <c r="F42" s="105">
        <v>1359.62</v>
      </c>
      <c r="G42" s="85"/>
      <c r="H42" s="77"/>
      <c r="I42" s="77"/>
      <c r="J42" s="77"/>
      <c r="K42" s="77"/>
      <c r="L42" s="77"/>
      <c r="M42" s="77"/>
      <c r="N42" s="77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 t="s">
        <v>81</v>
      </c>
      <c r="BE42" s="85" t="s">
        <v>81</v>
      </c>
      <c r="BF42" s="85" t="s">
        <v>81</v>
      </c>
      <c r="BG42" s="85" t="s">
        <v>81</v>
      </c>
      <c r="BH42" s="85" t="s">
        <v>81</v>
      </c>
      <c r="BI42" s="85" t="s">
        <v>81</v>
      </c>
      <c r="BJ42" s="85" t="s">
        <v>81</v>
      </c>
      <c r="BK42" s="85" t="s">
        <v>81</v>
      </c>
      <c r="BL42" s="85" t="s">
        <v>81</v>
      </c>
      <c r="BM42" s="85" t="s">
        <v>81</v>
      </c>
      <c r="BN42" s="85" t="s">
        <v>81</v>
      </c>
      <c r="BO42" s="85" t="s">
        <v>81</v>
      </c>
      <c r="BP42" s="85" t="s">
        <v>81</v>
      </c>
      <c r="BQ42" s="85" t="s">
        <v>81</v>
      </c>
      <c r="BR42" s="85" t="s">
        <v>81</v>
      </c>
      <c r="BS42" s="85" t="s">
        <v>81</v>
      </c>
      <c r="BT42" s="85" t="s">
        <v>81</v>
      </c>
      <c r="BU42" s="85" t="s">
        <v>81</v>
      </c>
      <c r="BV42" s="85" t="s">
        <v>81</v>
      </c>
      <c r="BW42" s="85" t="s">
        <v>81</v>
      </c>
      <c r="BX42" s="85" t="s">
        <v>81</v>
      </c>
      <c r="BY42" s="85" t="s">
        <v>81</v>
      </c>
      <c r="BZ42" s="85" t="s">
        <v>81</v>
      </c>
      <c r="CA42" s="85" t="s">
        <v>81</v>
      </c>
      <c r="CB42" s="85" t="s">
        <v>81</v>
      </c>
      <c r="CC42" s="85" t="s">
        <v>81</v>
      </c>
      <c r="CD42" s="85" t="s">
        <v>81</v>
      </c>
      <c r="CE42" s="85" t="s">
        <v>81</v>
      </c>
      <c r="CF42" s="85" t="s">
        <v>81</v>
      </c>
      <c r="CG42" s="85" t="s">
        <v>81</v>
      </c>
      <c r="CH42" s="85" t="s">
        <v>81</v>
      </c>
      <c r="CI42" s="85" t="s">
        <v>81</v>
      </c>
      <c r="CJ42" s="85" t="s">
        <v>81</v>
      </c>
      <c r="CK42" s="85" t="s">
        <v>81</v>
      </c>
      <c r="CL42" s="85" t="s">
        <v>81</v>
      </c>
      <c r="CM42" s="85" t="s">
        <v>81</v>
      </c>
      <c r="CN42" s="85" t="s">
        <v>81</v>
      </c>
      <c r="CO42" s="85" t="s">
        <v>81</v>
      </c>
      <c r="CP42" s="85" t="s">
        <v>81</v>
      </c>
      <c r="CQ42" s="85" t="s">
        <v>81</v>
      </c>
      <c r="CR42" s="85" t="s">
        <v>81</v>
      </c>
      <c r="CS42" s="85" t="s">
        <v>81</v>
      </c>
      <c r="CT42" s="85" t="s">
        <v>81</v>
      </c>
      <c r="CU42" s="85" t="s">
        <v>81</v>
      </c>
      <c r="CV42" s="85" t="s">
        <v>81</v>
      </c>
      <c r="CW42" s="85" t="s">
        <v>81</v>
      </c>
      <c r="CX42" s="85" t="s">
        <v>81</v>
      </c>
      <c r="CY42" s="85" t="s">
        <v>81</v>
      </c>
      <c r="CZ42" s="85" t="s">
        <v>81</v>
      </c>
      <c r="DA42" s="85" t="s">
        <v>81</v>
      </c>
      <c r="DB42" s="85" t="s">
        <v>81</v>
      </c>
      <c r="DC42" s="85" t="s">
        <v>81</v>
      </c>
      <c r="DD42" s="85" t="s">
        <v>81</v>
      </c>
      <c r="DE42" s="85" t="s">
        <v>81</v>
      </c>
      <c r="DF42" s="85" t="s">
        <v>81</v>
      </c>
      <c r="DG42" s="85" t="s">
        <v>81</v>
      </c>
      <c r="DH42" s="85" t="s">
        <v>81</v>
      </c>
      <c r="DI42" s="85" t="s">
        <v>81</v>
      </c>
      <c r="DJ42" s="85" t="s">
        <v>81</v>
      </c>
      <c r="DK42" s="85" t="s">
        <v>81</v>
      </c>
      <c r="DL42" s="85" t="s">
        <v>81</v>
      </c>
      <c r="DM42" s="85" t="s">
        <v>81</v>
      </c>
      <c r="DN42" s="85" t="s">
        <v>81</v>
      </c>
      <c r="DO42" s="85" t="s">
        <v>81</v>
      </c>
      <c r="DP42" s="85" t="s">
        <v>81</v>
      </c>
      <c r="DQ42" s="85" t="s">
        <v>81</v>
      </c>
      <c r="DR42" s="85" t="s">
        <v>81</v>
      </c>
      <c r="DS42" s="85" t="s">
        <v>81</v>
      </c>
      <c r="DT42" s="85" t="s">
        <v>81</v>
      </c>
      <c r="DU42" s="85" t="s">
        <v>81</v>
      </c>
      <c r="DV42" s="85" t="s">
        <v>81</v>
      </c>
      <c r="DW42" s="85" t="s">
        <v>81</v>
      </c>
      <c r="DX42" s="85" t="s">
        <v>81</v>
      </c>
      <c r="DY42" s="85" t="s">
        <v>81</v>
      </c>
      <c r="DZ42" s="85" t="s">
        <v>81</v>
      </c>
      <c r="EA42" s="85" t="s">
        <v>81</v>
      </c>
      <c r="EB42" s="85" t="s">
        <v>81</v>
      </c>
      <c r="EC42" s="85" t="s">
        <v>81</v>
      </c>
      <c r="ED42" s="85" t="s">
        <v>81</v>
      </c>
      <c r="EE42" s="85" t="s">
        <v>81</v>
      </c>
      <c r="EF42" s="85" t="s">
        <v>81</v>
      </c>
      <c r="EG42" s="85" t="s">
        <v>81</v>
      </c>
      <c r="EH42" s="85" t="s">
        <v>81</v>
      </c>
      <c r="EI42" s="85" t="s">
        <v>81</v>
      </c>
      <c r="EJ42" s="85" t="s">
        <v>81</v>
      </c>
      <c r="EK42" s="85" t="s">
        <v>81</v>
      </c>
      <c r="EL42" s="85" t="s">
        <v>81</v>
      </c>
      <c r="EM42" s="85" t="s">
        <v>81</v>
      </c>
      <c r="EN42" s="85" t="s">
        <v>81</v>
      </c>
      <c r="EO42" s="85" t="s">
        <v>81</v>
      </c>
      <c r="EP42" s="85" t="s">
        <v>81</v>
      </c>
      <c r="EQ42" s="85" t="s">
        <v>81</v>
      </c>
      <c r="ER42" s="85" t="s">
        <v>81</v>
      </c>
      <c r="ES42" s="85" t="s">
        <v>81</v>
      </c>
      <c r="ET42" s="85" t="s">
        <v>81</v>
      </c>
      <c r="EU42" s="85" t="s">
        <v>81</v>
      </c>
      <c r="EV42" s="85" t="s">
        <v>81</v>
      </c>
      <c r="EW42" s="85" t="s">
        <v>81</v>
      </c>
      <c r="EX42" s="85" t="s">
        <v>81</v>
      </c>
      <c r="EY42" s="85" t="s">
        <v>81</v>
      </c>
      <c r="EZ42" s="85" t="s">
        <v>81</v>
      </c>
      <c r="FA42" s="85" t="s">
        <v>81</v>
      </c>
      <c r="FB42" s="85" t="s">
        <v>81</v>
      </c>
      <c r="FC42" s="85" t="s">
        <v>81</v>
      </c>
      <c r="FD42" s="85" t="s">
        <v>81</v>
      </c>
      <c r="FE42" s="85" t="s">
        <v>81</v>
      </c>
      <c r="FF42" s="85" t="s">
        <v>81</v>
      </c>
      <c r="FG42" s="85" t="s">
        <v>81</v>
      </c>
      <c r="FH42" s="85" t="s">
        <v>81</v>
      </c>
      <c r="FI42" s="85" t="s">
        <v>81</v>
      </c>
      <c r="FJ42" s="85" t="s">
        <v>81</v>
      </c>
      <c r="FK42" s="85" t="s">
        <v>81</v>
      </c>
      <c r="FL42" s="85" t="s">
        <v>81</v>
      </c>
      <c r="FM42" s="85" t="s">
        <v>81</v>
      </c>
      <c r="FN42" s="85" t="s">
        <v>81</v>
      </c>
      <c r="FO42" s="85" t="s">
        <v>81</v>
      </c>
      <c r="FP42" s="85" t="s">
        <v>81</v>
      </c>
      <c r="FQ42" s="85" t="s">
        <v>81</v>
      </c>
      <c r="FR42" s="85" t="s">
        <v>81</v>
      </c>
      <c r="FS42" s="85" t="s">
        <v>81</v>
      </c>
      <c r="FT42" s="85" t="s">
        <v>81</v>
      </c>
      <c r="FU42" s="85" t="s">
        <v>81</v>
      </c>
      <c r="FV42" s="85" t="s">
        <v>81</v>
      </c>
      <c r="FW42" s="85" t="s">
        <v>81</v>
      </c>
      <c r="FX42" s="85" t="s">
        <v>81</v>
      </c>
      <c r="FY42" s="85" t="s">
        <v>81</v>
      </c>
      <c r="FZ42" s="85" t="s">
        <v>81</v>
      </c>
      <c r="GA42" s="85" t="s">
        <v>81</v>
      </c>
      <c r="GB42" s="85" t="s">
        <v>81</v>
      </c>
      <c r="GC42" s="85" t="s">
        <v>81</v>
      </c>
      <c r="GD42" s="85" t="s">
        <v>81</v>
      </c>
      <c r="GE42" s="85" t="s">
        <v>81</v>
      </c>
      <c r="GF42" s="85" t="s">
        <v>81</v>
      </c>
      <c r="GG42" s="85" t="s">
        <v>81</v>
      </c>
      <c r="GH42" s="85" t="s">
        <v>81</v>
      </c>
      <c r="GI42" s="85" t="s">
        <v>81</v>
      </c>
      <c r="GJ42" s="85" t="s">
        <v>81</v>
      </c>
      <c r="GK42" s="85" t="s">
        <v>81</v>
      </c>
      <c r="GL42" s="85" t="s">
        <v>81</v>
      </c>
      <c r="GM42" s="85" t="s">
        <v>81</v>
      </c>
      <c r="GN42" s="85" t="s">
        <v>81</v>
      </c>
      <c r="GO42" s="85" t="s">
        <v>81</v>
      </c>
      <c r="GP42" s="85" t="s">
        <v>81</v>
      </c>
      <c r="GQ42" s="85" t="s">
        <v>81</v>
      </c>
      <c r="GR42" s="85" t="s">
        <v>81</v>
      </c>
      <c r="GS42" s="85" t="s">
        <v>81</v>
      </c>
      <c r="GT42" s="85" t="s">
        <v>81</v>
      </c>
      <c r="GU42" s="85" t="s">
        <v>81</v>
      </c>
      <c r="GV42" s="85" t="s">
        <v>81</v>
      </c>
      <c r="GW42" s="85" t="s">
        <v>81</v>
      </c>
      <c r="GX42" s="85" t="s">
        <v>81</v>
      </c>
      <c r="GY42" s="85" t="s">
        <v>81</v>
      </c>
      <c r="GZ42" s="85" t="s">
        <v>81</v>
      </c>
      <c r="HA42" s="85" t="s">
        <v>81</v>
      </c>
      <c r="HB42" s="85" t="s">
        <v>81</v>
      </c>
      <c r="HC42" s="85" t="s">
        <v>81</v>
      </c>
      <c r="HD42" s="85" t="s">
        <v>81</v>
      </c>
      <c r="HE42" s="85" t="s">
        <v>81</v>
      </c>
      <c r="HF42" s="85" t="s">
        <v>81</v>
      </c>
      <c r="HG42" s="85" t="s">
        <v>81</v>
      </c>
      <c r="HH42" s="85" t="s">
        <v>81</v>
      </c>
      <c r="HI42" s="85" t="s">
        <v>81</v>
      </c>
      <c r="HJ42" s="85" t="s">
        <v>81</v>
      </c>
      <c r="HK42" s="85" t="s">
        <v>81</v>
      </c>
      <c r="HL42" s="85" t="s">
        <v>81</v>
      </c>
      <c r="HM42" s="85" t="s">
        <v>81</v>
      </c>
      <c r="HN42" s="85" t="s">
        <v>81</v>
      </c>
      <c r="HO42" s="85" t="s">
        <v>81</v>
      </c>
      <c r="HP42" s="85" t="s">
        <v>81</v>
      </c>
      <c r="HQ42" s="85" t="s">
        <v>81</v>
      </c>
      <c r="HR42" s="85" t="s">
        <v>81</v>
      </c>
      <c r="HS42" s="85" t="s">
        <v>81</v>
      </c>
      <c r="HT42" s="85" t="s">
        <v>81</v>
      </c>
      <c r="HU42" s="85" t="s">
        <v>81</v>
      </c>
      <c r="HV42" s="85" t="s">
        <v>81</v>
      </c>
      <c r="HW42" s="85" t="s">
        <v>81</v>
      </c>
      <c r="HX42" s="85" t="s">
        <v>81</v>
      </c>
      <c r="HY42" s="85" t="s">
        <v>81</v>
      </c>
      <c r="HZ42" s="85" t="s">
        <v>81</v>
      </c>
      <c r="IA42" s="85" t="s">
        <v>81</v>
      </c>
      <c r="IB42" s="85" t="s">
        <v>81</v>
      </c>
      <c r="IC42" s="85" t="s">
        <v>81</v>
      </c>
      <c r="ID42" s="85" t="s">
        <v>81</v>
      </c>
      <c r="IE42" s="85" t="s">
        <v>81</v>
      </c>
      <c r="IF42" s="85" t="s">
        <v>81</v>
      </c>
      <c r="IG42" s="85" t="s">
        <v>81</v>
      </c>
      <c r="IH42" s="85" t="s">
        <v>81</v>
      </c>
      <c r="II42" s="85" t="s">
        <v>81</v>
      </c>
      <c r="IJ42" s="85" t="s">
        <v>81</v>
      </c>
      <c r="IK42" s="85" t="s">
        <v>81</v>
      </c>
      <c r="IL42" s="85" t="s">
        <v>81</v>
      </c>
      <c r="IM42" s="85" t="s">
        <v>81</v>
      </c>
      <c r="IN42" s="85" t="s">
        <v>81</v>
      </c>
      <c r="IO42" s="85" t="s">
        <v>81</v>
      </c>
      <c r="IP42" s="85" t="s">
        <v>81</v>
      </c>
      <c r="IQ42" s="85" t="s">
        <v>81</v>
      </c>
      <c r="IR42" s="85" t="s">
        <v>81</v>
      </c>
      <c r="IS42" s="85" t="s">
        <v>81</v>
      </c>
      <c r="IT42" s="85" t="s">
        <v>81</v>
      </c>
      <c r="IU42" s="85" t="s">
        <v>81</v>
      </c>
      <c r="IV42" s="85" t="s">
        <v>81</v>
      </c>
    </row>
    <row r="43" spans="1:7" ht="12.75" customHeight="1">
      <c r="A43" s="21"/>
      <c r="B43" s="28"/>
      <c r="C43" s="21"/>
      <c r="D43" s="21"/>
      <c r="E43" s="85" t="s">
        <v>135</v>
      </c>
      <c r="F43" s="87">
        <v>1271</v>
      </c>
      <c r="G43" s="33"/>
    </row>
    <row r="44" spans="1:7" ht="12.75" customHeight="1">
      <c r="A44" s="21"/>
      <c r="B44" s="28"/>
      <c r="C44" s="21"/>
      <c r="D44" s="21"/>
      <c r="E44" s="39"/>
      <c r="F44" s="62"/>
      <c r="G44" s="111"/>
    </row>
    <row r="45" spans="1:7" ht="12.75" customHeight="1">
      <c r="A45" s="21"/>
      <c r="B45" s="28"/>
      <c r="C45" s="79" t="s">
        <v>20</v>
      </c>
      <c r="D45" s="21"/>
      <c r="E45" s="38"/>
      <c r="F45" s="64">
        <v>0</v>
      </c>
      <c r="G45" s="33"/>
    </row>
    <row r="46" spans="1:7" ht="12.75" customHeight="1">
      <c r="A46" s="21"/>
      <c r="B46" s="28"/>
      <c r="C46" s="21"/>
      <c r="D46" s="21"/>
      <c r="E46" s="39"/>
      <c r="F46" s="67"/>
      <c r="G46" s="33"/>
    </row>
    <row r="47" spans="1:7" ht="12.75" customHeight="1">
      <c r="A47" s="21"/>
      <c r="B47" s="28"/>
      <c r="C47" s="21"/>
      <c r="D47" s="21"/>
      <c r="E47" s="39"/>
      <c r="F47" s="61"/>
      <c r="G47" s="33"/>
    </row>
    <row r="48" spans="1:7" ht="12.75" customHeight="1">
      <c r="A48" s="21"/>
      <c r="B48" s="28"/>
      <c r="C48" s="79" t="s">
        <v>21</v>
      </c>
      <c r="D48" s="21"/>
      <c r="E48" s="38"/>
      <c r="F48" s="65">
        <f>SUM(F49:F53)</f>
        <v>0</v>
      </c>
      <c r="G48" s="33"/>
    </row>
    <row r="49" spans="1:7" ht="12.75" customHeight="1">
      <c r="A49" s="21"/>
      <c r="B49" s="28"/>
      <c r="D49" s="92" t="s">
        <v>22</v>
      </c>
      <c r="E49" s="41"/>
      <c r="F49" s="90">
        <v>0</v>
      </c>
      <c r="G49" s="33"/>
    </row>
    <row r="50" spans="1:7" ht="12.75" customHeight="1">
      <c r="A50" s="21"/>
      <c r="B50" s="28"/>
      <c r="D50" s="92" t="s">
        <v>23</v>
      </c>
      <c r="E50" s="41"/>
      <c r="F50" s="87">
        <v>0</v>
      </c>
      <c r="G50" s="33"/>
    </row>
    <row r="51" spans="1:7" ht="12.75" customHeight="1">
      <c r="A51" s="21"/>
      <c r="B51" s="28"/>
      <c r="D51" s="92" t="s">
        <v>24</v>
      </c>
      <c r="E51" s="41"/>
      <c r="F51" s="87">
        <v>0</v>
      </c>
      <c r="G51" s="33"/>
    </row>
    <row r="52" spans="1:7" ht="12.75" customHeight="1">
      <c r="A52" s="21"/>
      <c r="B52" s="28"/>
      <c r="D52" s="92" t="s">
        <v>25</v>
      </c>
      <c r="E52" s="41"/>
      <c r="F52" s="87">
        <v>0</v>
      </c>
      <c r="G52" s="33"/>
    </row>
    <row r="53" spans="1:7" ht="12.75" customHeight="1">
      <c r="A53" s="21"/>
      <c r="B53" s="28"/>
      <c r="D53" s="92" t="s">
        <v>26</v>
      </c>
      <c r="E53" s="41"/>
      <c r="F53" s="87">
        <v>0</v>
      </c>
      <c r="G53" s="33"/>
    </row>
    <row r="54" spans="1:7" ht="12.75" customHeight="1">
      <c r="A54" s="21"/>
      <c r="B54" s="28"/>
      <c r="D54" s="40"/>
      <c r="E54" s="41"/>
      <c r="F54" s="61"/>
      <c r="G54" s="33"/>
    </row>
    <row r="55" spans="1:7" ht="12.75" customHeight="1">
      <c r="A55" s="21"/>
      <c r="B55" s="28"/>
      <c r="C55" s="79" t="s">
        <v>27</v>
      </c>
      <c r="D55" s="21"/>
      <c r="E55" s="38"/>
      <c r="F55" s="65">
        <f>SUM(F56:F60)</f>
        <v>0</v>
      </c>
      <c r="G55" s="33"/>
    </row>
    <row r="56" spans="1:7" ht="12.75" customHeight="1">
      <c r="A56" s="21"/>
      <c r="B56" s="28"/>
      <c r="C56" s="21"/>
      <c r="D56" s="92" t="s">
        <v>28</v>
      </c>
      <c r="E56" s="41"/>
      <c r="F56" s="90">
        <v>0</v>
      </c>
      <c r="G56" s="33"/>
    </row>
    <row r="57" spans="1:7" ht="12.75" customHeight="1">
      <c r="A57" s="21"/>
      <c r="B57" s="28"/>
      <c r="D57" s="92" t="s">
        <v>29</v>
      </c>
      <c r="E57" s="42"/>
      <c r="F57" s="87">
        <v>0</v>
      </c>
      <c r="G57" s="33"/>
    </row>
    <row r="58" spans="1:7" ht="12.75" customHeight="1">
      <c r="A58" s="21"/>
      <c r="B58" s="28"/>
      <c r="D58" s="92" t="s">
        <v>31</v>
      </c>
      <c r="E58" s="41"/>
      <c r="F58" s="87">
        <v>0</v>
      </c>
      <c r="G58" s="33"/>
    </row>
    <row r="59" spans="1:7" ht="12.75" customHeight="1">
      <c r="A59" s="21"/>
      <c r="B59" s="28"/>
      <c r="D59" s="92" t="s">
        <v>32</v>
      </c>
      <c r="E59" s="41"/>
      <c r="F59" s="87"/>
      <c r="G59" s="33"/>
    </row>
    <row r="60" spans="1:7" ht="12.75" customHeight="1">
      <c r="A60" s="21"/>
      <c r="B60" s="28"/>
      <c r="D60" s="40"/>
      <c r="E60" s="93" t="s">
        <v>33</v>
      </c>
      <c r="F60" s="87">
        <v>0</v>
      </c>
      <c r="G60" s="33"/>
    </row>
    <row r="61" spans="1:7" ht="12.75" customHeight="1">
      <c r="A61" s="21"/>
      <c r="B61" s="28"/>
      <c r="D61" s="40"/>
      <c r="E61" s="42"/>
      <c r="F61" s="62"/>
      <c r="G61" s="33"/>
    </row>
    <row r="62" spans="1:7" ht="12.75" customHeight="1">
      <c r="A62" s="21"/>
      <c r="B62" s="28"/>
      <c r="C62" s="79" t="s">
        <v>34</v>
      </c>
      <c r="D62" s="21"/>
      <c r="E62" s="38"/>
      <c r="F62" s="59"/>
      <c r="G62" s="33"/>
    </row>
    <row r="63" spans="1:7" ht="12.75" customHeight="1">
      <c r="A63" s="21"/>
      <c r="B63" s="28"/>
      <c r="D63" s="21"/>
      <c r="E63" s="94" t="s">
        <v>35</v>
      </c>
      <c r="F63" s="66">
        <v>0</v>
      </c>
      <c r="G63" s="33"/>
    </row>
    <row r="64" spans="1:7" ht="12.75" customHeight="1">
      <c r="A64" s="21"/>
      <c r="B64" s="28"/>
      <c r="D64" s="21"/>
      <c r="E64" s="43"/>
      <c r="F64" s="59"/>
      <c r="G64" s="33"/>
    </row>
    <row r="65" spans="1:7" ht="12.75" customHeight="1">
      <c r="A65" s="21"/>
      <c r="B65" s="28"/>
      <c r="C65" s="79" t="s">
        <v>36</v>
      </c>
      <c r="D65" s="21"/>
      <c r="E65" s="38"/>
      <c r="F65" s="66">
        <v>0</v>
      </c>
      <c r="G65" s="33"/>
    </row>
    <row r="66" spans="1:7" ht="12.75" customHeight="1">
      <c r="A66" s="21"/>
      <c r="B66" s="28"/>
      <c r="C66" s="21"/>
      <c r="D66" s="21"/>
      <c r="E66" s="38"/>
      <c r="F66" s="59"/>
      <c r="G66" s="33"/>
    </row>
    <row r="67" spans="1:7" ht="12.75" customHeight="1">
      <c r="A67" s="21"/>
      <c r="B67" s="28"/>
      <c r="C67" s="79" t="s">
        <v>37</v>
      </c>
      <c r="D67" s="21"/>
      <c r="E67" s="38"/>
      <c r="F67" s="66">
        <v>0</v>
      </c>
      <c r="G67" s="33"/>
    </row>
    <row r="68" spans="1:7" ht="12.75" customHeight="1">
      <c r="A68" s="21"/>
      <c r="B68" s="28"/>
      <c r="C68" s="21"/>
      <c r="D68" s="21"/>
      <c r="E68" s="38"/>
      <c r="F68" s="59"/>
      <c r="G68" s="33"/>
    </row>
    <row r="69" spans="1:7" ht="12.75" customHeight="1">
      <c r="A69" s="21"/>
      <c r="B69" s="28"/>
      <c r="C69" s="79" t="s">
        <v>38</v>
      </c>
      <c r="D69" s="21"/>
      <c r="E69" s="38"/>
      <c r="F69" s="66">
        <f>SUM(F70:F71)</f>
        <v>167.85</v>
      </c>
      <c r="G69" s="33"/>
    </row>
    <row r="70" spans="1:7" ht="12.75" customHeight="1">
      <c r="A70" s="21"/>
      <c r="B70" s="28"/>
      <c r="C70" s="79"/>
      <c r="D70" s="21"/>
      <c r="E70" s="85" t="s">
        <v>123</v>
      </c>
      <c r="F70" s="81">
        <v>54.3</v>
      </c>
      <c r="G70" s="33"/>
    </row>
    <row r="71" spans="1:7" ht="12.75" customHeight="1">
      <c r="A71" s="21"/>
      <c r="B71" s="28"/>
      <c r="C71" s="79"/>
      <c r="D71" s="21"/>
      <c r="E71" s="85" t="s">
        <v>144</v>
      </c>
      <c r="F71" s="81">
        <v>113.55</v>
      </c>
      <c r="G71" s="33"/>
    </row>
    <row r="72" spans="1:7" ht="12.75" customHeight="1">
      <c r="A72" s="21"/>
      <c r="B72" s="28"/>
      <c r="C72" s="21"/>
      <c r="D72" s="21"/>
      <c r="E72" s="43"/>
      <c r="F72" s="59" t="s">
        <v>0</v>
      </c>
      <c r="G72" s="33"/>
    </row>
    <row r="73" spans="1:9" ht="16.5" customHeight="1">
      <c r="A73" s="44"/>
      <c r="B73" s="75" t="s">
        <v>39</v>
      </c>
      <c r="C73" s="45"/>
      <c r="D73" s="45"/>
      <c r="E73" s="39"/>
      <c r="F73" s="59" t="s">
        <v>0</v>
      </c>
      <c r="G73" s="98">
        <f>SUM(G19:G69)</f>
        <v>-6503.109999999997</v>
      </c>
      <c r="I73" s="70"/>
    </row>
    <row r="74" spans="1:7" ht="12.75" customHeight="1">
      <c r="A74" s="21"/>
      <c r="B74" s="97" t="s">
        <v>40</v>
      </c>
      <c r="C74" s="21"/>
      <c r="D74" s="21"/>
      <c r="E74" s="43"/>
      <c r="F74" s="59" t="s">
        <v>0</v>
      </c>
      <c r="G74" s="46"/>
    </row>
    <row r="75" spans="2:7" ht="12" customHeight="1">
      <c r="B75" s="47"/>
      <c r="E75" s="38"/>
      <c r="F75" s="59" t="s">
        <v>0</v>
      </c>
      <c r="G75" s="46"/>
    </row>
    <row r="76" spans="2:7" ht="16.5" customHeight="1">
      <c r="B76" s="75" t="s">
        <v>52</v>
      </c>
      <c r="C76" s="35"/>
      <c r="D76" s="35"/>
      <c r="E76" s="48"/>
      <c r="F76" s="60"/>
      <c r="G76" s="98">
        <f>SUM(F78:F80)</f>
        <v>0</v>
      </c>
    </row>
    <row r="77" spans="2:7" ht="12">
      <c r="B77" s="47"/>
      <c r="E77" s="38"/>
      <c r="F77" s="59"/>
      <c r="G77" s="46"/>
    </row>
    <row r="78" spans="2:7" ht="15">
      <c r="B78" s="28"/>
      <c r="C78" s="79" t="s">
        <v>49</v>
      </c>
      <c r="D78" s="21"/>
      <c r="E78" s="38"/>
      <c r="F78" s="64">
        <v>0</v>
      </c>
      <c r="G78" s="46"/>
    </row>
    <row r="79" spans="2:7" ht="15">
      <c r="B79" s="47"/>
      <c r="C79" s="79" t="s">
        <v>50</v>
      </c>
      <c r="E79" s="38"/>
      <c r="F79" s="71">
        <v>0</v>
      </c>
      <c r="G79" s="46"/>
    </row>
    <row r="80" spans="2:7" ht="15">
      <c r="B80" s="47"/>
      <c r="C80" s="79" t="s">
        <v>51</v>
      </c>
      <c r="E80" s="38"/>
      <c r="F80" s="66">
        <v>0</v>
      </c>
      <c r="G80" s="46"/>
    </row>
    <row r="81" spans="2:7" ht="12">
      <c r="B81" s="47"/>
      <c r="E81" s="38"/>
      <c r="F81" s="59"/>
      <c r="G81" s="46"/>
    </row>
    <row r="82" spans="2:7" ht="18">
      <c r="B82" s="75" t="s">
        <v>75</v>
      </c>
      <c r="C82" s="35"/>
      <c r="D82" s="35"/>
      <c r="E82" s="48"/>
      <c r="F82" s="69">
        <v>0</v>
      </c>
      <c r="G82" s="99">
        <v>0</v>
      </c>
    </row>
    <row r="83" spans="2:7" ht="12">
      <c r="B83" s="47"/>
      <c r="E83" s="38"/>
      <c r="F83" s="59"/>
      <c r="G83" s="46"/>
    </row>
    <row r="84" spans="2:7" ht="18">
      <c r="B84" s="75" t="s">
        <v>76</v>
      </c>
      <c r="C84" s="35"/>
      <c r="D84" s="35"/>
      <c r="E84" s="48"/>
      <c r="F84" s="60"/>
      <c r="G84" s="98">
        <f>F86-F87</f>
        <v>0</v>
      </c>
    </row>
    <row r="85" spans="2:7" ht="12">
      <c r="B85" s="47"/>
      <c r="E85" s="38"/>
      <c r="F85" s="59"/>
      <c r="G85" s="46"/>
    </row>
    <row r="86" spans="2:7" ht="14.25">
      <c r="B86" s="47"/>
      <c r="C86" s="79" t="s">
        <v>53</v>
      </c>
      <c r="E86" s="38"/>
      <c r="F86" s="68">
        <v>0</v>
      </c>
      <c r="G86" s="46"/>
    </row>
    <row r="87" spans="2:7" ht="14.25">
      <c r="B87" s="47"/>
      <c r="C87" s="79" t="s">
        <v>54</v>
      </c>
      <c r="E87" s="38"/>
      <c r="F87" s="68">
        <v>0</v>
      </c>
      <c r="G87" s="46"/>
    </row>
    <row r="88" spans="2:7" ht="12">
      <c r="B88" s="47"/>
      <c r="E88" s="38"/>
      <c r="F88" s="59"/>
      <c r="G88" s="46"/>
    </row>
    <row r="89" spans="2:7" ht="12">
      <c r="B89" s="47"/>
      <c r="E89" s="38"/>
      <c r="F89" s="59"/>
      <c r="G89" s="46"/>
    </row>
    <row r="90" spans="2:9" ht="18">
      <c r="B90" s="31"/>
      <c r="E90" s="100" t="s">
        <v>55</v>
      </c>
      <c r="F90" s="59"/>
      <c r="G90" s="101">
        <f>G73+G76+G82+G84</f>
        <v>-6503.109999999997</v>
      </c>
      <c r="I90" s="70"/>
    </row>
    <row r="91" spans="2:7" ht="12">
      <c r="B91" s="49"/>
      <c r="C91" s="50"/>
      <c r="D91" s="50"/>
      <c r="E91" s="51"/>
      <c r="F91" s="52"/>
      <c r="G91" s="53"/>
    </row>
    <row r="96" spans="5:7" ht="15.75">
      <c r="E96" s="103" t="s">
        <v>110</v>
      </c>
      <c r="G96" s="107">
        <f>773348.29*0.33/100</f>
        <v>2552.0493570000003</v>
      </c>
    </row>
    <row r="98" spans="5:7" ht="15.75">
      <c r="E98" s="103" t="s">
        <v>111</v>
      </c>
      <c r="G98" s="107">
        <f>-886714.22*0.33/100+0.96</f>
        <v>-2925.196926</v>
      </c>
    </row>
    <row r="100" spans="5:7" ht="18">
      <c r="E100" s="103" t="s">
        <v>104</v>
      </c>
      <c r="G100" s="104">
        <f>G90+G96+G98</f>
        <v>-6876.257568999997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89" r:id="rId1"/>
  <rowBreaks count="1" manualBreakCount="1">
    <brk id="60" max="7" man="1"/>
  </rowBreaks>
  <ignoredErrors>
    <ignoredError sqref="G90 G99:G100 G9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3"/>
  <sheetViews>
    <sheetView workbookViewId="0" topLeftCell="A92">
      <selection activeCell="G112" sqref="G112"/>
    </sheetView>
  </sheetViews>
  <sheetFormatPr defaultColWidth="9.00390625" defaultRowHeight="12"/>
  <cols>
    <col min="1" max="1" width="6.00390625" style="22" customWidth="1"/>
    <col min="2" max="2" width="2.75390625" style="22" customWidth="1"/>
    <col min="3" max="3" width="2.00390625" style="22" customWidth="1"/>
    <col min="4" max="4" width="2.25390625" style="22" customWidth="1"/>
    <col min="5" max="5" width="51.875" style="22" customWidth="1"/>
    <col min="6" max="6" width="16.375" style="54" customWidth="1"/>
    <col min="7" max="7" width="21.75390625" style="55" customWidth="1"/>
    <col min="8" max="8" width="2.875" style="3" customWidth="1"/>
    <col min="9" max="251" width="11.875" style="3" customWidth="1"/>
    <col min="252" max="16384" width="10.875" style="3" customWidth="1"/>
  </cols>
  <sheetData>
    <row r="1" spans="1:7" ht="13.5" customHeight="1">
      <c r="A1" s="2"/>
      <c r="B1" s="2"/>
      <c r="C1" s="2"/>
      <c r="D1" s="2"/>
      <c r="E1" s="2"/>
      <c r="F1" s="4"/>
      <c r="G1" s="5"/>
    </row>
    <row r="2" spans="1:7" ht="13.5" customHeight="1" thickBot="1">
      <c r="A2" s="2"/>
      <c r="B2" s="18"/>
      <c r="C2" s="18"/>
      <c r="D2" s="18"/>
      <c r="E2" s="18"/>
      <c r="F2" s="19"/>
      <c r="G2" s="102"/>
    </row>
    <row r="3" spans="1:7" ht="13.5" customHeight="1">
      <c r="A3" s="2"/>
      <c r="B3" s="6"/>
      <c r="C3" s="7"/>
      <c r="D3" s="7"/>
      <c r="E3" s="7"/>
      <c r="F3" s="8"/>
      <c r="G3" s="9"/>
    </row>
    <row r="4" spans="1:7" s="14" customFormat="1" ht="13.5" customHeight="1">
      <c r="A4" s="10"/>
      <c r="B4" s="11"/>
      <c r="C4" s="10"/>
      <c r="D4" s="10"/>
      <c r="E4" s="10"/>
      <c r="F4" s="12"/>
      <c r="G4" s="13"/>
    </row>
    <row r="5" spans="1:7" s="14" customFormat="1" ht="13.5" customHeight="1">
      <c r="A5" s="10"/>
      <c r="B5" s="11"/>
      <c r="C5" s="10"/>
      <c r="D5" s="10"/>
      <c r="E5" s="10"/>
      <c r="F5" s="12"/>
      <c r="G5" s="13"/>
    </row>
    <row r="6" spans="1:7" s="14" customFormat="1" ht="26.25">
      <c r="A6" s="10"/>
      <c r="B6" s="117" t="s">
        <v>63</v>
      </c>
      <c r="C6" s="118"/>
      <c r="D6" s="118"/>
      <c r="E6" s="118"/>
      <c r="F6" s="118"/>
      <c r="G6" s="119"/>
    </row>
    <row r="7" spans="1:7" s="14" customFormat="1" ht="13.5" customHeight="1">
      <c r="A7" s="10"/>
      <c r="B7" s="11"/>
      <c r="C7" s="10"/>
      <c r="D7" s="10"/>
      <c r="E7" s="10"/>
      <c r="F7" s="12"/>
      <c r="G7" s="13"/>
    </row>
    <row r="8" spans="1:7" ht="13.5" customHeight="1">
      <c r="A8" s="2"/>
      <c r="B8" s="15"/>
      <c r="C8" s="2"/>
      <c r="D8" s="2"/>
      <c r="E8" s="2"/>
      <c r="F8" s="4"/>
      <c r="G8" s="16"/>
    </row>
    <row r="9" spans="1:7" ht="13.5" customHeight="1" thickBot="1">
      <c r="A9" s="2"/>
      <c r="B9" s="17"/>
      <c r="C9" s="18"/>
      <c r="D9" s="18"/>
      <c r="E9" s="18"/>
      <c r="F9" s="19"/>
      <c r="G9" s="20"/>
    </row>
    <row r="10" spans="1:7" ht="13.5" customHeight="1">
      <c r="A10" s="2"/>
      <c r="B10" s="2"/>
      <c r="C10" s="2"/>
      <c r="D10" s="2"/>
      <c r="E10" s="2"/>
      <c r="F10" s="4"/>
      <c r="G10" s="5"/>
    </row>
    <row r="11" spans="1:7" ht="15.75" customHeight="1">
      <c r="A11" s="2"/>
      <c r="B11" s="120" t="s">
        <v>205</v>
      </c>
      <c r="C11" s="121"/>
      <c r="D11" s="121"/>
      <c r="E11" s="121"/>
      <c r="F11" s="121"/>
      <c r="G11" s="121"/>
    </row>
    <row r="12" spans="1:7" ht="12.75" customHeight="1">
      <c r="A12" s="21"/>
      <c r="B12" s="21"/>
      <c r="C12" s="21"/>
      <c r="D12" s="21"/>
      <c r="F12" s="23"/>
      <c r="G12" s="24"/>
    </row>
    <row r="13" spans="1:7" ht="15.75" customHeight="1">
      <c r="A13" s="21"/>
      <c r="B13" s="120" t="s">
        <v>1</v>
      </c>
      <c r="C13" s="122"/>
      <c r="D13" s="122"/>
      <c r="E13" s="122"/>
      <c r="F13" s="122"/>
      <c r="G13" s="122"/>
    </row>
    <row r="14" spans="1:7" ht="12.75" customHeight="1">
      <c r="A14" s="21"/>
      <c r="B14" s="21"/>
      <c r="C14" s="21"/>
      <c r="D14" s="21"/>
      <c r="E14" s="25"/>
      <c r="F14" s="23"/>
      <c r="G14" s="24"/>
    </row>
    <row r="15" spans="1:7" ht="12.75" customHeight="1">
      <c r="A15" s="21"/>
      <c r="B15" s="21"/>
      <c r="C15" s="21"/>
      <c r="D15" s="21"/>
      <c r="F15" s="23"/>
      <c r="G15" s="24"/>
    </row>
    <row r="16" spans="1:7" ht="15.75" customHeight="1">
      <c r="A16" s="21"/>
      <c r="B16" s="21"/>
      <c r="C16" s="21"/>
      <c r="D16" s="21"/>
      <c r="F16" s="123">
        <v>2008</v>
      </c>
      <c r="G16" s="124"/>
    </row>
    <row r="17" spans="1:7" ht="15" customHeight="1">
      <c r="A17" s="21"/>
      <c r="B17" s="26"/>
      <c r="C17" s="27"/>
      <c r="D17" s="27"/>
      <c r="E17" s="74" t="s">
        <v>2</v>
      </c>
      <c r="F17" s="72" t="s">
        <v>3</v>
      </c>
      <c r="G17" s="73" t="s">
        <v>4</v>
      </c>
    </row>
    <row r="18" spans="1:7" ht="12.75" customHeight="1">
      <c r="A18" s="21"/>
      <c r="B18" s="28"/>
      <c r="C18" s="21"/>
      <c r="D18" s="21"/>
      <c r="E18" s="22" t="s">
        <v>0</v>
      </c>
      <c r="F18" s="29"/>
      <c r="G18" s="30"/>
    </row>
    <row r="19" spans="1:7" ht="15.75" customHeight="1">
      <c r="A19" s="21"/>
      <c r="B19" s="75" t="s">
        <v>5</v>
      </c>
      <c r="C19" s="21"/>
      <c r="D19" s="21"/>
      <c r="F19" s="29"/>
      <c r="G19" s="84">
        <f>F20+F24+F25+F26+F28</f>
        <v>366318.38999999996</v>
      </c>
    </row>
    <row r="20" spans="1:7" ht="12.75" customHeight="1">
      <c r="A20" s="21"/>
      <c r="B20" s="28"/>
      <c r="C20" s="76" t="s">
        <v>6</v>
      </c>
      <c r="D20" s="76" t="s">
        <v>7</v>
      </c>
      <c r="E20" s="77"/>
      <c r="F20" s="64">
        <f>SUM(F21:F22)</f>
        <v>315626.67999999993</v>
      </c>
      <c r="G20" s="32"/>
    </row>
    <row r="21" spans="1:7" ht="12.75" customHeight="1">
      <c r="A21" s="21"/>
      <c r="B21" s="28"/>
      <c r="C21" s="76"/>
      <c r="D21" s="76" t="s">
        <v>30</v>
      </c>
      <c r="E21" s="77" t="s">
        <v>145</v>
      </c>
      <c r="F21" s="80">
        <f>145200.21+10573.14</f>
        <v>155773.34999999998</v>
      </c>
      <c r="G21" s="32"/>
    </row>
    <row r="22" spans="1:7" ht="12.75" customHeight="1">
      <c r="A22" s="21"/>
      <c r="B22" s="28"/>
      <c r="C22" s="76"/>
      <c r="D22" s="76" t="s">
        <v>30</v>
      </c>
      <c r="E22" s="77" t="s">
        <v>146</v>
      </c>
      <c r="F22" s="80">
        <v>159853.33</v>
      </c>
      <c r="G22" s="32"/>
    </row>
    <row r="23" spans="1:7" ht="12.75" customHeight="1">
      <c r="A23" s="21"/>
      <c r="B23" s="28"/>
      <c r="C23" s="76" t="s">
        <v>8</v>
      </c>
      <c r="D23" s="76" t="s">
        <v>9</v>
      </c>
      <c r="E23" s="77"/>
      <c r="F23" s="81"/>
      <c r="G23" s="32"/>
    </row>
    <row r="24" spans="1:7" ht="12.75" customHeight="1">
      <c r="A24" s="21"/>
      <c r="B24" s="28"/>
      <c r="C24" s="76"/>
      <c r="D24" s="76" t="s">
        <v>10</v>
      </c>
      <c r="E24" s="77"/>
      <c r="F24" s="81">
        <v>0</v>
      </c>
      <c r="G24" s="32"/>
    </row>
    <row r="25" spans="1:7" ht="12.75" customHeight="1">
      <c r="A25" s="21"/>
      <c r="B25" s="28"/>
      <c r="C25" s="76" t="s">
        <v>11</v>
      </c>
      <c r="D25" s="76" t="s">
        <v>12</v>
      </c>
      <c r="E25" s="77"/>
      <c r="F25" s="81">
        <v>0</v>
      </c>
      <c r="G25" s="32"/>
    </row>
    <row r="26" spans="1:7" ht="12.75" customHeight="1">
      <c r="A26" s="21"/>
      <c r="B26" s="28"/>
      <c r="C26" s="76" t="s">
        <v>13</v>
      </c>
      <c r="D26" s="76"/>
      <c r="E26" s="77"/>
      <c r="F26" s="81">
        <v>0</v>
      </c>
      <c r="G26" s="32"/>
    </row>
    <row r="27" spans="1:7" ht="12.75" customHeight="1">
      <c r="A27" s="21"/>
      <c r="B27" s="28"/>
      <c r="C27" s="76" t="s">
        <v>14</v>
      </c>
      <c r="D27" s="76"/>
      <c r="E27" s="77"/>
      <c r="F27" s="81" t="s">
        <v>0</v>
      </c>
      <c r="G27" s="33"/>
    </row>
    <row r="28" spans="1:7" ht="12.75" customHeight="1">
      <c r="A28" s="21"/>
      <c r="B28" s="28"/>
      <c r="C28" s="76"/>
      <c r="D28" s="76" t="s">
        <v>15</v>
      </c>
      <c r="E28" s="77"/>
      <c r="F28" s="64">
        <f>SUM(F29:F30)</f>
        <v>50691.71</v>
      </c>
      <c r="G28" s="33"/>
    </row>
    <row r="29" spans="1:7" ht="12.75" customHeight="1">
      <c r="A29" s="21"/>
      <c r="B29" s="28"/>
      <c r="C29" s="76"/>
      <c r="D29" s="76" t="s">
        <v>157</v>
      </c>
      <c r="E29" s="77" t="s">
        <v>115</v>
      </c>
      <c r="F29" s="80">
        <f>47682.38</f>
        <v>47682.38</v>
      </c>
      <c r="G29" s="33"/>
    </row>
    <row r="30" spans="1:7" ht="12.75" customHeight="1">
      <c r="A30" s="21"/>
      <c r="B30" s="28"/>
      <c r="C30" s="76"/>
      <c r="D30" s="78" t="s">
        <v>30</v>
      </c>
      <c r="E30" s="77" t="s">
        <v>44</v>
      </c>
      <c r="F30" s="80">
        <f>450+92.28+2467.05</f>
        <v>3009.33</v>
      </c>
      <c r="G30" s="34"/>
    </row>
    <row r="31" spans="1:7" ht="12.75" customHeight="1">
      <c r="A31" s="21"/>
      <c r="B31" s="28"/>
      <c r="C31" s="21"/>
      <c r="D31" s="21"/>
      <c r="E31" s="21"/>
      <c r="F31" s="59"/>
      <c r="G31" s="33"/>
    </row>
    <row r="32" spans="1:7" s="37" customFormat="1" ht="15.75" customHeight="1">
      <c r="A32" s="35"/>
      <c r="B32" s="75" t="s">
        <v>16</v>
      </c>
      <c r="C32" s="35"/>
      <c r="D32" s="35"/>
      <c r="E32" s="36"/>
      <c r="F32" s="60"/>
      <c r="G32" s="84">
        <f>-(F34+F40+F56+F60+F67+F75+F77+F79+F81)</f>
        <v>-358991.55</v>
      </c>
    </row>
    <row r="33" spans="1:7" ht="12.75" customHeight="1">
      <c r="A33" s="21"/>
      <c r="B33" s="28"/>
      <c r="C33" s="79" t="s">
        <v>17</v>
      </c>
      <c r="D33" s="21"/>
      <c r="F33" s="59" t="s">
        <v>0</v>
      </c>
      <c r="G33" s="33"/>
    </row>
    <row r="34" spans="1:7" ht="12.75" customHeight="1">
      <c r="A34" s="21"/>
      <c r="B34" s="28"/>
      <c r="D34" s="79" t="s">
        <v>18</v>
      </c>
      <c r="E34" s="38"/>
      <c r="F34" s="65">
        <f>SUM(F35:F38)</f>
        <v>12329.61</v>
      </c>
      <c r="G34" s="33"/>
    </row>
    <row r="35" spans="1:7" ht="12.75" customHeight="1">
      <c r="A35" s="21"/>
      <c r="B35" s="28"/>
      <c r="D35" s="21"/>
      <c r="E35" s="85" t="s">
        <v>147</v>
      </c>
      <c r="F35" s="87">
        <f>119.76+345.38</f>
        <v>465.14</v>
      </c>
      <c r="G35" s="33"/>
    </row>
    <row r="36" spans="1:7" ht="12.75" customHeight="1">
      <c r="A36" s="21"/>
      <c r="B36" s="28"/>
      <c r="D36" s="21"/>
      <c r="E36" s="85" t="s">
        <v>222</v>
      </c>
      <c r="F36" s="96">
        <v>1331.52</v>
      </c>
      <c r="G36" s="33"/>
    </row>
    <row r="37" spans="1:7" ht="12.75" customHeight="1">
      <c r="A37" s="21"/>
      <c r="B37" s="28"/>
      <c r="D37" s="21"/>
      <c r="E37" s="85" t="s">
        <v>109</v>
      </c>
      <c r="F37" s="96">
        <v>10532.95</v>
      </c>
      <c r="G37" s="33"/>
    </row>
    <row r="38" spans="1:7" ht="12.75" customHeight="1">
      <c r="A38" s="21"/>
      <c r="B38" s="28"/>
      <c r="D38" s="21"/>
      <c r="E38" s="85"/>
      <c r="F38" s="83"/>
      <c r="G38" s="33"/>
    </row>
    <row r="39" spans="1:7" ht="12.75" customHeight="1">
      <c r="A39" s="21"/>
      <c r="B39" s="28"/>
      <c r="D39" s="21"/>
      <c r="E39" s="38"/>
      <c r="F39" s="62"/>
      <c r="G39" s="33"/>
    </row>
    <row r="40" spans="1:7" ht="12.75" customHeight="1">
      <c r="A40" s="21"/>
      <c r="B40" s="28"/>
      <c r="C40" s="79" t="s">
        <v>19</v>
      </c>
      <c r="D40" s="21"/>
      <c r="E40" s="38"/>
      <c r="F40" s="65">
        <f>SUM(F41:F54)</f>
        <v>279082.39</v>
      </c>
      <c r="G40" s="33"/>
    </row>
    <row r="41" spans="1:7" ht="12.75" customHeight="1">
      <c r="A41" s="21"/>
      <c r="B41" s="28"/>
      <c r="C41" s="21"/>
      <c r="D41" s="21"/>
      <c r="E41" s="85" t="s">
        <v>78</v>
      </c>
      <c r="F41" s="87">
        <v>3842.32</v>
      </c>
      <c r="G41" s="33"/>
    </row>
    <row r="42" spans="1:7" ht="12.75" customHeight="1">
      <c r="A42" s="21"/>
      <c r="B42" s="28"/>
      <c r="C42" s="21"/>
      <c r="D42" s="21"/>
      <c r="E42" s="85" t="s">
        <v>79</v>
      </c>
      <c r="F42" s="81">
        <v>261.42</v>
      </c>
      <c r="G42" s="46"/>
    </row>
    <row r="43" spans="1:7" ht="12.75" customHeight="1">
      <c r="A43" s="21"/>
      <c r="B43" s="28"/>
      <c r="C43" s="21"/>
      <c r="D43" s="21"/>
      <c r="E43" s="85" t="s">
        <v>148</v>
      </c>
      <c r="F43" s="81">
        <f>17894.41+1088.2</f>
        <v>18982.61</v>
      </c>
      <c r="G43" s="46"/>
    </row>
    <row r="44" spans="1:256" ht="12.75" customHeight="1">
      <c r="A44" s="85"/>
      <c r="B44" s="77"/>
      <c r="C44" s="77"/>
      <c r="D44" s="77"/>
      <c r="E44" s="85" t="s">
        <v>119</v>
      </c>
      <c r="F44" s="105">
        <v>16.38</v>
      </c>
      <c r="G44" s="85"/>
      <c r="H44" s="77"/>
      <c r="I44" s="77"/>
      <c r="J44" s="77"/>
      <c r="K44" s="77"/>
      <c r="L44" s="77"/>
      <c r="M44" s="77"/>
      <c r="N44" s="77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 t="s">
        <v>81</v>
      </c>
      <c r="BE44" s="85" t="s">
        <v>81</v>
      </c>
      <c r="BF44" s="85" t="s">
        <v>81</v>
      </c>
      <c r="BG44" s="85" t="s">
        <v>81</v>
      </c>
      <c r="BH44" s="85" t="s">
        <v>81</v>
      </c>
      <c r="BI44" s="85" t="s">
        <v>81</v>
      </c>
      <c r="BJ44" s="85" t="s">
        <v>81</v>
      </c>
      <c r="BK44" s="85" t="s">
        <v>81</v>
      </c>
      <c r="BL44" s="85" t="s">
        <v>81</v>
      </c>
      <c r="BM44" s="85" t="s">
        <v>81</v>
      </c>
      <c r="BN44" s="85" t="s">
        <v>81</v>
      </c>
      <c r="BO44" s="85" t="s">
        <v>81</v>
      </c>
      <c r="BP44" s="85" t="s">
        <v>81</v>
      </c>
      <c r="BQ44" s="85" t="s">
        <v>81</v>
      </c>
      <c r="BR44" s="85" t="s">
        <v>81</v>
      </c>
      <c r="BS44" s="85" t="s">
        <v>81</v>
      </c>
      <c r="BT44" s="85" t="s">
        <v>81</v>
      </c>
      <c r="BU44" s="85" t="s">
        <v>81</v>
      </c>
      <c r="BV44" s="85" t="s">
        <v>81</v>
      </c>
      <c r="BW44" s="85" t="s">
        <v>81</v>
      </c>
      <c r="BX44" s="85" t="s">
        <v>81</v>
      </c>
      <c r="BY44" s="85" t="s">
        <v>81</v>
      </c>
      <c r="BZ44" s="85" t="s">
        <v>81</v>
      </c>
      <c r="CA44" s="85" t="s">
        <v>81</v>
      </c>
      <c r="CB44" s="85" t="s">
        <v>81</v>
      </c>
      <c r="CC44" s="85" t="s">
        <v>81</v>
      </c>
      <c r="CD44" s="85" t="s">
        <v>81</v>
      </c>
      <c r="CE44" s="85" t="s">
        <v>81</v>
      </c>
      <c r="CF44" s="85" t="s">
        <v>81</v>
      </c>
      <c r="CG44" s="85" t="s">
        <v>81</v>
      </c>
      <c r="CH44" s="85" t="s">
        <v>81</v>
      </c>
      <c r="CI44" s="85" t="s">
        <v>81</v>
      </c>
      <c r="CJ44" s="85" t="s">
        <v>81</v>
      </c>
      <c r="CK44" s="85" t="s">
        <v>81</v>
      </c>
      <c r="CL44" s="85" t="s">
        <v>81</v>
      </c>
      <c r="CM44" s="85" t="s">
        <v>81</v>
      </c>
      <c r="CN44" s="85" t="s">
        <v>81</v>
      </c>
      <c r="CO44" s="85" t="s">
        <v>81</v>
      </c>
      <c r="CP44" s="85" t="s">
        <v>81</v>
      </c>
      <c r="CQ44" s="85" t="s">
        <v>81</v>
      </c>
      <c r="CR44" s="85" t="s">
        <v>81</v>
      </c>
      <c r="CS44" s="85" t="s">
        <v>81</v>
      </c>
      <c r="CT44" s="85" t="s">
        <v>81</v>
      </c>
      <c r="CU44" s="85" t="s">
        <v>81</v>
      </c>
      <c r="CV44" s="85" t="s">
        <v>81</v>
      </c>
      <c r="CW44" s="85" t="s">
        <v>81</v>
      </c>
      <c r="CX44" s="85" t="s">
        <v>81</v>
      </c>
      <c r="CY44" s="85" t="s">
        <v>81</v>
      </c>
      <c r="CZ44" s="85" t="s">
        <v>81</v>
      </c>
      <c r="DA44" s="85" t="s">
        <v>81</v>
      </c>
      <c r="DB44" s="85" t="s">
        <v>81</v>
      </c>
      <c r="DC44" s="85" t="s">
        <v>81</v>
      </c>
      <c r="DD44" s="85" t="s">
        <v>81</v>
      </c>
      <c r="DE44" s="85" t="s">
        <v>81</v>
      </c>
      <c r="DF44" s="85" t="s">
        <v>81</v>
      </c>
      <c r="DG44" s="85" t="s">
        <v>81</v>
      </c>
      <c r="DH44" s="85" t="s">
        <v>81</v>
      </c>
      <c r="DI44" s="85" t="s">
        <v>81</v>
      </c>
      <c r="DJ44" s="85" t="s">
        <v>81</v>
      </c>
      <c r="DK44" s="85" t="s">
        <v>81</v>
      </c>
      <c r="DL44" s="85" t="s">
        <v>81</v>
      </c>
      <c r="DM44" s="85" t="s">
        <v>81</v>
      </c>
      <c r="DN44" s="85" t="s">
        <v>81</v>
      </c>
      <c r="DO44" s="85" t="s">
        <v>81</v>
      </c>
      <c r="DP44" s="85" t="s">
        <v>81</v>
      </c>
      <c r="DQ44" s="85" t="s">
        <v>81</v>
      </c>
      <c r="DR44" s="85" t="s">
        <v>81</v>
      </c>
      <c r="DS44" s="85" t="s">
        <v>81</v>
      </c>
      <c r="DT44" s="85" t="s">
        <v>81</v>
      </c>
      <c r="DU44" s="85" t="s">
        <v>81</v>
      </c>
      <c r="DV44" s="85" t="s">
        <v>81</v>
      </c>
      <c r="DW44" s="85" t="s">
        <v>81</v>
      </c>
      <c r="DX44" s="85" t="s">
        <v>81</v>
      </c>
      <c r="DY44" s="85" t="s">
        <v>81</v>
      </c>
      <c r="DZ44" s="85" t="s">
        <v>81</v>
      </c>
      <c r="EA44" s="85" t="s">
        <v>81</v>
      </c>
      <c r="EB44" s="85" t="s">
        <v>81</v>
      </c>
      <c r="EC44" s="85" t="s">
        <v>81</v>
      </c>
      <c r="ED44" s="85" t="s">
        <v>81</v>
      </c>
      <c r="EE44" s="85" t="s">
        <v>81</v>
      </c>
      <c r="EF44" s="85" t="s">
        <v>81</v>
      </c>
      <c r="EG44" s="85" t="s">
        <v>81</v>
      </c>
      <c r="EH44" s="85" t="s">
        <v>81</v>
      </c>
      <c r="EI44" s="85" t="s">
        <v>81</v>
      </c>
      <c r="EJ44" s="85" t="s">
        <v>81</v>
      </c>
      <c r="EK44" s="85" t="s">
        <v>81</v>
      </c>
      <c r="EL44" s="85" t="s">
        <v>81</v>
      </c>
      <c r="EM44" s="85" t="s">
        <v>81</v>
      </c>
      <c r="EN44" s="85" t="s">
        <v>81</v>
      </c>
      <c r="EO44" s="85" t="s">
        <v>81</v>
      </c>
      <c r="EP44" s="85" t="s">
        <v>81</v>
      </c>
      <c r="EQ44" s="85" t="s">
        <v>81</v>
      </c>
      <c r="ER44" s="85" t="s">
        <v>81</v>
      </c>
      <c r="ES44" s="85" t="s">
        <v>81</v>
      </c>
      <c r="ET44" s="85" t="s">
        <v>81</v>
      </c>
      <c r="EU44" s="85" t="s">
        <v>81</v>
      </c>
      <c r="EV44" s="85" t="s">
        <v>81</v>
      </c>
      <c r="EW44" s="85" t="s">
        <v>81</v>
      </c>
      <c r="EX44" s="85" t="s">
        <v>81</v>
      </c>
      <c r="EY44" s="85" t="s">
        <v>81</v>
      </c>
      <c r="EZ44" s="85" t="s">
        <v>81</v>
      </c>
      <c r="FA44" s="85" t="s">
        <v>81</v>
      </c>
      <c r="FB44" s="85" t="s">
        <v>81</v>
      </c>
      <c r="FC44" s="85" t="s">
        <v>81</v>
      </c>
      <c r="FD44" s="85" t="s">
        <v>81</v>
      </c>
      <c r="FE44" s="85" t="s">
        <v>81</v>
      </c>
      <c r="FF44" s="85" t="s">
        <v>81</v>
      </c>
      <c r="FG44" s="85" t="s">
        <v>81</v>
      </c>
      <c r="FH44" s="85" t="s">
        <v>81</v>
      </c>
      <c r="FI44" s="85" t="s">
        <v>81</v>
      </c>
      <c r="FJ44" s="85" t="s">
        <v>81</v>
      </c>
      <c r="FK44" s="85" t="s">
        <v>81</v>
      </c>
      <c r="FL44" s="85" t="s">
        <v>81</v>
      </c>
      <c r="FM44" s="85" t="s">
        <v>81</v>
      </c>
      <c r="FN44" s="85" t="s">
        <v>81</v>
      </c>
      <c r="FO44" s="85" t="s">
        <v>81</v>
      </c>
      <c r="FP44" s="85" t="s">
        <v>81</v>
      </c>
      <c r="FQ44" s="85" t="s">
        <v>81</v>
      </c>
      <c r="FR44" s="85" t="s">
        <v>81</v>
      </c>
      <c r="FS44" s="85" t="s">
        <v>81</v>
      </c>
      <c r="FT44" s="85" t="s">
        <v>81</v>
      </c>
      <c r="FU44" s="85" t="s">
        <v>81</v>
      </c>
      <c r="FV44" s="85" t="s">
        <v>81</v>
      </c>
      <c r="FW44" s="85" t="s">
        <v>81</v>
      </c>
      <c r="FX44" s="85" t="s">
        <v>81</v>
      </c>
      <c r="FY44" s="85" t="s">
        <v>81</v>
      </c>
      <c r="FZ44" s="85" t="s">
        <v>81</v>
      </c>
      <c r="GA44" s="85" t="s">
        <v>81</v>
      </c>
      <c r="GB44" s="85" t="s">
        <v>81</v>
      </c>
      <c r="GC44" s="85" t="s">
        <v>81</v>
      </c>
      <c r="GD44" s="85" t="s">
        <v>81</v>
      </c>
      <c r="GE44" s="85" t="s">
        <v>81</v>
      </c>
      <c r="GF44" s="85" t="s">
        <v>81</v>
      </c>
      <c r="GG44" s="85" t="s">
        <v>81</v>
      </c>
      <c r="GH44" s="85" t="s">
        <v>81</v>
      </c>
      <c r="GI44" s="85" t="s">
        <v>81</v>
      </c>
      <c r="GJ44" s="85" t="s">
        <v>81</v>
      </c>
      <c r="GK44" s="85" t="s">
        <v>81</v>
      </c>
      <c r="GL44" s="85" t="s">
        <v>81</v>
      </c>
      <c r="GM44" s="85" t="s">
        <v>81</v>
      </c>
      <c r="GN44" s="85" t="s">
        <v>81</v>
      </c>
      <c r="GO44" s="85" t="s">
        <v>81</v>
      </c>
      <c r="GP44" s="85" t="s">
        <v>81</v>
      </c>
      <c r="GQ44" s="85" t="s">
        <v>81</v>
      </c>
      <c r="GR44" s="85" t="s">
        <v>81</v>
      </c>
      <c r="GS44" s="85" t="s">
        <v>81</v>
      </c>
      <c r="GT44" s="85" t="s">
        <v>81</v>
      </c>
      <c r="GU44" s="85" t="s">
        <v>81</v>
      </c>
      <c r="GV44" s="85" t="s">
        <v>81</v>
      </c>
      <c r="GW44" s="85" t="s">
        <v>81</v>
      </c>
      <c r="GX44" s="85" t="s">
        <v>81</v>
      </c>
      <c r="GY44" s="85" t="s">
        <v>81</v>
      </c>
      <c r="GZ44" s="85" t="s">
        <v>81</v>
      </c>
      <c r="HA44" s="85" t="s">
        <v>81</v>
      </c>
      <c r="HB44" s="85" t="s">
        <v>81</v>
      </c>
      <c r="HC44" s="85" t="s">
        <v>81</v>
      </c>
      <c r="HD44" s="85" t="s">
        <v>81</v>
      </c>
      <c r="HE44" s="85" t="s">
        <v>81</v>
      </c>
      <c r="HF44" s="85" t="s">
        <v>81</v>
      </c>
      <c r="HG44" s="85" t="s">
        <v>81</v>
      </c>
      <c r="HH44" s="85" t="s">
        <v>81</v>
      </c>
      <c r="HI44" s="85" t="s">
        <v>81</v>
      </c>
      <c r="HJ44" s="85" t="s">
        <v>81</v>
      </c>
      <c r="HK44" s="85" t="s">
        <v>81</v>
      </c>
      <c r="HL44" s="85" t="s">
        <v>81</v>
      </c>
      <c r="HM44" s="85" t="s">
        <v>81</v>
      </c>
      <c r="HN44" s="85" t="s">
        <v>81</v>
      </c>
      <c r="HO44" s="85" t="s">
        <v>81</v>
      </c>
      <c r="HP44" s="85" t="s">
        <v>81</v>
      </c>
      <c r="HQ44" s="85" t="s">
        <v>81</v>
      </c>
      <c r="HR44" s="85" t="s">
        <v>81</v>
      </c>
      <c r="HS44" s="85" t="s">
        <v>81</v>
      </c>
      <c r="HT44" s="85" t="s">
        <v>81</v>
      </c>
      <c r="HU44" s="85" t="s">
        <v>81</v>
      </c>
      <c r="HV44" s="85" t="s">
        <v>81</v>
      </c>
      <c r="HW44" s="85" t="s">
        <v>81</v>
      </c>
      <c r="HX44" s="85" t="s">
        <v>81</v>
      </c>
      <c r="HY44" s="85" t="s">
        <v>81</v>
      </c>
      <c r="HZ44" s="85" t="s">
        <v>81</v>
      </c>
      <c r="IA44" s="85" t="s">
        <v>81</v>
      </c>
      <c r="IB44" s="85" t="s">
        <v>81</v>
      </c>
      <c r="IC44" s="85" t="s">
        <v>81</v>
      </c>
      <c r="ID44" s="85" t="s">
        <v>81</v>
      </c>
      <c r="IE44" s="85" t="s">
        <v>81</v>
      </c>
      <c r="IF44" s="85" t="s">
        <v>81</v>
      </c>
      <c r="IG44" s="85" t="s">
        <v>81</v>
      </c>
      <c r="IH44" s="85" t="s">
        <v>81</v>
      </c>
      <c r="II44" s="85" t="s">
        <v>81</v>
      </c>
      <c r="IJ44" s="85" t="s">
        <v>81</v>
      </c>
      <c r="IK44" s="85" t="s">
        <v>81</v>
      </c>
      <c r="IL44" s="85" t="s">
        <v>81</v>
      </c>
      <c r="IM44" s="85" t="s">
        <v>81</v>
      </c>
      <c r="IN44" s="85" t="s">
        <v>81</v>
      </c>
      <c r="IO44" s="85" t="s">
        <v>81</v>
      </c>
      <c r="IP44" s="85" t="s">
        <v>81</v>
      </c>
      <c r="IQ44" s="85" t="s">
        <v>81</v>
      </c>
      <c r="IR44" s="85" t="s">
        <v>81</v>
      </c>
      <c r="IS44" s="85" t="s">
        <v>81</v>
      </c>
      <c r="IT44" s="85" t="s">
        <v>81</v>
      </c>
      <c r="IU44" s="85" t="s">
        <v>81</v>
      </c>
      <c r="IV44" s="85" t="s">
        <v>81</v>
      </c>
    </row>
    <row r="45" spans="1:256" ht="12.75" customHeight="1">
      <c r="A45" s="77"/>
      <c r="B45" s="108"/>
      <c r="C45" s="77"/>
      <c r="D45" s="77"/>
      <c r="E45" s="85" t="s">
        <v>84</v>
      </c>
      <c r="F45" s="106">
        <v>35.6</v>
      </c>
      <c r="G45" s="85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</row>
    <row r="46" spans="1:256" ht="12.75" customHeight="1">
      <c r="A46" s="77"/>
      <c r="B46" s="108"/>
      <c r="C46" s="77"/>
      <c r="D46" s="77"/>
      <c r="E46" s="85" t="s">
        <v>135</v>
      </c>
      <c r="F46" s="81">
        <v>1298.2</v>
      </c>
      <c r="G46" s="85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256" ht="12.75" customHeight="1">
      <c r="A47" s="77"/>
      <c r="B47" s="108"/>
      <c r="C47" s="77"/>
      <c r="D47" s="77"/>
      <c r="E47" s="85" t="s">
        <v>215</v>
      </c>
      <c r="F47" s="106">
        <v>291</v>
      </c>
      <c r="G47" s="85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256" ht="12.75" customHeight="1">
      <c r="A48" s="77"/>
      <c r="B48" s="108"/>
      <c r="C48" s="77"/>
      <c r="D48" s="77"/>
      <c r="E48" s="85" t="s">
        <v>202</v>
      </c>
      <c r="F48" s="106">
        <v>1385.34</v>
      </c>
      <c r="G48" s="85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256" ht="12.75" customHeight="1">
      <c r="A49" s="77"/>
      <c r="B49" s="108"/>
      <c r="C49" s="77"/>
      <c r="D49" s="77"/>
      <c r="E49" s="85" t="s">
        <v>130</v>
      </c>
      <c r="F49" s="106">
        <v>339.35</v>
      </c>
      <c r="G49" s="85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</row>
    <row r="50" spans="1:256" ht="12.75" customHeight="1">
      <c r="A50" s="77"/>
      <c r="B50" s="108"/>
      <c r="C50" s="77"/>
      <c r="D50" s="77"/>
      <c r="E50" s="85" t="s">
        <v>223</v>
      </c>
      <c r="F50" s="106">
        <v>1548.12</v>
      </c>
      <c r="G50" s="85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  <c r="IV50" s="77"/>
    </row>
    <row r="51" spans="1:256" ht="12.75" customHeight="1">
      <c r="A51" s="77"/>
      <c r="B51" s="108"/>
      <c r="C51" s="77"/>
      <c r="D51" s="77"/>
      <c r="E51" s="85" t="s">
        <v>149</v>
      </c>
      <c r="F51" s="106">
        <v>81702.4</v>
      </c>
      <c r="G51" s="85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  <c r="IV51" s="77"/>
    </row>
    <row r="52" spans="1:7" ht="12.75" customHeight="1">
      <c r="A52" s="21"/>
      <c r="B52" s="28"/>
      <c r="C52" s="21"/>
      <c r="D52" s="21"/>
      <c r="E52" s="85" t="s">
        <v>150</v>
      </c>
      <c r="F52" s="87">
        <v>140026.69</v>
      </c>
      <c r="G52" s="33"/>
    </row>
    <row r="53" spans="1:7" ht="12.75" customHeight="1">
      <c r="A53" s="21"/>
      <c r="B53" s="28"/>
      <c r="C53" s="21"/>
      <c r="D53" s="21"/>
      <c r="E53" s="85" t="s">
        <v>70</v>
      </c>
      <c r="F53" s="96">
        <v>25200</v>
      </c>
      <c r="G53" s="33"/>
    </row>
    <row r="54" spans="1:7" ht="12.75" customHeight="1">
      <c r="A54" s="21"/>
      <c r="B54" s="28"/>
      <c r="C54" s="21"/>
      <c r="D54" s="21"/>
      <c r="E54" s="85" t="s">
        <v>136</v>
      </c>
      <c r="F54" s="96">
        <v>4152.96</v>
      </c>
      <c r="G54" s="33"/>
    </row>
    <row r="55" spans="1:7" ht="12.75" customHeight="1">
      <c r="A55" s="21"/>
      <c r="B55" s="28"/>
      <c r="C55" s="21"/>
      <c r="D55" s="21"/>
      <c r="E55" s="39"/>
      <c r="F55" s="62"/>
      <c r="G55" s="111"/>
    </row>
    <row r="56" spans="1:7" ht="12.75" customHeight="1">
      <c r="A56" s="21"/>
      <c r="B56" s="28"/>
      <c r="C56" s="79" t="s">
        <v>20</v>
      </c>
      <c r="D56" s="21"/>
      <c r="E56" s="38"/>
      <c r="F56" s="64">
        <f>SUM(F57:F58)</f>
        <v>0</v>
      </c>
      <c r="G56" s="33"/>
    </row>
    <row r="57" spans="1:7" ht="12.75" customHeight="1">
      <c r="A57" s="21"/>
      <c r="B57" s="28"/>
      <c r="C57" s="21"/>
      <c r="D57" s="21"/>
      <c r="E57" s="85" t="s">
        <v>138</v>
      </c>
      <c r="F57" s="90">
        <v>0</v>
      </c>
      <c r="G57" s="33"/>
    </row>
    <row r="58" spans="1:7" ht="12.75" customHeight="1">
      <c r="A58" s="21"/>
      <c r="B58" s="28"/>
      <c r="C58" s="21"/>
      <c r="D58" s="21"/>
      <c r="E58" s="85" t="s">
        <v>194</v>
      </c>
      <c r="F58" s="90">
        <v>0</v>
      </c>
      <c r="G58" s="33"/>
    </row>
    <row r="59" spans="1:7" ht="12.75" customHeight="1">
      <c r="A59" s="21"/>
      <c r="B59" s="28"/>
      <c r="C59" s="21"/>
      <c r="D59" s="21"/>
      <c r="E59" s="39"/>
      <c r="F59" s="61"/>
      <c r="G59" s="33"/>
    </row>
    <row r="60" spans="1:7" ht="12.75" customHeight="1">
      <c r="A60" s="21"/>
      <c r="B60" s="28"/>
      <c r="C60" s="79" t="s">
        <v>21</v>
      </c>
      <c r="D60" s="21"/>
      <c r="E60" s="38"/>
      <c r="F60" s="65">
        <f>SUM(F61:F65)</f>
        <v>53264.74</v>
      </c>
      <c r="G60" s="33"/>
    </row>
    <row r="61" spans="1:7" ht="12.75" customHeight="1">
      <c r="A61" s="21"/>
      <c r="B61" s="28"/>
      <c r="D61" s="92" t="s">
        <v>22</v>
      </c>
      <c r="E61" s="41"/>
      <c r="F61" s="90">
        <v>46264.74</v>
      </c>
      <c r="G61" s="33"/>
    </row>
    <row r="62" spans="1:7" ht="12.75" customHeight="1">
      <c r="A62" s="21"/>
      <c r="B62" s="28"/>
      <c r="D62" s="92" t="s">
        <v>23</v>
      </c>
      <c r="E62" s="41"/>
      <c r="F62" s="87">
        <v>7000</v>
      </c>
      <c r="G62" s="33"/>
    </row>
    <row r="63" spans="1:7" ht="12.75" customHeight="1">
      <c r="A63" s="21"/>
      <c r="B63" s="28"/>
      <c r="D63" s="92" t="s">
        <v>24</v>
      </c>
      <c r="E63" s="41"/>
      <c r="F63" s="87">
        <v>0</v>
      </c>
      <c r="G63" s="33"/>
    </row>
    <row r="64" spans="1:7" ht="12.75" customHeight="1">
      <c r="A64" s="21"/>
      <c r="B64" s="28"/>
      <c r="D64" s="92" t="s">
        <v>25</v>
      </c>
      <c r="E64" s="41"/>
      <c r="F64" s="87">
        <v>0</v>
      </c>
      <c r="G64" s="33"/>
    </row>
    <row r="65" spans="1:7" ht="12.75" customHeight="1">
      <c r="A65" s="21"/>
      <c r="B65" s="28"/>
      <c r="D65" s="92" t="s">
        <v>26</v>
      </c>
      <c r="E65" s="41"/>
      <c r="F65" s="87">
        <v>0</v>
      </c>
      <c r="G65" s="33"/>
    </row>
    <row r="66" spans="1:7" ht="12.75" customHeight="1">
      <c r="A66" s="21"/>
      <c r="B66" s="28"/>
      <c r="D66" s="40"/>
      <c r="E66" s="41"/>
      <c r="F66" s="61"/>
      <c r="G66" s="33"/>
    </row>
    <row r="67" spans="1:7" ht="12.75" customHeight="1">
      <c r="A67" s="21"/>
      <c r="B67" s="28"/>
      <c r="C67" s="79" t="s">
        <v>27</v>
      </c>
      <c r="D67" s="21"/>
      <c r="E67" s="38"/>
      <c r="F67" s="65">
        <f>SUM(F68:F72)</f>
        <v>13379.9</v>
      </c>
      <c r="G67" s="33"/>
    </row>
    <row r="68" spans="1:7" ht="12.75" customHeight="1">
      <c r="A68" s="21"/>
      <c r="B68" s="28"/>
      <c r="C68" s="21"/>
      <c r="D68" s="92" t="s">
        <v>28</v>
      </c>
      <c r="E68" s="41"/>
      <c r="F68" s="90">
        <v>126.58</v>
      </c>
      <c r="G68" s="33"/>
    </row>
    <row r="69" spans="1:7" ht="12.75" customHeight="1">
      <c r="A69" s="21"/>
      <c r="B69" s="28"/>
      <c r="D69" s="92" t="s">
        <v>29</v>
      </c>
      <c r="E69" s="42"/>
      <c r="F69" s="87">
        <v>13253.32</v>
      </c>
      <c r="G69" s="33"/>
    </row>
    <row r="70" spans="1:7" ht="12.75" customHeight="1">
      <c r="A70" s="21"/>
      <c r="B70" s="28"/>
      <c r="D70" s="92" t="s">
        <v>31</v>
      </c>
      <c r="E70" s="41"/>
      <c r="F70" s="87">
        <v>0</v>
      </c>
      <c r="G70" s="33"/>
    </row>
    <row r="71" spans="1:7" ht="12.75" customHeight="1">
      <c r="A71" s="21"/>
      <c r="B71" s="28"/>
      <c r="D71" s="92" t="s">
        <v>32</v>
      </c>
      <c r="E71" s="41"/>
      <c r="F71" s="87"/>
      <c r="G71" s="33"/>
    </row>
    <row r="72" spans="1:7" ht="12.75" customHeight="1">
      <c r="A72" s="21"/>
      <c r="B72" s="28"/>
      <c r="D72" s="40"/>
      <c r="E72" s="93" t="s">
        <v>33</v>
      </c>
      <c r="F72" s="87">
        <v>0</v>
      </c>
      <c r="G72" s="33"/>
    </row>
    <row r="73" spans="1:7" ht="12.75" customHeight="1">
      <c r="A73" s="21"/>
      <c r="B73" s="28"/>
      <c r="D73" s="40"/>
      <c r="E73" s="42"/>
      <c r="F73" s="62"/>
      <c r="G73" s="33"/>
    </row>
    <row r="74" spans="1:7" ht="12.75" customHeight="1">
      <c r="A74" s="21"/>
      <c r="B74" s="28"/>
      <c r="C74" s="79" t="s">
        <v>34</v>
      </c>
      <c r="D74" s="21"/>
      <c r="E74" s="38"/>
      <c r="F74" s="59"/>
      <c r="G74" s="33"/>
    </row>
    <row r="75" spans="1:7" ht="12.75" customHeight="1">
      <c r="A75" s="21"/>
      <c r="B75" s="28"/>
      <c r="D75" s="21"/>
      <c r="E75" s="94" t="s">
        <v>35</v>
      </c>
      <c r="F75" s="66">
        <v>0</v>
      </c>
      <c r="G75" s="33"/>
    </row>
    <row r="76" spans="1:7" ht="12.75" customHeight="1">
      <c r="A76" s="21"/>
      <c r="B76" s="28"/>
      <c r="D76" s="21"/>
      <c r="E76" s="43"/>
      <c r="F76" s="59"/>
      <c r="G76" s="33"/>
    </row>
    <row r="77" spans="1:7" ht="12.75" customHeight="1">
      <c r="A77" s="21"/>
      <c r="B77" s="28"/>
      <c r="C77" s="79" t="s">
        <v>36</v>
      </c>
      <c r="D77" s="21"/>
      <c r="E77" s="38"/>
      <c r="F77" s="66">
        <v>0</v>
      </c>
      <c r="G77" s="33"/>
    </row>
    <row r="78" spans="1:7" ht="12.75" customHeight="1">
      <c r="A78" s="21"/>
      <c r="B78" s="28"/>
      <c r="C78" s="21"/>
      <c r="D78" s="21"/>
      <c r="E78" s="38"/>
      <c r="F78" s="59"/>
      <c r="G78" s="33"/>
    </row>
    <row r="79" spans="1:7" ht="12.75" customHeight="1">
      <c r="A79" s="21"/>
      <c r="B79" s="28"/>
      <c r="C79" s="79" t="s">
        <v>37</v>
      </c>
      <c r="D79" s="21"/>
      <c r="E79" s="38"/>
      <c r="F79" s="66">
        <v>0</v>
      </c>
      <c r="G79" s="33"/>
    </row>
    <row r="80" spans="1:7" ht="12.75" customHeight="1">
      <c r="A80" s="21"/>
      <c r="B80" s="28"/>
      <c r="C80" s="21"/>
      <c r="D80" s="21"/>
      <c r="E80" s="38"/>
      <c r="F80" s="59"/>
      <c r="G80" s="33"/>
    </row>
    <row r="81" spans="1:7" ht="12.75" customHeight="1">
      <c r="A81" s="21"/>
      <c r="B81" s="28"/>
      <c r="C81" s="79" t="s">
        <v>38</v>
      </c>
      <c r="D81" s="21"/>
      <c r="E81" s="38"/>
      <c r="F81" s="66">
        <f>SUM(F82:F84)</f>
        <v>934.9100000000001</v>
      </c>
      <c r="G81" s="33"/>
    </row>
    <row r="82" spans="1:7" ht="12.75" customHeight="1">
      <c r="A82" s="21"/>
      <c r="B82" s="28"/>
      <c r="C82" s="79"/>
      <c r="D82" s="21"/>
      <c r="E82" s="85" t="s">
        <v>123</v>
      </c>
      <c r="F82" s="81">
        <v>97.89</v>
      </c>
      <c r="G82" s="33"/>
    </row>
    <row r="83" spans="1:7" ht="12.75" customHeight="1">
      <c r="A83" s="21"/>
      <c r="B83" s="28"/>
      <c r="C83" s="79"/>
      <c r="D83" s="21"/>
      <c r="E83" s="85" t="s">
        <v>102</v>
      </c>
      <c r="F83" s="81">
        <v>641.72</v>
      </c>
      <c r="G83" s="33"/>
    </row>
    <row r="84" spans="1:7" ht="12.75" customHeight="1">
      <c r="A84" s="21"/>
      <c r="B84" s="28"/>
      <c r="C84" s="79"/>
      <c r="D84" s="21"/>
      <c r="E84" s="85" t="s">
        <v>151</v>
      </c>
      <c r="F84" s="81">
        <v>195.3</v>
      </c>
      <c r="G84" s="33"/>
    </row>
    <row r="85" spans="1:7" ht="12.75" customHeight="1">
      <c r="A85" s="21"/>
      <c r="B85" s="28"/>
      <c r="C85" s="21"/>
      <c r="D85" s="21"/>
      <c r="E85" s="43"/>
      <c r="F85" s="59" t="s">
        <v>0</v>
      </c>
      <c r="G85" s="33"/>
    </row>
    <row r="86" spans="1:9" ht="16.5" customHeight="1">
      <c r="A86" s="44"/>
      <c r="B86" s="75" t="s">
        <v>39</v>
      </c>
      <c r="C86" s="45"/>
      <c r="D86" s="45"/>
      <c r="E86" s="39"/>
      <c r="F86" s="59" t="s">
        <v>0</v>
      </c>
      <c r="G86" s="98">
        <f>SUM(G19:G81)</f>
        <v>7326.839999999967</v>
      </c>
      <c r="I86" s="70"/>
    </row>
    <row r="87" spans="1:7" ht="12.75" customHeight="1">
      <c r="A87" s="21"/>
      <c r="B87" s="97" t="s">
        <v>40</v>
      </c>
      <c r="C87" s="21"/>
      <c r="D87" s="21"/>
      <c r="E87" s="43"/>
      <c r="F87" s="59" t="s">
        <v>0</v>
      </c>
      <c r="G87" s="46"/>
    </row>
    <row r="88" spans="2:7" ht="12" customHeight="1">
      <c r="B88" s="47"/>
      <c r="E88" s="38"/>
      <c r="F88" s="59" t="s">
        <v>0</v>
      </c>
      <c r="G88" s="46"/>
    </row>
    <row r="89" spans="2:7" ht="16.5" customHeight="1">
      <c r="B89" s="75" t="s">
        <v>52</v>
      </c>
      <c r="C89" s="35"/>
      <c r="D89" s="35"/>
      <c r="E89" s="48"/>
      <c r="F89" s="60"/>
      <c r="G89" s="98">
        <f>SUM(F91:F93)</f>
        <v>0</v>
      </c>
    </row>
    <row r="90" spans="2:7" ht="12">
      <c r="B90" s="47"/>
      <c r="E90" s="38"/>
      <c r="F90" s="59"/>
      <c r="G90" s="46"/>
    </row>
    <row r="91" spans="2:7" ht="15">
      <c r="B91" s="28"/>
      <c r="C91" s="79" t="s">
        <v>49</v>
      </c>
      <c r="D91" s="21"/>
      <c r="E91" s="38"/>
      <c r="F91" s="64">
        <v>0</v>
      </c>
      <c r="G91" s="46"/>
    </row>
    <row r="92" spans="2:7" ht="15">
      <c r="B92" s="47"/>
      <c r="C92" s="79" t="s">
        <v>50</v>
      </c>
      <c r="E92" s="38"/>
      <c r="F92" s="71">
        <v>0</v>
      </c>
      <c r="G92" s="46"/>
    </row>
    <row r="93" spans="2:7" ht="15">
      <c r="B93" s="47"/>
      <c r="C93" s="79" t="s">
        <v>51</v>
      </c>
      <c r="E93" s="38"/>
      <c r="F93" s="66">
        <v>0</v>
      </c>
      <c r="G93" s="46"/>
    </row>
    <row r="94" spans="2:7" ht="12">
      <c r="B94" s="47"/>
      <c r="E94" s="38"/>
      <c r="F94" s="59"/>
      <c r="G94" s="46"/>
    </row>
    <row r="95" spans="2:7" ht="18">
      <c r="B95" s="75" t="s">
        <v>75</v>
      </c>
      <c r="C95" s="35"/>
      <c r="D95" s="35"/>
      <c r="E95" s="48"/>
      <c r="F95" s="69">
        <v>0</v>
      </c>
      <c r="G95" s="99">
        <v>0</v>
      </c>
    </row>
    <row r="96" spans="2:7" ht="12">
      <c r="B96" s="47"/>
      <c r="E96" s="38"/>
      <c r="F96" s="59"/>
      <c r="G96" s="46"/>
    </row>
    <row r="97" spans="2:7" ht="18">
      <c r="B97" s="75" t="s">
        <v>76</v>
      </c>
      <c r="C97" s="35"/>
      <c r="D97" s="35"/>
      <c r="E97" s="48"/>
      <c r="F97" s="60"/>
      <c r="G97" s="98">
        <f>F99+F100</f>
        <v>9138.369999999999</v>
      </c>
    </row>
    <row r="98" spans="2:7" ht="12">
      <c r="B98" s="47"/>
      <c r="E98" s="38"/>
      <c r="F98" s="59"/>
      <c r="G98" s="46"/>
    </row>
    <row r="99" spans="2:7" ht="14.25">
      <c r="B99" s="47"/>
      <c r="C99" s="79" t="s">
        <v>53</v>
      </c>
      <c r="E99" s="38"/>
      <c r="F99" s="68">
        <v>9696.73</v>
      </c>
      <c r="G99" s="46"/>
    </row>
    <row r="100" spans="2:7" ht="14.25">
      <c r="B100" s="47"/>
      <c r="C100" s="79" t="s">
        <v>54</v>
      </c>
      <c r="E100" s="38"/>
      <c r="F100" s="68">
        <v>-558.36</v>
      </c>
      <c r="G100" s="46"/>
    </row>
    <row r="101" spans="2:7" ht="12">
      <c r="B101" s="47"/>
      <c r="E101" s="38"/>
      <c r="F101" s="59"/>
      <c r="G101" s="46"/>
    </row>
    <row r="102" spans="2:7" ht="12">
      <c r="B102" s="47"/>
      <c r="E102" s="38"/>
      <c r="F102" s="59"/>
      <c r="G102" s="46"/>
    </row>
    <row r="103" spans="2:9" ht="18">
      <c r="B103" s="31"/>
      <c r="E103" s="100" t="s">
        <v>55</v>
      </c>
      <c r="F103" s="59"/>
      <c r="G103" s="101">
        <f>G86+G89+G95+G97</f>
        <v>16465.209999999966</v>
      </c>
      <c r="I103" s="70"/>
    </row>
    <row r="104" spans="2:7" ht="12">
      <c r="B104" s="49"/>
      <c r="C104" s="50"/>
      <c r="D104" s="50"/>
      <c r="E104" s="51"/>
      <c r="F104" s="52"/>
      <c r="G104" s="53"/>
    </row>
    <row r="109" spans="5:7" ht="15.75">
      <c r="E109" s="103" t="s">
        <v>110</v>
      </c>
      <c r="G109" s="107">
        <f>773348.29*4.33/100</f>
        <v>33485.98095700001</v>
      </c>
    </row>
    <row r="111" spans="5:7" ht="15.75">
      <c r="E111" s="103" t="s">
        <v>111</v>
      </c>
      <c r="G111" s="107">
        <f>-886714.22*4.33/100+4.64</f>
        <v>-38390.085726000005</v>
      </c>
    </row>
    <row r="113" spans="5:7" ht="18">
      <c r="E113" s="103" t="s">
        <v>156</v>
      </c>
      <c r="G113" s="104">
        <f>G103+G109+G111</f>
        <v>11561.105230999965</v>
      </c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scale="80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2009-03-31T13:48:39Z</cp:lastPrinted>
  <dcterms:created xsi:type="dcterms:W3CDTF">1997-08-28T16:58:31Z</dcterms:created>
  <dcterms:modified xsi:type="dcterms:W3CDTF">2009-07-08T13:12:55Z</dcterms:modified>
  <cp:category/>
  <cp:version/>
  <cp:contentType/>
  <cp:contentStatus/>
</cp:coreProperties>
</file>