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876" yWindow="105" windowWidth="9690" windowHeight="7290" tabRatio="737" activeTab="0"/>
  </bookViews>
  <sheets>
    <sheet name="BILANCIO CEE ASPEF " sheetId="1" r:id="rId1"/>
    <sheet name="Foglio1" sheetId="2" r:id="rId2"/>
  </sheets>
  <definedNames>
    <definedName name="_xlnm.Print_Area" localSheetId="0">'BILANCIO CEE ASPEF '!$B$1:$I$478</definedName>
    <definedName name="_xlnm.Print_Titles" localSheetId="0">'BILANCIO CEE ASPEF '!$1:$1</definedName>
  </definedNames>
  <calcPr fullCalcOnLoad="1"/>
</workbook>
</file>

<file path=xl/sharedStrings.xml><?xml version="1.0" encoding="utf-8"?>
<sst xmlns="http://schemas.openxmlformats.org/spreadsheetml/2006/main" count="638" uniqueCount="356">
  <si>
    <t>STATO PATRIMONIALE</t>
  </si>
  <si>
    <t>ATTIVO</t>
  </si>
  <si>
    <t>PARZIALE</t>
  </si>
  <si>
    <t>INTERMEDIO</t>
  </si>
  <si>
    <t xml:space="preserve"> </t>
  </si>
  <si>
    <t>B) Immobilizzazioni:</t>
  </si>
  <si>
    <t>I - Immobilizzazioni immateriali:</t>
  </si>
  <si>
    <t>1) costi di impianto e di ampliamento;</t>
  </si>
  <si>
    <t>meno: fondo ammortamento</t>
  </si>
  <si>
    <t>2) costi di ricerca, di sviluppo e di pubblicità</t>
  </si>
  <si>
    <t>3) diritti di brevetto industriale e diritti di</t>
  </si>
  <si>
    <t>utilizzazione opere dell'ingegno;</t>
  </si>
  <si>
    <t>4) concessioni, licenze, marchi e diritti simili</t>
  </si>
  <si>
    <t>5) avviamento;</t>
  </si>
  <si>
    <t>6) immobilizzazioni in corso e acconti;</t>
  </si>
  <si>
    <t xml:space="preserve">7) altre </t>
  </si>
  <si>
    <t>II - Immobilizzazioni materiali:</t>
  </si>
  <si>
    <t>1) terreni e fabbricati;</t>
  </si>
  <si>
    <t>costruzioni leggere</t>
  </si>
  <si>
    <t>2) impianti e macchinari;</t>
  </si>
  <si>
    <t>impianti e macchinari specifici</t>
  </si>
  <si>
    <t>impianti e macchinari generici</t>
  </si>
  <si>
    <t>3) attrezzature industriali e commerciali;</t>
  </si>
  <si>
    <t>automezzi e autovetture</t>
  </si>
  <si>
    <t>macchine elettroniche</t>
  </si>
  <si>
    <t>attrezzature varie</t>
  </si>
  <si>
    <t>4) altri beni</t>
  </si>
  <si>
    <t>5) immobilizzazioni in corso e acconti.</t>
  </si>
  <si>
    <t>III - Immobilizzazioni finanziarie, con separata</t>
  </si>
  <si>
    <t>indicazione,per ciascuna voce dei crediti e</t>
  </si>
  <si>
    <t>importi esigibili entro l'esercizio successivo</t>
  </si>
  <si>
    <t xml:space="preserve">1) partecipazioni in: </t>
  </si>
  <si>
    <t>a) imprese controllate;</t>
  </si>
  <si>
    <t>b) imprese collegate;</t>
  </si>
  <si>
    <t>meno fondo svalutazione partecipazioni</t>
  </si>
  <si>
    <t>2) crediti:</t>
  </si>
  <si>
    <t>Entro 12 mesi</t>
  </si>
  <si>
    <t>Oltre 12 mesi</t>
  </si>
  <si>
    <t>a) verso imprese controllate;</t>
  </si>
  <si>
    <t>b) verso imprese collegate;</t>
  </si>
  <si>
    <t xml:space="preserve">3) altri titoli;          </t>
  </si>
  <si>
    <t>C) Attivo circolante:</t>
  </si>
  <si>
    <t>I - Rimanenze:</t>
  </si>
  <si>
    <t>1) materie prime, sussidiarie e consumo;</t>
  </si>
  <si>
    <t xml:space="preserve">2) prodotti in corso di lavoraz. e semilav. </t>
  </si>
  <si>
    <t>3) lavori in corso su ordinazione;</t>
  </si>
  <si>
    <t>4) prodotti finiti e merci;</t>
  </si>
  <si>
    <t>5) acconti.</t>
  </si>
  <si>
    <t>II - Crediti, con separata indicazione, per ciascuna</t>
  </si>
  <si>
    <t>voce, degli importi esigibili oltre l'esercizio</t>
  </si>
  <si>
    <t>1) verso clienti;</t>
  </si>
  <si>
    <t xml:space="preserve">     fatture da emettere</t>
  </si>
  <si>
    <t>meno fondo svalutazione crediti</t>
  </si>
  <si>
    <t>2) verso imprese controllate;</t>
  </si>
  <si>
    <t>3) verso imprese collegate;</t>
  </si>
  <si>
    <t>5) verso altri.</t>
  </si>
  <si>
    <t>III - Attività finanziarie che non sono immobilizz.</t>
  </si>
  <si>
    <t>1) partecipazioni in imprese controllate;</t>
  </si>
  <si>
    <t>2) partecipazioni in imprese collegate;</t>
  </si>
  <si>
    <t>IV - Disponibilità liquide:</t>
  </si>
  <si>
    <t>2) assegni;</t>
  </si>
  <si>
    <t>3) danaro e valori in cassa.</t>
  </si>
  <si>
    <t>1) Ratei attivi</t>
  </si>
  <si>
    <t>2) Risconti attivi</t>
  </si>
  <si>
    <t>TOTALE DELLE ATTIVITA'</t>
  </si>
  <si>
    <t>PASSIVO</t>
  </si>
  <si>
    <t>A) Patrimonio netto:</t>
  </si>
  <si>
    <t>III - Riserva di rivalutazione;</t>
  </si>
  <si>
    <t>IV - Riserva legale;</t>
  </si>
  <si>
    <t>VII - Altre riserve, distintamente indicate;</t>
  </si>
  <si>
    <t>VIII - Utili (perdite) portati a nuovo;</t>
  </si>
  <si>
    <t>perdite portate a nuovo</t>
  </si>
  <si>
    <t>utili portati a nuovo</t>
  </si>
  <si>
    <t>XI - Utile (perdita) d'esercizio.</t>
  </si>
  <si>
    <t>B) Fondi per rischi e oneri:</t>
  </si>
  <si>
    <t>1) trattamento di quiescenza e obblighi simili;</t>
  </si>
  <si>
    <t>3) altri.</t>
  </si>
  <si>
    <t>C)Trattamento di fine rapporto di lavoro</t>
  </si>
  <si>
    <t>subordinato</t>
  </si>
  <si>
    <t>D) Debiti, con separata indicazione, per cia-</t>
  </si>
  <si>
    <t>scuna voce, degli importi esigibili oltre</t>
  </si>
  <si>
    <t>l'esercizio successivo:</t>
  </si>
  <si>
    <t>1) obbligazioni;</t>
  </si>
  <si>
    <t xml:space="preserve">sociale; </t>
  </si>
  <si>
    <t xml:space="preserve">inps  v/istituti previdenziali </t>
  </si>
  <si>
    <t>altri debiti</t>
  </si>
  <si>
    <t>E) Ratei e risconti, con separata indicazione</t>
  </si>
  <si>
    <t xml:space="preserve">dell'aggio sui prestiti. </t>
  </si>
  <si>
    <t>1) Ratei passivi</t>
  </si>
  <si>
    <t>2) Risconti passivi</t>
  </si>
  <si>
    <t>TOTALE DELLE PASSIVITA'</t>
  </si>
  <si>
    <t>CONTO ECONOMICO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</si>
  <si>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</si>
  <si>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</si>
  <si>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</si>
  <si>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</si>
  <si>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</si>
  <si>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</si>
  <si>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</si>
  <si>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</si>
  <si>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</si>
  <si>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</si>
  <si>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</si>
  <si>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</si>
  <si>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</si>
  <si>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</si>
  <si>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</si>
  <si>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</si>
  <si>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</si>
  <si>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</si>
  <si>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</si>
  <si>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</si>
  <si>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</si>
  <si>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</si>
  <si>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</si>
  <si>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</si>
  <si>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</si>
  <si>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</si>
  <si>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</si>
  <si>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</si>
  <si>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</si>
  <si>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</si>
  <si>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</si>
  <si>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</si>
  <si>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</si>
  <si>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</si>
  <si>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</si>
  <si>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</si>
  <si>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</si>
  <si>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</si>
  <si>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</si>
  <si>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</si>
  <si>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</si>
  <si>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</si>
  <si>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</si>
  <si>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</si>
  <si>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</si>
  <si>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</si>
  <si>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</si>
  <si>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interessi attivi su titoli circolante</t>
  </si>
  <si>
    <t xml:space="preserve"> -   altri proventi finanziari</t>
  </si>
  <si>
    <t>17) interessi ed altri oneri finanziari, con separa-</t>
  </si>
  <si>
    <t>ta indicazione di quelli verso imprese con-</t>
  </si>
  <si>
    <t xml:space="preserve"> -    interessi passivi su mutui</t>
  </si>
  <si>
    <t xml:space="preserve"> -    interessi passivi su c/c</t>
  </si>
  <si>
    <t xml:space="preserve"> -    spese e commissioni bancarie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</si>
  <si>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</si>
  <si>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</si>
  <si>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</si>
  <si>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</si>
  <si>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</si>
  <si>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</si>
  <si>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</si>
  <si>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</si>
  <si>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</si>
  <si>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</si>
  <si>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</si>
  <si>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</si>
  <si>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</si>
  <si>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</si>
  <si>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</si>
  <si>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</si>
  <si>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</si>
  <si>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IRAP</t>
  </si>
  <si>
    <t>per capitale di dotazione deliberato da versare</t>
  </si>
  <si>
    <t xml:space="preserve">        A.S.P.e F. Azienda Servizi alla Persona e alla Famiglia</t>
  </si>
  <si>
    <t>redatto secondo il Decreto del Ministero del Tesoro 26.04.1995</t>
  </si>
  <si>
    <t>* fatture da emettere</t>
  </si>
  <si>
    <t>1) depositi bancari e postali presso:</t>
  </si>
  <si>
    <t>I - Capitale di dotazione;</t>
  </si>
  <si>
    <t>* fatture da ricevere</t>
  </si>
  <si>
    <t>* fornitori</t>
  </si>
  <si>
    <t xml:space="preserve"> - da Ente pubblico di riferimento</t>
  </si>
  <si>
    <t>trollate e collegate</t>
  </si>
  <si>
    <t>* plusvalenze da alienazioni</t>
  </si>
  <si>
    <t>* sopravv. attive e insuss. passive</t>
  </si>
  <si>
    <t>* altre</t>
  </si>
  <si>
    <t>* minusvalenze da alienazioni</t>
  </si>
  <si>
    <t>* sopravv. passive e insuss. attive</t>
  </si>
  <si>
    <t>3) variazione dei lavori in corso su ordinazione;</t>
  </si>
  <si>
    <t>2) variazioni delle rimanenze di prodotti in</t>
  </si>
  <si>
    <t>1) ricavi delle vendite e delle prestazioni;</t>
  </si>
  <si>
    <t xml:space="preserve">R.S.A. </t>
  </si>
  <si>
    <t>* R.S.A.</t>
  </si>
  <si>
    <t>* cassa economale</t>
  </si>
  <si>
    <t xml:space="preserve">depositi cauzionali </t>
  </si>
  <si>
    <t>erario c/Irap</t>
  </si>
  <si>
    <t>* note di accredito da emettere</t>
  </si>
  <si>
    <t>* note accredito da ricevere</t>
  </si>
  <si>
    <t>* clienti</t>
  </si>
  <si>
    <t>* crediti documentati da fatture</t>
  </si>
  <si>
    <t>Compensi C.d.A.</t>
  </si>
  <si>
    <t>Compensi Collegio revisori</t>
  </si>
  <si>
    <t xml:space="preserve">* </t>
  </si>
  <si>
    <t>e - altri costi per il personale</t>
  </si>
  <si>
    <t>terreni</t>
  </si>
  <si>
    <t xml:space="preserve">fabbricati </t>
  </si>
  <si>
    <t>fabbricati</t>
  </si>
  <si>
    <t>arredamento</t>
  </si>
  <si>
    <t>mobili e macchine ufficio</t>
  </si>
  <si>
    <t>fondo rinnovo impianti</t>
  </si>
  <si>
    <t>debiti v/inps c/gest. sep.</t>
  </si>
  <si>
    <t>erario c/ritenute lavoro dipendente</t>
  </si>
  <si>
    <t>erario c/ritenute</t>
  </si>
  <si>
    <t xml:space="preserve">altri beni </t>
  </si>
  <si>
    <t>Ristorazione</t>
  </si>
  <si>
    <t>Centro Diurno Integrato</t>
  </si>
  <si>
    <t>fondo sviluppo investimenti</t>
  </si>
  <si>
    <t>* Ristorazione</t>
  </si>
  <si>
    <t>* Banco Posta</t>
  </si>
  <si>
    <t>erario c/imposta sostitutiva T.f.r.</t>
  </si>
  <si>
    <t>inps c/pensioni ospiti</t>
  </si>
  <si>
    <t>debito v/inail</t>
  </si>
  <si>
    <t>dipendenti c/retribuzioni</t>
  </si>
  <si>
    <t>Servizio Trasporto Protetto</t>
  </si>
  <si>
    <t>Comunità Alloggio Handicap</t>
  </si>
  <si>
    <t>Costi comuni</t>
  </si>
  <si>
    <t>erario c/iva</t>
  </si>
  <si>
    <t>dotaz</t>
  </si>
  <si>
    <t>contr c/manut</t>
  </si>
  <si>
    <t>contr regione</t>
  </si>
  <si>
    <t>dormit handi</t>
  </si>
  <si>
    <t>cag all pro</t>
  </si>
  <si>
    <t>pensionato</t>
  </si>
  <si>
    <t>contrib famiglia</t>
  </si>
  <si>
    <t>giroc 5-6</t>
  </si>
  <si>
    <t>giroc sic</t>
  </si>
  <si>
    <t>giroc immigr</t>
  </si>
  <si>
    <t>beni mob</t>
  </si>
  <si>
    <t>altri beni</t>
  </si>
  <si>
    <t>giacenze</t>
  </si>
  <si>
    <t>immobili</t>
  </si>
  <si>
    <t>TOT 31 12 2001</t>
  </si>
  <si>
    <t>capitale dotazione</t>
  </si>
  <si>
    <t>sicurezza</t>
  </si>
  <si>
    <t>sicurezza 2001</t>
  </si>
  <si>
    <t>facciate 2001</t>
  </si>
  <si>
    <t>5 -6 piano 2001</t>
  </si>
  <si>
    <t>5 -6 piano 1999</t>
  </si>
  <si>
    <t>sicurezza 1999</t>
  </si>
  <si>
    <t>31 -12 2001</t>
  </si>
  <si>
    <t>totale</t>
  </si>
  <si>
    <t>facciate 2002</t>
  </si>
  <si>
    <t>massobrio 2002</t>
  </si>
  <si>
    <t>5 -6 piano 2002</t>
  </si>
  <si>
    <t xml:space="preserve">famiglia </t>
  </si>
  <si>
    <t>lavori 5-6</t>
  </si>
  <si>
    <t>PATR NETT</t>
  </si>
  <si>
    <t>CONTROLLO</t>
  </si>
  <si>
    <t xml:space="preserve">altri </t>
  </si>
  <si>
    <t>CONTI D'ORDINE</t>
  </si>
  <si>
    <t>TOTALE GENERALE</t>
  </si>
  <si>
    <t>Garanzie a terzi per fidejussioni concesse</t>
  </si>
  <si>
    <t>Ente pubblico c/conferimento Capitale di dotazione</t>
  </si>
  <si>
    <t>Altri</t>
  </si>
  <si>
    <t>4bis) per crediti tributari</t>
  </si>
  <si>
    <t>4ter) per imposte anticipate</t>
  </si>
  <si>
    <t>3) partecipazioni in imprese controllanti;</t>
  </si>
  <si>
    <t>5) azioni proprie</t>
  </si>
  <si>
    <t>6) altri titoli.</t>
  </si>
  <si>
    <t>4) altre partecipazioni;</t>
  </si>
  <si>
    <t xml:space="preserve">4) azioni proprie;          </t>
  </si>
  <si>
    <t>d) altre imprese;</t>
  </si>
  <si>
    <t>d) verso altri;</t>
  </si>
  <si>
    <t>V - Riserve statutarie;</t>
  </si>
  <si>
    <t>VI - Riserva per azioni proprie in portafoglio</t>
  </si>
  <si>
    <t>II - Riserva di sovrapprezzo azioni</t>
  </si>
  <si>
    <t>2) per imposte, anche differite;</t>
  </si>
  <si>
    <t>2) obbligazioni convertibili</t>
  </si>
  <si>
    <t>3) debiti verso soci per finanziamenti</t>
  </si>
  <si>
    <t>4) debiti verso banche;</t>
  </si>
  <si>
    <t xml:space="preserve">5) debiti verso altri finanziatori; </t>
  </si>
  <si>
    <t xml:space="preserve">6) acconti; </t>
  </si>
  <si>
    <t>7) debiti verso fornitori;</t>
  </si>
  <si>
    <t>8) debiti rappresentati da titoli di credito;</t>
  </si>
  <si>
    <t>9) debiti verso imprese controllate;</t>
  </si>
  <si>
    <t>10) debiti verso imprese collegate;</t>
  </si>
  <si>
    <t>12) debiti tributari;</t>
  </si>
  <si>
    <t>13) debiti verso istituti di previdenza e di sicurezza</t>
  </si>
  <si>
    <t>14) altri debiti.</t>
  </si>
  <si>
    <t>17bis) utili e perdite su cambi</t>
  </si>
  <si>
    <t xml:space="preserve">22) imposte sul reddito dell'esercizio, correnti, </t>
  </si>
  <si>
    <t>differite e anticipate</t>
  </si>
  <si>
    <t>IRES</t>
  </si>
  <si>
    <t>R.S.A. Isabella d'Este</t>
  </si>
  <si>
    <t>R.S.A. Luigi Bianchi</t>
  </si>
  <si>
    <t>di cui: contributi in conto esercizio</t>
  </si>
  <si>
    <t>A) Crediti verso Ente Pubblico di riferimento</t>
  </si>
  <si>
    <t>c) ente pubblico di riferimento;</t>
  </si>
  <si>
    <t>4) verso ente pubblico di riferimento;</t>
  </si>
  <si>
    <t>11) debiti verso ente pubblico di riferimento;</t>
  </si>
  <si>
    <t>e conforme agli articoli 2423 e seguenti del Codice Civile</t>
  </si>
  <si>
    <t>* mutui passivi</t>
  </si>
  <si>
    <t>Spese per lavoro interinale</t>
  </si>
  <si>
    <t>fatture da emettere</t>
  </si>
  <si>
    <t>controllo</t>
  </si>
  <si>
    <t>clienti</t>
  </si>
  <si>
    <t>cr farm contr</t>
  </si>
  <si>
    <t>db farm pass</t>
  </si>
  <si>
    <t>* cassa fisioterapia</t>
  </si>
  <si>
    <t>* valori bollati</t>
  </si>
  <si>
    <t>* conti correnti passivi</t>
  </si>
  <si>
    <t>trattenute su retribuzioni</t>
  </si>
  <si>
    <t>S.A.D. - Voucher</t>
  </si>
  <si>
    <t>Area integrazione sociale</t>
  </si>
  <si>
    <t>Fisioterapia</t>
  </si>
  <si>
    <t>debito c/ agenzia di locazione</t>
  </si>
  <si>
    <t>erario c/ritenute lavoro co.co.pro.</t>
  </si>
  <si>
    <t>debito v/piano di zona</t>
  </si>
  <si>
    <t>erario c/Ires</t>
  </si>
  <si>
    <t xml:space="preserve">Area Minori </t>
  </si>
  <si>
    <t>Servizio Affidi</t>
  </si>
  <si>
    <t>contributo Fondo Sanitario Regionale</t>
  </si>
  <si>
    <t>contributo premio qualità ASL</t>
  </si>
  <si>
    <t>contributo Regionale per lavori</t>
  </si>
  <si>
    <t>contributo ASL ex circolare 4</t>
  </si>
  <si>
    <t>contributo Piano di Zona</t>
  </si>
  <si>
    <t>contributo ASL legge 185</t>
  </si>
  <si>
    <t>R.S.A. "Isabella d'Este"</t>
  </si>
  <si>
    <t>R.S.A. "Luigi Bianchi"</t>
  </si>
  <si>
    <t>R.S.A."Luigi Bianchi"</t>
  </si>
  <si>
    <t>C.A.H.Comunità Alloggio Handicap</t>
  </si>
  <si>
    <t>C.A.H.Comunità alloggio Handicap</t>
  </si>
  <si>
    <t>C.A.H. Comunità alloggio Handicap</t>
  </si>
  <si>
    <t>D) Ratei e risconti, con separata</t>
  </si>
  <si>
    <t>indicazione del disaggio sui prestiti.</t>
  </si>
  <si>
    <t>23) utile (perdita) dell'esercizio</t>
  </si>
  <si>
    <t>Area Integrazione Sociale</t>
  </si>
  <si>
    <t>contributo Ente Proprietario</t>
  </si>
  <si>
    <t>Altri ricavi Contributo Ente Proprietario</t>
  </si>
  <si>
    <t>Altri ricavi e proventi comuni</t>
  </si>
  <si>
    <t>BILANCIO DELL'ESERCIZIO CHIUSO AL 31 DICEMBRE 2008</t>
  </si>
  <si>
    <t>Altri ricavi e proventi Contratto di Servizio e Affitti</t>
  </si>
  <si>
    <t>* Tesoriere Banca Monte dei Paschi di Siena</t>
  </si>
  <si>
    <t>* cassa Studentato</t>
  </si>
  <si>
    <t>BILANCIO AL 31 DICEMBRE 2008</t>
  </si>
  <si>
    <t xml:space="preserve">Sportello Giovani </t>
  </si>
  <si>
    <t>Studentato</t>
  </si>
  <si>
    <t>Comuni</t>
  </si>
  <si>
    <t>* ASL c/crediti documentati da fatture</t>
  </si>
  <si>
    <t xml:space="preserve">* ASL c/fatture da emettere </t>
  </si>
  <si>
    <t>* Inps c/pensione ospiti</t>
  </si>
  <si>
    <t>* credito v/Inail</t>
  </si>
  <si>
    <t>* Cauzioni</t>
  </si>
  <si>
    <t>* Franchigia ospiti</t>
  </si>
  <si>
    <t>* Altri crediti diversi</t>
  </si>
  <si>
    <t>* Erario c/Ires per ritenute subite</t>
  </si>
  <si>
    <t>* Erario c/Irpef collaboratori</t>
  </si>
  <si>
    <t>* Erario c/Irap</t>
  </si>
  <si>
    <t>* Erario c/Iva</t>
  </si>
  <si>
    <t xml:space="preserve">* Erario c/Ires </t>
  </si>
  <si>
    <t>progetto Alzheimer</t>
  </si>
  <si>
    <t>Servizio Affidi e Comunità Alloggio Handicap</t>
  </si>
  <si>
    <t xml:space="preserve">contributo ASL </t>
  </si>
  <si>
    <t xml:space="preserve">Altri ricavi personale </t>
  </si>
  <si>
    <t>Sportello Giovani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</si>
</sst>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  <numFmt numFmtId="180" formatCode="#,##0.0"/>
    <numFmt numFmtId="181" formatCode="[$€]\ #,##0.00;[Red]&quot;-&quot;[$€]\ #,##0.00"/>
    <numFmt numFmtId="182" formatCode="#,##0.00\ [$€-1];[Red]#,##0.00\ [$€-1]"/>
    <numFmt numFmtId="183" formatCode="#,##0.00_ ;\-#,##0.00\ "/>
  </numFmts>
  <fonts count="26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u val="single"/>
      <sz val="10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b/>
      <u val="single"/>
      <sz val="10"/>
      <name val="Geneva"/>
      <family val="0"/>
    </font>
    <font>
      <i/>
      <sz val="9"/>
      <name val="Geneva"/>
      <family val="0"/>
    </font>
    <font>
      <u val="single"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b/>
      <sz val="9"/>
      <color indexed="10"/>
      <name val="Geneva"/>
      <family val="0"/>
    </font>
    <font>
      <sz val="9"/>
      <color indexed="10"/>
      <name val="Geneva"/>
      <family val="0"/>
    </font>
    <font>
      <sz val="11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b/>
      <sz val="11"/>
      <name val="Geneva"/>
      <family val="0"/>
    </font>
    <font>
      <b/>
      <sz val="20"/>
      <name val="Geneva"/>
      <family val="0"/>
    </font>
    <font>
      <u val="single"/>
      <sz val="11"/>
      <name val="Geneva"/>
      <family val="0"/>
    </font>
    <font>
      <b/>
      <sz val="13"/>
      <name val="Geneva"/>
      <family val="0"/>
    </font>
    <font>
      <b/>
      <i/>
      <sz val="14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3" fontId="0" fillId="0" borderId="7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>
      <alignment/>
    </xf>
    <xf numFmtId="0" fontId="15" fillId="0" borderId="4" xfId="0" applyFont="1" applyFill="1" applyBorder="1" applyAlignment="1" applyProtection="1">
      <alignment/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3" fontId="5" fillId="0" borderId="7" xfId="0" applyNumberFormat="1" applyFont="1" applyFill="1" applyBorder="1" applyAlignment="1" applyProtection="1">
      <alignment horizontal="center"/>
      <protection locked="0"/>
    </xf>
    <xf numFmtId="3" fontId="7" fillId="0" borderId="7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0" fillId="2" borderId="5" xfId="0" applyNumberFormat="1" applyFill="1" applyBorder="1" applyAlignment="1" applyProtection="1">
      <alignment/>
      <protection locked="0"/>
    </xf>
    <xf numFmtId="3" fontId="9" fillId="2" borderId="5" xfId="0" applyNumberFormat="1" applyFont="1" applyFill="1" applyBorder="1" applyAlignment="1" applyProtection="1">
      <alignment/>
      <protection locked="0"/>
    </xf>
    <xf numFmtId="3" fontId="11" fillId="2" borderId="5" xfId="0" applyNumberFormat="1" applyFont="1" applyFill="1" applyBorder="1" applyAlignment="1" applyProtection="1">
      <alignment horizontal="right"/>
      <protection locked="0"/>
    </xf>
    <xf numFmtId="3" fontId="0" fillId="2" borderId="5" xfId="0" applyNumberFormat="1" applyFont="1" applyFill="1" applyBorder="1" applyAlignment="1" applyProtection="1">
      <alignment/>
      <protection locked="0"/>
    </xf>
    <xf numFmtId="3" fontId="11" fillId="2" borderId="5" xfId="0" applyNumberFormat="1" applyFont="1" applyFill="1" applyBorder="1" applyAlignment="1" applyProtection="1">
      <alignment/>
      <protection locked="0"/>
    </xf>
    <xf numFmtId="3" fontId="3" fillId="2" borderId="5" xfId="0" applyNumberFormat="1" applyFont="1" applyFill="1" applyBorder="1" applyAlignment="1" applyProtection="1">
      <alignment/>
      <protection locked="0"/>
    </xf>
    <xf numFmtId="3" fontId="2" fillId="2" borderId="5" xfId="0" applyNumberFormat="1" applyFont="1" applyFill="1" applyBorder="1" applyAlignment="1" applyProtection="1">
      <alignment/>
      <protection locked="0"/>
    </xf>
    <xf numFmtId="3" fontId="4" fillId="2" borderId="5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3" fillId="2" borderId="5" xfId="0" applyNumberFormat="1" applyFont="1" applyFill="1" applyBorder="1" applyAlignment="1" applyProtection="1">
      <alignment/>
      <protection locked="0"/>
    </xf>
    <xf numFmtId="3" fontId="11" fillId="2" borderId="17" xfId="0" applyNumberFormat="1" applyFont="1" applyFill="1" applyBorder="1" applyAlignment="1" applyProtection="1">
      <alignment/>
      <protection locked="0"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3" fontId="0" fillId="2" borderId="20" xfId="0" applyNumberFormat="1" applyFill="1" applyBorder="1" applyAlignment="1" applyProtection="1">
      <alignment/>
      <protection locked="0"/>
    </xf>
    <xf numFmtId="3" fontId="14" fillId="2" borderId="5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1" fillId="0" borderId="5" xfId="0" applyNumberFormat="1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4" fontId="14" fillId="0" borderId="5" xfId="0" applyNumberFormat="1" applyFont="1" applyFill="1" applyBorder="1" applyAlignment="1" applyProtection="1">
      <alignment/>
      <protection locked="0"/>
    </xf>
    <xf numFmtId="4" fontId="0" fillId="0" borderId="5" xfId="0" applyNumberFormat="1" applyFill="1" applyBorder="1" applyAlignment="1" applyProtection="1">
      <alignment/>
      <protection locked="0"/>
    </xf>
    <xf numFmtId="4" fontId="14" fillId="0" borderId="4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20" xfId="0" applyNumberFormat="1" applyFill="1" applyBorder="1" applyAlignment="1" applyProtection="1">
      <alignment/>
      <protection locked="0"/>
    </xf>
    <xf numFmtId="4" fontId="0" fillId="0" borderId="5" xfId="0" applyNumberFormat="1" applyFill="1" applyBorder="1" applyAlignment="1" applyProtection="1">
      <alignment/>
      <protection/>
    </xf>
    <xf numFmtId="4" fontId="9" fillId="0" borderId="5" xfId="0" applyNumberFormat="1" applyFont="1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/>
    </xf>
    <xf numFmtId="4" fontId="14" fillId="0" borderId="22" xfId="0" applyNumberFormat="1" applyFont="1" applyFill="1" applyBorder="1" applyAlignment="1" applyProtection="1">
      <alignment/>
      <protection locked="0"/>
    </xf>
    <xf numFmtId="4" fontId="14" fillId="0" borderId="23" xfId="0" applyNumberFormat="1" applyFont="1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4" fontId="0" fillId="0" borderId="23" xfId="0" applyNumberForma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/>
    </xf>
    <xf numFmtId="4" fontId="14" fillId="0" borderId="3" xfId="0" applyNumberFormat="1" applyFont="1" applyBorder="1" applyAlignment="1" applyProtection="1">
      <alignment horizontal="right"/>
      <protection locked="0"/>
    </xf>
    <xf numFmtId="4" fontId="0" fillId="0" borderId="24" xfId="0" applyNumberFormat="1" applyFill="1" applyBorder="1" applyAlignment="1" applyProtection="1">
      <alignment/>
      <protection locked="0"/>
    </xf>
    <xf numFmtId="4" fontId="14" fillId="0" borderId="25" xfId="0" applyNumberFormat="1" applyFont="1" applyFill="1" applyBorder="1" applyAlignment="1" applyProtection="1">
      <alignment/>
      <protection locked="0"/>
    </xf>
    <xf numFmtId="4" fontId="0" fillId="0" borderId="3" xfId="0" applyNumberForma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4" fontId="1" fillId="0" borderId="5" xfId="0" applyNumberFormat="1" applyFont="1" applyFill="1" applyBorder="1" applyAlignment="1" applyProtection="1">
      <alignment/>
      <protection locked="0"/>
    </xf>
    <xf numFmtId="4" fontId="4" fillId="0" borderId="5" xfId="0" applyNumberFormat="1" applyFont="1" applyFill="1" applyBorder="1" applyAlignment="1" applyProtection="1">
      <alignment/>
      <protection locked="0"/>
    </xf>
    <xf numFmtId="4" fontId="0" fillId="0" borderId="8" xfId="0" applyNumberFormat="1" applyFill="1" applyBorder="1" applyAlignment="1" applyProtection="1">
      <alignment/>
      <protection locked="0"/>
    </xf>
    <xf numFmtId="4" fontId="0" fillId="0" borderId="25" xfId="0" applyNumberFormat="1" applyFill="1" applyBorder="1" applyAlignment="1" applyProtection="1">
      <alignment/>
      <protection locked="0"/>
    </xf>
    <xf numFmtId="4" fontId="1" fillId="2" borderId="5" xfId="0" applyNumberFormat="1" applyFont="1" applyFill="1" applyBorder="1" applyAlignment="1" applyProtection="1">
      <alignment/>
      <protection locked="0"/>
    </xf>
    <xf numFmtId="4" fontId="0" fillId="2" borderId="5" xfId="0" applyNumberFormat="1" applyFont="1" applyFill="1" applyBorder="1" applyAlignment="1" applyProtection="1">
      <alignment/>
      <protection locked="0"/>
    </xf>
    <xf numFmtId="4" fontId="0" fillId="2" borderId="5" xfId="0" applyNumberFormat="1" applyFill="1" applyBorder="1" applyAlignment="1" applyProtection="1">
      <alignment/>
      <protection locked="0"/>
    </xf>
    <xf numFmtId="4" fontId="0" fillId="2" borderId="5" xfId="0" applyNumberFormat="1" applyFill="1" applyBorder="1" applyAlignment="1" applyProtection="1">
      <alignment/>
      <protection/>
    </xf>
    <xf numFmtId="4" fontId="14" fillId="2" borderId="5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/>
    </xf>
    <xf numFmtId="4" fontId="9" fillId="2" borderId="5" xfId="0" applyNumberFormat="1" applyFont="1" applyFill="1" applyBorder="1" applyAlignment="1" applyProtection="1">
      <alignment/>
      <protection locked="0"/>
    </xf>
    <xf numFmtId="4" fontId="0" fillId="2" borderId="21" xfId="0" applyNumberFormat="1" applyFill="1" applyBorder="1" applyAlignment="1" applyProtection="1">
      <alignment/>
      <protection/>
    </xf>
    <xf numFmtId="4" fontId="14" fillId="2" borderId="22" xfId="0" applyNumberFormat="1" applyFont="1" applyFill="1" applyBorder="1" applyAlignment="1" applyProtection="1">
      <alignment/>
      <protection locked="0"/>
    </xf>
    <xf numFmtId="4" fontId="14" fillId="2" borderId="23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4" fontId="0" fillId="2" borderId="21" xfId="0" applyNumberFormat="1" applyFill="1" applyBorder="1" applyAlignment="1" applyProtection="1">
      <alignment/>
      <protection locked="0"/>
    </xf>
    <xf numFmtId="4" fontId="0" fillId="2" borderId="22" xfId="0" applyNumberFormat="1" applyFill="1" applyBorder="1" applyAlignment="1" applyProtection="1">
      <alignment/>
      <protection locked="0"/>
    </xf>
    <xf numFmtId="4" fontId="0" fillId="2" borderId="23" xfId="0" applyNumberFormat="1" applyFill="1" applyBorder="1" applyAlignment="1" applyProtection="1">
      <alignment/>
      <protection locked="0"/>
    </xf>
    <xf numFmtId="4" fontId="0" fillId="2" borderId="22" xfId="0" applyNumberFormat="1" applyFont="1" applyFill="1" applyBorder="1" applyAlignment="1" applyProtection="1">
      <alignment/>
      <protection/>
    </xf>
    <xf numFmtId="4" fontId="14" fillId="2" borderId="3" xfId="0" applyNumberFormat="1" applyFont="1" applyFill="1" applyBorder="1" applyAlignment="1" applyProtection="1">
      <alignment horizontal="right"/>
      <protection locked="0"/>
    </xf>
    <xf numFmtId="4" fontId="0" fillId="2" borderId="24" xfId="0" applyNumberFormat="1" applyFill="1" applyBorder="1" applyAlignment="1" applyProtection="1">
      <alignment/>
      <protection locked="0"/>
    </xf>
    <xf numFmtId="4" fontId="14" fillId="2" borderId="25" xfId="0" applyNumberFormat="1" applyFont="1" applyFill="1" applyBorder="1" applyAlignment="1" applyProtection="1">
      <alignment/>
      <protection locked="0"/>
    </xf>
    <xf numFmtId="4" fontId="0" fillId="2" borderId="4" xfId="0" applyNumberFormat="1" applyFill="1" applyBorder="1" applyAlignment="1" applyProtection="1">
      <alignment/>
      <protection locked="0"/>
    </xf>
    <xf numFmtId="4" fontId="0" fillId="2" borderId="17" xfId="0" applyNumberFormat="1" applyFill="1" applyBorder="1" applyAlignment="1" applyProtection="1">
      <alignment/>
      <protection locked="0"/>
    </xf>
    <xf numFmtId="4" fontId="1" fillId="2" borderId="5" xfId="0" applyNumberFormat="1" applyFont="1" applyFill="1" applyBorder="1" applyAlignment="1" applyProtection="1">
      <alignment/>
      <protection/>
    </xf>
    <xf numFmtId="4" fontId="4" fillId="2" borderId="5" xfId="0" applyNumberFormat="1" applyFont="1" applyFill="1" applyBorder="1" applyAlignment="1" applyProtection="1">
      <alignment/>
      <protection locked="0"/>
    </xf>
    <xf numFmtId="4" fontId="0" fillId="2" borderId="8" xfId="0" applyNumberFormat="1" applyFill="1" applyBorder="1" applyAlignment="1" applyProtection="1">
      <alignment/>
      <protection locked="0"/>
    </xf>
    <xf numFmtId="4" fontId="0" fillId="2" borderId="25" xfId="0" applyNumberFormat="1" applyFill="1" applyBorder="1" applyAlignment="1" applyProtection="1">
      <alignment/>
      <protection locked="0"/>
    </xf>
    <xf numFmtId="4" fontId="0" fillId="0" borderId="5" xfId="0" applyNumberFormat="1" applyFill="1" applyBorder="1" applyAlignment="1" applyProtection="1">
      <alignment horizontal="left"/>
      <protection locked="0"/>
    </xf>
    <xf numFmtId="4" fontId="9" fillId="0" borderId="3" xfId="0" applyNumberFormat="1" applyFont="1" applyFill="1" applyBorder="1" applyAlignment="1" applyProtection="1">
      <alignment horizontal="left"/>
      <protection locked="0"/>
    </xf>
    <xf numFmtId="4" fontId="0" fillId="0" borderId="3" xfId="0" applyNumberFormat="1" applyFont="1" applyFill="1" applyBorder="1" applyAlignment="1" applyProtection="1">
      <alignment horizontal="left"/>
      <protection locked="0"/>
    </xf>
    <xf numFmtId="4" fontId="11" fillId="0" borderId="5" xfId="0" applyNumberFormat="1" applyFont="1" applyFill="1" applyBorder="1" applyAlignment="1" applyProtection="1">
      <alignment horizontal="right"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4" fontId="11" fillId="0" borderId="22" xfId="0" applyNumberFormat="1" applyFont="1" applyFill="1" applyBorder="1" applyAlignment="1" applyProtection="1">
      <alignment/>
      <protection locked="0"/>
    </xf>
    <xf numFmtId="4" fontId="11" fillId="0" borderId="3" xfId="0" applyNumberFormat="1" applyFont="1" applyFill="1" applyBorder="1" applyAlignment="1" applyProtection="1">
      <alignment horizontal="left"/>
      <protection locked="0"/>
    </xf>
    <xf numFmtId="4" fontId="11" fillId="0" borderId="3" xfId="0" applyNumberFormat="1" applyFont="1" applyFill="1" applyBorder="1" applyAlignment="1" applyProtection="1">
      <alignment/>
      <protection locked="0"/>
    </xf>
    <xf numFmtId="4" fontId="11" fillId="0" borderId="5" xfId="0" applyNumberFormat="1" applyFont="1" applyFill="1" applyBorder="1" applyAlignment="1" applyProtection="1">
      <alignment/>
      <protection locked="0"/>
    </xf>
    <xf numFmtId="4" fontId="9" fillId="0" borderId="3" xfId="0" applyNumberFormat="1" applyFont="1" applyFill="1" applyBorder="1" applyAlignment="1" applyProtection="1">
      <alignment/>
      <protection locked="0"/>
    </xf>
    <xf numFmtId="4" fontId="14" fillId="0" borderId="3" xfId="0" applyNumberFormat="1" applyFont="1" applyFill="1" applyBorder="1" applyAlignment="1" applyProtection="1">
      <alignment horizontal="right"/>
      <protection locked="0"/>
    </xf>
    <xf numFmtId="4" fontId="0" fillId="0" borderId="3" xfId="0" applyNumberFormat="1" applyFill="1" applyBorder="1" applyAlignment="1" applyProtection="1">
      <alignment horizontal="left"/>
      <protection locked="0"/>
    </xf>
    <xf numFmtId="4" fontId="14" fillId="0" borderId="3" xfId="0" applyNumberFormat="1" applyFont="1" applyFill="1" applyBorder="1" applyAlignment="1" applyProtection="1">
      <alignment/>
      <protection locked="0"/>
    </xf>
    <xf numFmtId="4" fontId="3" fillId="0" borderId="5" xfId="0" applyNumberFormat="1" applyFont="1" applyFill="1" applyBorder="1" applyAlignment="1" applyProtection="1">
      <alignment/>
      <protection/>
    </xf>
    <xf numFmtId="4" fontId="2" fillId="0" borderId="5" xfId="0" applyNumberFormat="1" applyFont="1" applyFill="1" applyBorder="1" applyAlignment="1" applyProtection="1">
      <alignment/>
      <protection locked="0"/>
    </xf>
    <xf numFmtId="4" fontId="0" fillId="0" borderId="26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27" xfId="0" applyNumberFormat="1" applyFill="1" applyBorder="1" applyAlignment="1" applyProtection="1">
      <alignment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3" fillId="0" borderId="3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3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3" fontId="0" fillId="3" borderId="0" xfId="0" applyNumberFormat="1" applyFill="1" applyAlignment="1">
      <alignment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181" fontId="9" fillId="0" borderId="0" xfId="15" applyFont="1" applyAlignment="1">
      <alignment horizontal="right"/>
    </xf>
    <xf numFmtId="181" fontId="0" fillId="0" borderId="0" xfId="15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81" fontId="9" fillId="0" borderId="0" xfId="15" applyFont="1" applyAlignment="1">
      <alignment/>
    </xf>
    <xf numFmtId="181" fontId="0" fillId="0" borderId="0" xfId="0" applyNumberFormat="1" applyAlignment="1">
      <alignment/>
    </xf>
    <xf numFmtId="181" fontId="0" fillId="3" borderId="0" xfId="15" applyFill="1" applyAlignment="1">
      <alignment horizontal="right"/>
    </xf>
    <xf numFmtId="182" fontId="16" fillId="0" borderId="0" xfId="0" applyNumberFormat="1" applyFont="1" applyAlignment="1">
      <alignment/>
    </xf>
    <xf numFmtId="3" fontId="1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0" fillId="2" borderId="5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7" fillId="0" borderId="2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4" fontId="3" fillId="2" borderId="28" xfId="0" applyNumberFormat="1" applyFont="1" applyFill="1" applyBorder="1" applyAlignment="1" applyProtection="1">
      <alignment horizontal="right"/>
      <protection locked="0"/>
    </xf>
    <xf numFmtId="4" fontId="3" fillId="2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4" fontId="15" fillId="0" borderId="5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4" fontId="0" fillId="3" borderId="0" xfId="0" applyNumberForma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4" fontId="18" fillId="0" borderId="5" xfId="0" applyNumberFormat="1" applyFont="1" applyFill="1" applyBorder="1" applyAlignment="1" applyProtection="1">
      <alignment/>
      <protection/>
    </xf>
    <xf numFmtId="3" fontId="18" fillId="0" borderId="5" xfId="0" applyNumberFormat="1" applyFon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3" fontId="0" fillId="0" borderId="29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3" fontId="0" fillId="0" borderId="7" xfId="0" applyNumberForma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/>
      <protection locked="0"/>
    </xf>
    <xf numFmtId="3" fontId="0" fillId="2" borderId="24" xfId="0" applyNumberFormat="1" applyFill="1" applyBorder="1" applyAlignment="1" applyProtection="1">
      <alignment/>
      <protection locked="0"/>
    </xf>
    <xf numFmtId="3" fontId="0" fillId="0" borderId="7" xfId="0" applyNumberFormat="1" applyFill="1" applyBorder="1" applyAlignment="1" applyProtection="1">
      <alignment/>
      <protection locked="0"/>
    </xf>
    <xf numFmtId="4" fontId="1" fillId="0" borderId="8" xfId="0" applyNumberFormat="1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/>
      <protection locked="0"/>
    </xf>
    <xf numFmtId="3" fontId="1" fillId="0" borderId="31" xfId="0" applyNumberFormat="1" applyFont="1" applyFill="1" applyBorder="1" applyAlignment="1" applyProtection="1">
      <alignment/>
      <protection locked="0"/>
    </xf>
    <xf numFmtId="3" fontId="0" fillId="0" borderId="31" xfId="0" applyNumberFormat="1" applyFill="1" applyBorder="1" applyAlignment="1" applyProtection="1">
      <alignment/>
      <protection locked="0"/>
    </xf>
    <xf numFmtId="4" fontId="0" fillId="0" borderId="3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183" fontId="4" fillId="0" borderId="3" xfId="0" applyNumberFormat="1" applyFont="1" applyFill="1" applyBorder="1" applyAlignment="1" applyProtection="1">
      <alignment/>
      <protection/>
    </xf>
    <xf numFmtId="4" fontId="4" fillId="0" borderId="3" xfId="0" applyNumberFormat="1" applyFont="1" applyFill="1" applyBorder="1" applyAlignment="1" applyProtection="1">
      <alignment/>
      <protection/>
    </xf>
    <xf numFmtId="4" fontId="18" fillId="0" borderId="33" xfId="0" applyNumberFormat="1" applyFont="1" applyFill="1" applyBorder="1" applyAlignment="1" applyProtection="1">
      <alignment/>
      <protection locked="0"/>
    </xf>
    <xf numFmtId="4" fontId="20" fillId="0" borderId="5" xfId="0" applyNumberFormat="1" applyFont="1" applyFill="1" applyBorder="1" applyAlignment="1" applyProtection="1">
      <alignment/>
      <protection/>
    </xf>
    <xf numFmtId="4" fontId="18" fillId="2" borderId="5" xfId="0" applyNumberFormat="1" applyFont="1" applyFill="1" applyBorder="1" applyAlignment="1" applyProtection="1">
      <alignment/>
      <protection locked="0"/>
    </xf>
    <xf numFmtId="4" fontId="18" fillId="2" borderId="33" xfId="0" applyNumberFormat="1" applyFont="1" applyFill="1" applyBorder="1" applyAlignment="1" applyProtection="1">
      <alignment/>
      <protection locked="0"/>
    </xf>
    <xf numFmtId="4" fontId="4" fillId="2" borderId="3" xfId="0" applyNumberFormat="1" applyFont="1" applyFill="1" applyBorder="1" applyAlignment="1" applyProtection="1">
      <alignment/>
      <protection/>
    </xf>
    <xf numFmtId="4" fontId="20" fillId="2" borderId="5" xfId="0" applyNumberFormat="1" applyFont="1" applyFill="1" applyBorder="1" applyAlignment="1" applyProtection="1">
      <alignment/>
      <protection/>
    </xf>
    <xf numFmtId="4" fontId="18" fillId="0" borderId="5" xfId="0" applyNumberFormat="1" applyFont="1" applyFill="1" applyBorder="1" applyAlignment="1" applyProtection="1">
      <alignment/>
      <protection locked="0"/>
    </xf>
    <xf numFmtId="4" fontId="4" fillId="2" borderId="19" xfId="0" applyNumberFormat="1" applyFont="1" applyFill="1" applyBorder="1" applyAlignment="1" applyProtection="1">
      <alignment/>
      <protection/>
    </xf>
    <xf numFmtId="183" fontId="4" fillId="0" borderId="5" xfId="0" applyNumberFormat="1" applyFont="1" applyFill="1" applyBorder="1" applyAlignment="1" applyProtection="1">
      <alignment/>
      <protection/>
    </xf>
    <xf numFmtId="183" fontId="4" fillId="0" borderId="19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4" fontId="18" fillId="0" borderId="33" xfId="0" applyNumberFormat="1" applyFont="1" applyFill="1" applyBorder="1" applyAlignment="1" applyProtection="1">
      <alignment/>
      <protection/>
    </xf>
    <xf numFmtId="4" fontId="18" fillId="2" borderId="33" xfId="0" applyNumberFormat="1" applyFont="1" applyFill="1" applyBorder="1" applyAlignment="1" applyProtection="1">
      <alignment/>
      <protection/>
    </xf>
    <xf numFmtId="0" fontId="20" fillId="0" borderId="3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43" fontId="4" fillId="0" borderId="3" xfId="0" applyNumberFormat="1" applyFont="1" applyFill="1" applyBorder="1" applyAlignment="1" applyProtection="1">
      <alignment/>
      <protection/>
    </xf>
    <xf numFmtId="4" fontId="14" fillId="2" borderId="0" xfId="0" applyNumberFormat="1" applyFont="1" applyFill="1" applyBorder="1" applyAlignment="1" applyProtection="1">
      <alignment/>
      <protection locked="0"/>
    </xf>
    <xf numFmtId="4" fontId="14" fillId="0" borderId="0" xfId="0" applyNumberFormat="1" applyFont="1" applyFill="1" applyBorder="1" applyAlignment="1" applyProtection="1">
      <alignment/>
      <protection locked="0"/>
    </xf>
    <xf numFmtId="4" fontId="4" fillId="0" borderId="5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" fontId="4" fillId="0" borderId="22" xfId="0" applyNumberFormat="1" applyFont="1" applyFill="1" applyBorder="1" applyAlignment="1" applyProtection="1">
      <alignment/>
      <protection locked="0"/>
    </xf>
    <xf numFmtId="4" fontId="4" fillId="2" borderId="22" xfId="0" applyNumberFormat="1" applyFont="1" applyFill="1" applyBorder="1" applyAlignment="1" applyProtection="1">
      <alignment/>
      <protection locked="0"/>
    </xf>
    <xf numFmtId="4" fontId="4" fillId="2" borderId="23" xfId="0" applyNumberFormat="1" applyFont="1" applyFill="1" applyBorder="1" applyAlignment="1" applyProtection="1">
      <alignment/>
      <protection locked="0"/>
    </xf>
    <xf numFmtId="183" fontId="4" fillId="0" borderId="22" xfId="0" applyNumberFormat="1" applyFont="1" applyFill="1" applyBorder="1" applyAlignment="1" applyProtection="1">
      <alignment/>
      <protection locked="0"/>
    </xf>
    <xf numFmtId="4" fontId="18" fillId="2" borderId="22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4" fontId="4" fillId="0" borderId="22" xfId="0" applyNumberFormat="1" applyFont="1" applyFill="1" applyBorder="1" applyAlignment="1" applyProtection="1">
      <alignment/>
      <protection/>
    </xf>
    <xf numFmtId="4" fontId="4" fillId="2" borderId="22" xfId="0" applyNumberFormat="1" applyFont="1" applyFill="1" applyBorder="1" applyAlignment="1" applyProtection="1">
      <alignment/>
      <protection/>
    </xf>
    <xf numFmtId="183" fontId="4" fillId="0" borderId="3" xfId="0" applyNumberFormat="1" applyFont="1" applyBorder="1" applyAlignment="1" applyProtection="1">
      <alignment horizontal="right"/>
      <protection locked="0"/>
    </xf>
    <xf numFmtId="4" fontId="4" fillId="2" borderId="0" xfId="0" applyNumberFormat="1" applyFont="1" applyFill="1" applyBorder="1" applyAlignment="1" applyProtection="1">
      <alignment/>
      <protection locked="0"/>
    </xf>
    <xf numFmtId="4" fontId="4" fillId="2" borderId="25" xfId="0" applyNumberFormat="1" applyFont="1" applyFill="1" applyBorder="1" applyAlignment="1" applyProtection="1">
      <alignment/>
      <protection locked="0"/>
    </xf>
    <xf numFmtId="4" fontId="4" fillId="0" borderId="25" xfId="0" applyNumberFormat="1" applyFont="1" applyFill="1" applyBorder="1" applyAlignment="1" applyProtection="1">
      <alignment/>
      <protection locked="0"/>
    </xf>
    <xf numFmtId="183" fontId="4" fillId="0" borderId="5" xfId="0" applyNumberFormat="1" applyFont="1" applyFill="1" applyBorder="1" applyAlignment="1" applyProtection="1">
      <alignment/>
      <protection locked="0"/>
    </xf>
    <xf numFmtId="4" fontId="19" fillId="0" borderId="17" xfId="0" applyNumberFormat="1" applyFont="1" applyFill="1" applyBorder="1" applyAlignment="1" applyProtection="1">
      <alignment/>
      <protection locked="0"/>
    </xf>
    <xf numFmtId="4" fontId="19" fillId="2" borderId="17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3" fontId="20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5" fillId="0" borderId="33" xfId="0" applyNumberFormat="1" applyFont="1" applyFill="1" applyBorder="1" applyAlignment="1" applyProtection="1">
      <alignment horizontal="center"/>
      <protection locked="0"/>
    </xf>
    <xf numFmtId="0" fontId="5" fillId="0" borderId="33" xfId="0" applyNumberFormat="1" applyFont="1" applyFill="1" applyBorder="1" applyAlignment="1" applyProtection="1">
      <alignment horizontal="center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3" fillId="0" borderId="4" xfId="0" applyFont="1" applyFill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0" fillId="0" borderId="7" xfId="0" applyFont="1" applyFill="1" applyBorder="1" applyAlignment="1" applyProtection="1">
      <alignment/>
      <protection locked="0"/>
    </xf>
    <xf numFmtId="4" fontId="25" fillId="0" borderId="5" xfId="0" applyNumberFormat="1" applyFont="1" applyFill="1" applyBorder="1" applyAlignment="1" applyProtection="1">
      <alignment horizontal="right"/>
      <protection locked="0"/>
    </xf>
    <xf numFmtId="4" fontId="25" fillId="0" borderId="5" xfId="0" applyNumberFormat="1" applyFont="1" applyFill="1" applyBorder="1" applyAlignment="1" applyProtection="1">
      <alignment horizontal="right"/>
      <protection/>
    </xf>
    <xf numFmtId="4" fontId="25" fillId="2" borderId="5" xfId="0" applyNumberFormat="1" applyFont="1" applyFill="1" applyBorder="1" applyAlignment="1" applyProtection="1">
      <alignment horizontal="right"/>
      <protection locked="0"/>
    </xf>
    <xf numFmtId="4" fontId="18" fillId="0" borderId="3" xfId="0" applyNumberFormat="1" applyFont="1" applyFill="1" applyBorder="1" applyAlignment="1" applyProtection="1">
      <alignment/>
      <protection locked="0"/>
    </xf>
    <xf numFmtId="4" fontId="4" fillId="0" borderId="21" xfId="0" applyNumberFormat="1" applyFont="1" applyFill="1" applyBorder="1" applyAlignment="1" applyProtection="1">
      <alignment/>
      <protection locked="0"/>
    </xf>
    <xf numFmtId="4" fontId="4" fillId="0" borderId="3" xfId="0" applyNumberFormat="1" applyFont="1" applyFill="1" applyBorder="1" applyAlignment="1" applyProtection="1">
      <alignment/>
      <protection locked="0"/>
    </xf>
    <xf numFmtId="4" fontId="4" fillId="0" borderId="19" xfId="0" applyNumberFormat="1" applyFont="1" applyFill="1" applyBorder="1" applyAlignment="1" applyProtection="1">
      <alignment/>
      <protection locked="0"/>
    </xf>
    <xf numFmtId="4" fontId="18" fillId="0" borderId="25" xfId="0" applyNumberFormat="1" applyFont="1" applyFill="1" applyBorder="1" applyAlignment="1" applyProtection="1">
      <alignment/>
      <protection/>
    </xf>
    <xf numFmtId="4" fontId="18" fillId="2" borderId="34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2" fillId="0" borderId="22" xfId="0" applyNumberFormat="1" applyFont="1" applyFill="1" applyBorder="1" applyAlignment="1" applyProtection="1">
      <alignment/>
      <protection locked="0"/>
    </xf>
    <xf numFmtId="4" fontId="0" fillId="0" borderId="35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18" fillId="0" borderId="17" xfId="0" applyNumberFormat="1" applyFont="1" applyFill="1" applyBorder="1" applyAlignment="1" applyProtection="1">
      <alignment/>
      <protection/>
    </xf>
    <xf numFmtId="4" fontId="18" fillId="2" borderId="5" xfId="0" applyNumberFormat="1" applyFont="1" applyFill="1" applyBorder="1" applyAlignment="1" applyProtection="1">
      <alignment horizontal="right"/>
      <protection locked="0"/>
    </xf>
    <xf numFmtId="4" fontId="18" fillId="2" borderId="17" xfId="0" applyNumberFormat="1" applyFont="1" applyFill="1" applyBorder="1" applyAlignment="1" applyProtection="1">
      <alignment horizontal="right"/>
      <protection locked="0"/>
    </xf>
    <xf numFmtId="4" fontId="18" fillId="2" borderId="25" xfId="0" applyNumberFormat="1" applyFont="1" applyFill="1" applyBorder="1" applyAlignment="1" applyProtection="1">
      <alignment horizontal="right"/>
      <protection locked="0"/>
    </xf>
    <xf numFmtId="4" fontId="19" fillId="0" borderId="6" xfId="0" applyNumberFormat="1" applyFont="1" applyFill="1" applyBorder="1" applyAlignment="1" applyProtection="1">
      <alignment horizontal="center"/>
      <protection locked="0"/>
    </xf>
    <xf numFmtId="4" fontId="4" fillId="0" borderId="36" xfId="0" applyNumberFormat="1" applyFont="1" applyFill="1" applyBorder="1" applyAlignment="1" applyProtection="1">
      <alignment/>
      <protection locked="0"/>
    </xf>
    <xf numFmtId="4" fontId="4" fillId="0" borderId="37" xfId="0" applyNumberFormat="1" applyFont="1" applyFill="1" applyBorder="1" applyAlignment="1" applyProtection="1">
      <alignment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4" fontId="4" fillId="0" borderId="39" xfId="0" applyNumberFormat="1" applyFont="1" applyFill="1" applyBorder="1" applyAlignment="1" applyProtection="1">
      <alignment/>
      <protection locked="0"/>
    </xf>
    <xf numFmtId="4" fontId="4" fillId="0" borderId="40" xfId="0" applyNumberFormat="1" applyFont="1" applyFill="1" applyBorder="1" applyAlignment="1" applyProtection="1">
      <alignment/>
      <protection locked="0"/>
    </xf>
    <xf numFmtId="4" fontId="4" fillId="0" borderId="41" xfId="0" applyNumberFormat="1" applyFont="1" applyFill="1" applyBorder="1" applyAlignment="1" applyProtection="1">
      <alignment/>
      <protection locked="0"/>
    </xf>
    <xf numFmtId="4" fontId="4" fillId="0" borderId="5" xfId="0" applyNumberFormat="1" applyFont="1" applyFill="1" applyBorder="1" applyAlignment="1" applyProtection="1">
      <alignment/>
      <protection/>
    </xf>
    <xf numFmtId="4" fontId="4" fillId="2" borderId="5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4" fontId="25" fillId="0" borderId="5" xfId="0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 applyProtection="1">
      <alignment/>
      <protection locked="0"/>
    </xf>
    <xf numFmtId="4" fontId="18" fillId="0" borderId="6" xfId="0" applyNumberFormat="1" applyFont="1" applyFill="1" applyBorder="1" applyAlignment="1" applyProtection="1">
      <alignment horizontal="center"/>
      <protection locked="0"/>
    </xf>
    <xf numFmtId="4" fontId="18" fillId="0" borderId="3" xfId="0" applyNumberFormat="1" applyFont="1" applyFill="1" applyBorder="1" applyAlignment="1" applyProtection="1">
      <alignment/>
      <protection/>
    </xf>
    <xf numFmtId="4" fontId="4" fillId="0" borderId="27" xfId="0" applyNumberFormat="1" applyFont="1" applyFill="1" applyBorder="1" applyAlignment="1" applyProtection="1">
      <alignment/>
      <protection locked="0"/>
    </xf>
    <xf numFmtId="4" fontId="18" fillId="0" borderId="37" xfId="0" applyNumberFormat="1" applyFont="1" applyFill="1" applyBorder="1" applyAlignment="1" applyProtection="1">
      <alignment/>
      <protection locked="0"/>
    </xf>
    <xf numFmtId="4" fontId="2" fillId="0" borderId="27" xfId="0" applyNumberFormat="1" applyFont="1" applyFill="1" applyBorder="1" applyAlignment="1" applyProtection="1">
      <alignment/>
      <protection locked="0"/>
    </xf>
    <xf numFmtId="4" fontId="18" fillId="0" borderId="42" xfId="0" applyNumberFormat="1" applyFont="1" applyFill="1" applyBorder="1" applyAlignment="1" applyProtection="1">
      <alignment/>
      <protection locked="0"/>
    </xf>
    <xf numFmtId="4" fontId="4" fillId="0" borderId="42" xfId="0" applyNumberFormat="1" applyFont="1" applyFill="1" applyBorder="1" applyAlignment="1" applyProtection="1">
      <alignment/>
      <protection locked="0"/>
    </xf>
    <xf numFmtId="4" fontId="18" fillId="0" borderId="40" xfId="0" applyNumberFormat="1" applyFont="1" applyFill="1" applyBorder="1" applyAlignment="1" applyProtection="1">
      <alignment/>
      <protection locked="0"/>
    </xf>
    <xf numFmtId="3" fontId="18" fillId="2" borderId="5" xfId="0" applyNumberFormat="1" applyFont="1" applyFill="1" applyBorder="1" applyAlignment="1" applyProtection="1">
      <alignment/>
      <protection locked="0"/>
    </xf>
    <xf numFmtId="4" fontId="20" fillId="0" borderId="25" xfId="0" applyNumberFormat="1" applyFont="1" applyFill="1" applyBorder="1" applyAlignment="1" applyProtection="1">
      <alignment/>
      <protection/>
    </xf>
    <xf numFmtId="4" fontId="20" fillId="2" borderId="25" xfId="0" applyNumberFormat="1" applyFont="1" applyFill="1" applyBorder="1" applyAlignment="1" applyProtection="1">
      <alignment horizontal="right"/>
      <protection locked="0"/>
    </xf>
    <xf numFmtId="4" fontId="19" fillId="0" borderId="5" xfId="0" applyNumberFormat="1" applyFont="1" applyFill="1" applyBorder="1" applyAlignment="1" applyProtection="1">
      <alignment/>
      <protection/>
    </xf>
    <xf numFmtId="3" fontId="19" fillId="0" borderId="5" xfId="0" applyNumberFormat="1" applyFont="1" applyFill="1" applyBorder="1" applyAlignment="1" applyProtection="1">
      <alignment/>
      <protection locked="0"/>
    </xf>
    <xf numFmtId="4" fontId="20" fillId="0" borderId="25" xfId="0" applyNumberFormat="1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3" fontId="18" fillId="2" borderId="4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4" fontId="18" fillId="0" borderId="43" xfId="0" applyNumberFormat="1" applyFont="1" applyFill="1" applyBorder="1" applyAlignment="1" applyProtection="1">
      <alignment/>
      <protection/>
    </xf>
    <xf numFmtId="4" fontId="18" fillId="0" borderId="20" xfId="0" applyNumberFormat="1" applyFont="1" applyFill="1" applyBorder="1" applyAlignment="1" applyProtection="1">
      <alignment/>
      <protection/>
    </xf>
    <xf numFmtId="4" fontId="18" fillId="0" borderId="44" xfId="0" applyNumberFormat="1" applyFont="1" applyFill="1" applyBorder="1" applyAlignment="1" applyProtection="1">
      <alignment/>
      <protection/>
    </xf>
    <xf numFmtId="4" fontId="18" fillId="0" borderId="27" xfId="0" applyNumberFormat="1" applyFont="1" applyFill="1" applyBorder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/>
      <protection locked="0"/>
    </xf>
    <xf numFmtId="4" fontId="0" fillId="0" borderId="6" xfId="0" applyNumberFormat="1" applyFont="1" applyFill="1" applyBorder="1" applyAlignment="1" applyProtection="1">
      <alignment/>
      <protection locked="0"/>
    </xf>
    <xf numFmtId="4" fontId="18" fillId="0" borderId="3" xfId="0" applyNumberFormat="1" applyFont="1" applyFill="1" applyBorder="1" applyAlignment="1" applyProtection="1">
      <alignment horizontal="right"/>
      <protection locked="0"/>
    </xf>
    <xf numFmtId="4" fontId="18" fillId="0" borderId="5" xfId="0" applyNumberFormat="1" applyFont="1" applyFill="1" applyBorder="1" applyAlignment="1" applyProtection="1">
      <alignment horizontal="right"/>
      <protection locked="0"/>
    </xf>
    <xf numFmtId="4" fontId="20" fillId="2" borderId="5" xfId="0" applyNumberFormat="1" applyFont="1" applyFill="1" applyBorder="1" applyAlignment="1" applyProtection="1">
      <alignment horizontal="right"/>
      <protection locked="0"/>
    </xf>
    <xf numFmtId="4" fontId="25" fillId="0" borderId="5" xfId="0" applyNumberFormat="1" applyFont="1" applyFill="1" applyBorder="1" applyAlignment="1" applyProtection="1">
      <alignment/>
      <protection locked="0"/>
    </xf>
    <xf numFmtId="3" fontId="18" fillId="2" borderId="17" xfId="0" applyNumberFormat="1" applyFont="1" applyFill="1" applyBorder="1" applyAlignment="1" applyProtection="1">
      <alignment/>
      <protection locked="0"/>
    </xf>
    <xf numFmtId="4" fontId="25" fillId="0" borderId="25" xfId="0" applyNumberFormat="1" applyFont="1" applyFill="1" applyBorder="1" applyAlignment="1" applyProtection="1">
      <alignment/>
      <protection/>
    </xf>
    <xf numFmtId="4" fontId="25" fillId="2" borderId="45" xfId="0" applyNumberFormat="1" applyFont="1" applyFill="1" applyBorder="1" applyAlignment="1" applyProtection="1">
      <alignment horizontal="right"/>
      <protection locked="0"/>
    </xf>
    <xf numFmtId="4" fontId="18" fillId="2" borderId="4" xfId="0" applyNumberFormat="1" applyFont="1" applyFill="1" applyBorder="1" applyAlignment="1" applyProtection="1">
      <alignment horizontal="right"/>
      <protection locked="0"/>
    </xf>
    <xf numFmtId="4" fontId="18" fillId="2" borderId="5" xfId="0" applyNumberFormat="1" applyFont="1" applyFill="1" applyBorder="1" applyAlignment="1" applyProtection="1">
      <alignment/>
      <protection/>
    </xf>
    <xf numFmtId="4" fontId="25" fillId="2" borderId="25" xfId="0" applyNumberFormat="1" applyFont="1" applyFill="1" applyBorder="1" applyAlignment="1" applyProtection="1">
      <alignment/>
      <protection/>
    </xf>
    <xf numFmtId="4" fontId="14" fillId="0" borderId="5" xfId="0" applyNumberFormat="1" applyFont="1" applyBorder="1" applyAlignment="1" applyProtection="1">
      <alignment/>
      <protection locked="0"/>
    </xf>
    <xf numFmtId="4" fontId="14" fillId="0" borderId="17" xfId="0" applyNumberFormat="1" applyFont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3" fontId="7" fillId="0" borderId="31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183" fontId="4" fillId="2" borderId="3" xfId="0" applyNumberFormat="1" applyFont="1" applyFill="1" applyBorder="1" applyAlignment="1" applyProtection="1">
      <alignment/>
      <protection/>
    </xf>
    <xf numFmtId="183" fontId="4" fillId="2" borderId="5" xfId="0" applyNumberFormat="1" applyFont="1" applyFill="1" applyBorder="1" applyAlignment="1" applyProtection="1">
      <alignment/>
      <protection/>
    </xf>
    <xf numFmtId="183" fontId="4" fillId="2" borderId="19" xfId="0" applyNumberFormat="1" applyFont="1" applyFill="1" applyBorder="1" applyAlignment="1" applyProtection="1">
      <alignment/>
      <protection/>
    </xf>
    <xf numFmtId="43" fontId="4" fillId="2" borderId="3" xfId="0" applyNumberFormat="1" applyFont="1" applyFill="1" applyBorder="1" applyAlignment="1" applyProtection="1">
      <alignment/>
      <protection/>
    </xf>
    <xf numFmtId="183" fontId="4" fillId="2" borderId="22" xfId="0" applyNumberFormat="1" applyFont="1" applyFill="1" applyBorder="1" applyAlignment="1" applyProtection="1">
      <alignment/>
      <protection locked="0"/>
    </xf>
    <xf numFmtId="43" fontId="14" fillId="2" borderId="22" xfId="0" applyNumberFormat="1" applyFont="1" applyFill="1" applyBorder="1" applyAlignment="1" applyProtection="1">
      <alignment horizontal="right"/>
      <protection locked="0"/>
    </xf>
    <xf numFmtId="43" fontId="4" fillId="2" borderId="23" xfId="0" applyNumberFormat="1" applyFont="1" applyFill="1" applyBorder="1" applyAlignment="1" applyProtection="1">
      <alignment horizontal="right"/>
      <protection locked="0"/>
    </xf>
    <xf numFmtId="183" fontId="4" fillId="0" borderId="22" xfId="0" applyNumberFormat="1" applyFont="1" applyBorder="1" applyAlignment="1" applyProtection="1">
      <alignment horizontal="right"/>
      <protection locked="0"/>
    </xf>
    <xf numFmtId="183" fontId="4" fillId="2" borderId="3" xfId="0" applyNumberFormat="1" applyFont="1" applyFill="1" applyBorder="1" applyAlignment="1" applyProtection="1">
      <alignment horizontal="right"/>
      <protection locked="0"/>
    </xf>
    <xf numFmtId="183" fontId="4" fillId="2" borderId="6" xfId="0" applyNumberFormat="1" applyFont="1" applyFill="1" applyBorder="1" applyAlignment="1" applyProtection="1">
      <alignment horizontal="right"/>
      <protection locked="0"/>
    </xf>
    <xf numFmtId="183" fontId="18" fillId="2" borderId="33" xfId="0" applyNumberFormat="1" applyFont="1" applyFill="1" applyBorder="1" applyAlignment="1" applyProtection="1">
      <alignment/>
      <protection locked="0"/>
    </xf>
    <xf numFmtId="43" fontId="11" fillId="0" borderId="3" xfId="0" applyNumberFormat="1" applyFont="1" applyFill="1" applyBorder="1" applyAlignment="1" applyProtection="1">
      <alignment/>
      <protection/>
    </xf>
    <xf numFmtId="183" fontId="11" fillId="0" borderId="3" xfId="0" applyNumberFormat="1" applyFont="1" applyFill="1" applyBorder="1" applyAlignment="1" applyProtection="1">
      <alignment/>
      <protection/>
    </xf>
    <xf numFmtId="4" fontId="4" fillId="0" borderId="3" xfId="16" applyFont="1" applyFill="1" applyBorder="1" applyAlignment="1" applyProtection="1">
      <alignment/>
      <protection/>
    </xf>
    <xf numFmtId="183" fontId="18" fillId="0" borderId="22" xfId="0" applyNumberFormat="1" applyFont="1" applyFill="1" applyBorder="1" applyAlignment="1" applyProtection="1">
      <alignment/>
      <protection locked="0"/>
    </xf>
    <xf numFmtId="43" fontId="14" fillId="0" borderId="22" xfId="0" applyNumberFormat="1" applyFont="1" applyBorder="1" applyAlignment="1" applyProtection="1">
      <alignment horizontal="right"/>
      <protection locked="0"/>
    </xf>
    <xf numFmtId="43" fontId="4" fillId="0" borderId="23" xfId="0" applyNumberFormat="1" applyFont="1" applyBorder="1" applyAlignment="1" applyProtection="1">
      <alignment horizontal="right"/>
      <protection locked="0"/>
    </xf>
    <xf numFmtId="183" fontId="4" fillId="0" borderId="6" xfId="0" applyNumberFormat="1" applyFont="1" applyBorder="1" applyAlignment="1" applyProtection="1">
      <alignment horizontal="right"/>
      <protection locked="0"/>
    </xf>
    <xf numFmtId="183" fontId="19" fillId="0" borderId="5" xfId="0" applyNumberFormat="1" applyFont="1" applyFill="1" applyBorder="1" applyAlignment="1" applyProtection="1">
      <alignment/>
      <protection locked="0"/>
    </xf>
    <xf numFmtId="43" fontId="19" fillId="0" borderId="25" xfId="0" applyNumberFormat="1" applyFont="1" applyFill="1" applyBorder="1" applyAlignment="1" applyProtection="1">
      <alignment/>
      <protection locked="0"/>
    </xf>
    <xf numFmtId="43" fontId="11" fillId="2" borderId="3" xfId="0" applyNumberFormat="1" applyFont="1" applyFill="1" applyBorder="1" applyAlignment="1" applyProtection="1">
      <alignment/>
      <protection/>
    </xf>
    <xf numFmtId="183" fontId="11" fillId="2" borderId="3" xfId="0" applyNumberFormat="1" applyFont="1" applyFill="1" applyBorder="1" applyAlignment="1" applyProtection="1">
      <alignment/>
      <protection/>
    </xf>
    <xf numFmtId="4" fontId="4" fillId="2" borderId="3" xfId="0" applyNumberFormat="1" applyFont="1" applyFill="1" applyBorder="1" applyAlignment="1" applyProtection="1">
      <alignment/>
      <protection locked="0"/>
    </xf>
    <xf numFmtId="4" fontId="4" fillId="2" borderId="3" xfId="16" applyFont="1" applyFill="1" applyBorder="1" applyAlignment="1" applyProtection="1">
      <alignment/>
      <protection/>
    </xf>
    <xf numFmtId="183" fontId="18" fillId="2" borderId="22" xfId="0" applyNumberFormat="1" applyFont="1" applyFill="1" applyBorder="1" applyAlignment="1" applyProtection="1">
      <alignment/>
      <protection locked="0"/>
    </xf>
    <xf numFmtId="183" fontId="4" fillId="2" borderId="22" xfId="0" applyNumberFormat="1" applyFont="1" applyFill="1" applyBorder="1" applyAlignment="1" applyProtection="1">
      <alignment horizontal="right"/>
      <protection locked="0"/>
    </xf>
    <xf numFmtId="183" fontId="19" fillId="2" borderId="5" xfId="0" applyNumberFormat="1" applyFont="1" applyFill="1" applyBorder="1" applyAlignment="1" applyProtection="1">
      <alignment/>
      <protection locked="0"/>
    </xf>
    <xf numFmtId="43" fontId="19" fillId="2" borderId="25" xfId="0" applyNumberFormat="1" applyFont="1" applyFill="1" applyBorder="1" applyAlignment="1" applyProtection="1">
      <alignment/>
      <protection locked="0"/>
    </xf>
    <xf numFmtId="4" fontId="4" fillId="0" borderId="26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5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46" xfId="0" applyNumberFormat="1" applyFont="1" applyFill="1" applyBorder="1" applyAlignment="1" applyProtection="1">
      <alignment horizontal="center"/>
      <protection locked="0"/>
    </xf>
  </cellXfs>
  <cellStyles count="5">
    <cellStyle name="Normal" xfId="0"/>
    <cellStyle name="Euro" xfId="15"/>
    <cellStyle name="Comma" xfId="16"/>
    <cellStyle name="Percent" xfId="17"/>
    <cellStyle name="Currency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0"/>
  <sheetViews>
    <sheetView showGridLines="0" tabSelected="1" workbookViewId="0" topLeftCell="F1">
      <pane ySplit="1" topLeftCell="BM38" activePane="bottomLeft" state="frozen"/>
      <selection pane="topLeft" activeCell="F391" sqref="F391"/>
      <selection pane="bottomLeft" activeCell="I54" sqref="I54"/>
    </sheetView>
  </sheetViews>
  <sheetFormatPr defaultColWidth="9.00390625" defaultRowHeight="12"/>
  <cols>
    <col min="1" max="1" width="1.25" style="18" hidden="1" customWidth="1"/>
    <col min="2" max="2" width="2.75390625" style="18" customWidth="1"/>
    <col min="3" max="3" width="2.00390625" style="18" customWidth="1"/>
    <col min="4" max="4" width="2.25390625" style="18" customWidth="1"/>
    <col min="5" max="5" width="39.125" style="18" customWidth="1"/>
    <col min="6" max="6" width="14.375" style="16" customWidth="1"/>
    <col min="7" max="7" width="19.25390625" style="16" customWidth="1"/>
    <col min="8" max="8" width="19.375" style="16" customWidth="1"/>
    <col min="9" max="9" width="20.375" style="16" customWidth="1"/>
    <col min="10" max="10" width="2.875" style="1" hidden="1" customWidth="1"/>
    <col min="11" max="11" width="18.125" style="1" hidden="1" customWidth="1"/>
    <col min="12" max="12" width="20.125" style="1" hidden="1" customWidth="1"/>
    <col min="13" max="13" width="11.875" style="2" hidden="1" customWidth="1"/>
    <col min="14" max="255" width="11.875" style="1" customWidth="1"/>
    <col min="256" max="16384" width="10.875" style="1" customWidth="1"/>
  </cols>
  <sheetData>
    <row r="1" spans="1:9" ht="13.5" customHeight="1">
      <c r="A1" s="13"/>
      <c r="B1" s="91"/>
      <c r="C1" s="91"/>
      <c r="D1" s="91"/>
      <c r="E1" s="91"/>
      <c r="F1" s="92"/>
      <c r="G1" s="92"/>
      <c r="H1" s="93"/>
      <c r="I1" s="306" t="s">
        <v>335</v>
      </c>
    </row>
    <row r="2" spans="1:8" ht="13.5" customHeight="1" thickBot="1">
      <c r="A2" s="13"/>
      <c r="B2" s="13"/>
      <c r="C2" s="13"/>
      <c r="D2" s="13"/>
      <c r="E2" s="13"/>
      <c r="F2" s="14"/>
      <c r="G2" s="14"/>
      <c r="H2" s="15"/>
    </row>
    <row r="3" spans="1:9" ht="13.5" customHeight="1">
      <c r="A3" s="13"/>
      <c r="B3" s="94"/>
      <c r="C3" s="88"/>
      <c r="D3" s="88"/>
      <c r="E3" s="88"/>
      <c r="F3" s="89"/>
      <c r="G3" s="89"/>
      <c r="H3" s="90"/>
      <c r="I3" s="53"/>
    </row>
    <row r="4" spans="1:13" s="12" customFormat="1" ht="13.5" customHeight="1">
      <c r="A4" s="52"/>
      <c r="B4" s="95"/>
      <c r="C4" s="52"/>
      <c r="D4" s="52"/>
      <c r="E4" s="52"/>
      <c r="F4" s="96"/>
      <c r="G4"/>
      <c r="H4" s="42"/>
      <c r="I4" s="97"/>
      <c r="M4" s="123"/>
    </row>
    <row r="5" spans="1:13" s="12" customFormat="1" ht="13.5" customHeight="1">
      <c r="A5" s="98"/>
      <c r="B5" s="99"/>
      <c r="C5" s="98"/>
      <c r="D5" s="98"/>
      <c r="E5" s="98"/>
      <c r="F5" s="87"/>
      <c r="G5"/>
      <c r="H5" s="66"/>
      <c r="I5" s="97"/>
      <c r="M5" s="123"/>
    </row>
    <row r="6" spans="1:13" s="12" customFormat="1" ht="26.25">
      <c r="A6" s="98"/>
      <c r="B6" s="99"/>
      <c r="C6" s="98"/>
      <c r="D6" s="98"/>
      <c r="E6" s="299"/>
      <c r="F6" s="301" t="s">
        <v>165</v>
      </c>
      <c r="G6"/>
      <c r="H6" s="66"/>
      <c r="I6" s="97"/>
      <c r="M6" s="123"/>
    </row>
    <row r="7" spans="1:13" s="12" customFormat="1" ht="13.5" customHeight="1">
      <c r="A7" s="98"/>
      <c r="B7" s="99"/>
      <c r="C7" s="98"/>
      <c r="D7" s="98"/>
      <c r="E7" s="98"/>
      <c r="F7" s="87"/>
      <c r="G7"/>
      <c r="H7" s="66"/>
      <c r="I7" s="97"/>
      <c r="M7" s="123"/>
    </row>
    <row r="8" spans="1:9" ht="13.5" customHeight="1">
      <c r="A8" s="13"/>
      <c r="B8" s="55"/>
      <c r="C8" s="13"/>
      <c r="D8" s="13"/>
      <c r="E8" s="13"/>
      <c r="F8" s="14"/>
      <c r="G8" s="14"/>
      <c r="H8" s="15"/>
      <c r="I8" s="54"/>
    </row>
    <row r="9" spans="1:9" ht="13.5" customHeight="1" thickBot="1">
      <c r="A9" s="13"/>
      <c r="B9" s="56"/>
      <c r="C9" s="57"/>
      <c r="D9" s="57"/>
      <c r="E9" s="57"/>
      <c r="F9" s="58"/>
      <c r="G9" s="58"/>
      <c r="H9" s="59"/>
      <c r="I9" s="60"/>
    </row>
    <row r="10" spans="1:8" ht="13.5" customHeight="1">
      <c r="A10" s="13"/>
      <c r="B10" s="13"/>
      <c r="C10" s="13"/>
      <c r="D10" s="13"/>
      <c r="E10" s="13"/>
      <c r="F10" s="14"/>
      <c r="G10" s="14"/>
      <c r="H10" s="15"/>
    </row>
    <row r="11" spans="1:8" ht="19.5" customHeight="1">
      <c r="A11" s="13"/>
      <c r="B11" s="13"/>
      <c r="C11" s="13"/>
      <c r="D11" s="13"/>
      <c r="E11" s="383"/>
      <c r="F11" s="385" t="s">
        <v>331</v>
      </c>
      <c r="G11" s="300"/>
      <c r="H11" s="384"/>
    </row>
    <row r="12" spans="1:8" ht="16.5" customHeight="1">
      <c r="A12" s="13"/>
      <c r="B12" s="13"/>
      <c r="C12" s="13"/>
      <c r="D12" s="13"/>
      <c r="E12" s="383"/>
      <c r="F12" s="300" t="s">
        <v>166</v>
      </c>
      <c r="G12" s="300"/>
      <c r="H12" s="384"/>
    </row>
    <row r="13" spans="1:8" ht="16.5" customHeight="1">
      <c r="A13" s="13"/>
      <c r="B13" s="13"/>
      <c r="C13" s="13"/>
      <c r="D13" s="13"/>
      <c r="E13" s="383"/>
      <c r="F13" s="300" t="s">
        <v>291</v>
      </c>
      <c r="G13" s="300"/>
      <c r="H13" s="384"/>
    </row>
    <row r="14" spans="1:8" ht="7.5" customHeight="1">
      <c r="A14" s="13"/>
      <c r="B14" s="13"/>
      <c r="C14" s="13"/>
      <c r="D14" s="13"/>
      <c r="E14" s="13"/>
      <c r="F14" s="96"/>
      <c r="G14" s="14"/>
      <c r="H14" s="15"/>
    </row>
    <row r="15" spans="1:13" s="105" customFormat="1" ht="17.25" customHeight="1">
      <c r="A15" s="100"/>
      <c r="B15" s="100"/>
      <c r="C15" s="100"/>
      <c r="D15" s="100"/>
      <c r="E15" s="101"/>
      <c r="F15" s="382" t="s">
        <v>0</v>
      </c>
      <c r="G15" s="102"/>
      <c r="H15" s="103"/>
      <c r="I15" s="104"/>
      <c r="M15" s="124"/>
    </row>
    <row r="16" spans="1:9" ht="6.75" customHeight="1">
      <c r="A16" s="17"/>
      <c r="B16" s="17"/>
      <c r="C16" s="17"/>
      <c r="D16" s="17"/>
      <c r="E16" s="17"/>
      <c r="F16" s="14"/>
      <c r="G16" s="14"/>
      <c r="H16" s="15"/>
      <c r="I16" s="221"/>
    </row>
    <row r="17" spans="1:14" s="6" customFormat="1" ht="16.5" customHeight="1">
      <c r="A17" s="61"/>
      <c r="B17" s="19"/>
      <c r="C17" s="20"/>
      <c r="D17" s="20"/>
      <c r="E17" s="302" t="s">
        <v>1</v>
      </c>
      <c r="F17" s="303" t="s">
        <v>2</v>
      </c>
      <c r="G17" s="304" t="s">
        <v>3</v>
      </c>
      <c r="H17" s="305">
        <v>2008</v>
      </c>
      <c r="I17" s="305">
        <v>2007</v>
      </c>
      <c r="J17" s="3"/>
      <c r="K17" s="4">
        <v>2001</v>
      </c>
      <c r="L17" s="5"/>
      <c r="M17" s="125"/>
      <c r="N17" s="5"/>
    </row>
    <row r="18" spans="1:14" ht="12.75">
      <c r="A18" s="22"/>
      <c r="B18" s="21"/>
      <c r="C18" s="22"/>
      <c r="D18" s="22"/>
      <c r="E18" s="23"/>
      <c r="F18" s="180"/>
      <c r="G18" s="149"/>
      <c r="H18" s="132"/>
      <c r="I18" s="106"/>
      <c r="K18" s="7"/>
      <c r="L18" s="7"/>
      <c r="M18" s="126"/>
      <c r="N18" s="7"/>
    </row>
    <row r="19" spans="1:9" ht="12.75" customHeight="1">
      <c r="A19" s="27"/>
      <c r="B19" s="273" t="s">
        <v>287</v>
      </c>
      <c r="C19" s="25"/>
      <c r="D19" s="25"/>
      <c r="E19" s="72"/>
      <c r="F19" s="181" t="s">
        <v>4</v>
      </c>
      <c r="G19" s="149"/>
      <c r="H19" s="138"/>
      <c r="I19" s="107"/>
    </row>
    <row r="20" spans="1:11" ht="16.5" customHeight="1">
      <c r="A20" s="27"/>
      <c r="B20" s="24"/>
      <c r="C20" s="27" t="s">
        <v>164</v>
      </c>
      <c r="D20" s="25"/>
      <c r="E20" s="72"/>
      <c r="F20" s="181" t="s">
        <v>4</v>
      </c>
      <c r="G20" s="149"/>
      <c r="H20" s="316">
        <v>0</v>
      </c>
      <c r="I20" s="318">
        <v>0</v>
      </c>
      <c r="K20" s="1">
        <v>0</v>
      </c>
    </row>
    <row r="21" spans="1:9" ht="12.75" customHeight="1">
      <c r="A21" s="27"/>
      <c r="B21" s="26"/>
      <c r="C21" s="27"/>
      <c r="D21" s="27"/>
      <c r="E21" s="70"/>
      <c r="F21" s="182"/>
      <c r="G21" s="149"/>
      <c r="H21" s="183"/>
      <c r="I21" s="108"/>
    </row>
    <row r="22" spans="1:13" s="8" customFormat="1" ht="16.5" customHeight="1">
      <c r="A22" s="25"/>
      <c r="B22" s="277" t="s">
        <v>5</v>
      </c>
      <c r="C22" s="25"/>
      <c r="D22" s="25"/>
      <c r="E22" s="72"/>
      <c r="F22" s="181"/>
      <c r="G22" s="149"/>
      <c r="H22" s="317">
        <f>H32+H65+H83</f>
        <v>6895158.069999999</v>
      </c>
      <c r="I22" s="318">
        <v>5767320.1</v>
      </c>
      <c r="K22" s="8">
        <v>5285137089</v>
      </c>
      <c r="M22" s="122"/>
    </row>
    <row r="23" spans="1:9" ht="12.75" customHeight="1">
      <c r="A23" s="27"/>
      <c r="B23" s="26"/>
      <c r="C23" s="308" t="s">
        <v>6</v>
      </c>
      <c r="D23" s="28"/>
      <c r="E23" s="73"/>
      <c r="F23" s="182"/>
      <c r="G23" s="149"/>
      <c r="H23" s="132"/>
      <c r="I23" s="106"/>
    </row>
    <row r="24" spans="1:9" ht="12.75" customHeight="1">
      <c r="A24" s="27"/>
      <c r="B24" s="26"/>
      <c r="C24" s="27"/>
      <c r="D24" s="309" t="s">
        <v>7</v>
      </c>
      <c r="E24" s="71"/>
      <c r="F24" s="320">
        <v>0</v>
      </c>
      <c r="G24" s="149"/>
      <c r="H24" s="137"/>
      <c r="I24" s="106"/>
    </row>
    <row r="25" spans="1:9" ht="12.75" customHeight="1">
      <c r="A25" s="27"/>
      <c r="B25" s="26"/>
      <c r="C25" s="27"/>
      <c r="D25" s="309" t="s">
        <v>9</v>
      </c>
      <c r="E25" s="71"/>
      <c r="F25" s="321">
        <v>0</v>
      </c>
      <c r="G25" s="149"/>
      <c r="H25" s="132"/>
      <c r="I25" s="106"/>
    </row>
    <row r="26" spans="1:9" ht="12.75" customHeight="1">
      <c r="A26" s="27"/>
      <c r="B26" s="26"/>
      <c r="C26" s="27"/>
      <c r="D26" s="309" t="s">
        <v>10</v>
      </c>
      <c r="E26" s="71"/>
      <c r="F26" s="321">
        <v>23719.07</v>
      </c>
      <c r="G26" s="149"/>
      <c r="H26" s="132"/>
      <c r="I26" s="106"/>
    </row>
    <row r="27" spans="1:9" ht="12.75" customHeight="1">
      <c r="A27" s="27"/>
      <c r="B27" s="26"/>
      <c r="C27" s="27"/>
      <c r="D27" s="309"/>
      <c r="E27" s="18" t="s">
        <v>11</v>
      </c>
      <c r="F27" s="152"/>
      <c r="G27" s="160"/>
      <c r="H27" s="132"/>
      <c r="I27" s="106"/>
    </row>
    <row r="28" spans="1:10" ht="12.75" customHeight="1">
      <c r="A28" s="27"/>
      <c r="B28" s="26"/>
      <c r="C28" s="27"/>
      <c r="D28" s="309" t="s">
        <v>12</v>
      </c>
      <c r="E28" s="71"/>
      <c r="F28" s="284">
        <v>0</v>
      </c>
      <c r="G28" s="149"/>
      <c r="H28" s="132"/>
      <c r="I28" s="106"/>
      <c r="J28" s="8"/>
    </row>
    <row r="29" spans="1:9" ht="12.75" customHeight="1">
      <c r="A29" s="27"/>
      <c r="B29" s="26"/>
      <c r="C29" s="27"/>
      <c r="D29" s="309" t="s">
        <v>13</v>
      </c>
      <c r="E29" s="71"/>
      <c r="F29" s="321">
        <v>0</v>
      </c>
      <c r="G29" s="149"/>
      <c r="H29" s="132"/>
      <c r="I29" s="106"/>
    </row>
    <row r="30" spans="1:9" ht="12.75" customHeight="1">
      <c r="A30" s="27"/>
      <c r="B30" s="26"/>
      <c r="C30" s="27"/>
      <c r="D30" s="309" t="s">
        <v>14</v>
      </c>
      <c r="E30" s="71"/>
      <c r="F30" s="321">
        <v>0</v>
      </c>
      <c r="G30" s="149"/>
      <c r="H30" s="132"/>
      <c r="I30" s="106"/>
    </row>
    <row r="31" spans="1:9" ht="12.75" customHeight="1">
      <c r="A31" s="27"/>
      <c r="B31" s="26"/>
      <c r="C31" s="27"/>
      <c r="D31" s="309" t="s">
        <v>15</v>
      </c>
      <c r="E31" s="71"/>
      <c r="F31" s="322">
        <f>555698.21+722278.99+334724.1+204293.81+197992.49-162078.63-202003.05-87319.32-11349.66-44998.3</f>
        <v>1507238.6399999997</v>
      </c>
      <c r="G31" s="149"/>
      <c r="H31" s="150"/>
      <c r="I31" s="106"/>
    </row>
    <row r="32" spans="1:11" ht="14.25" customHeight="1" thickBot="1">
      <c r="A32" s="25"/>
      <c r="B32" s="24"/>
      <c r="C32" s="27"/>
      <c r="D32" s="27"/>
      <c r="E32" s="70"/>
      <c r="F32" s="184"/>
      <c r="G32" s="149"/>
      <c r="H32" s="323">
        <f>F24+F25+F26+F28+F29+F30+F31</f>
        <v>1530957.7099999997</v>
      </c>
      <c r="I32" s="324">
        <v>1435444.21</v>
      </c>
      <c r="K32" s="1">
        <v>34505057</v>
      </c>
    </row>
    <row r="33" spans="1:9" ht="12.75" customHeight="1" thickTop="1">
      <c r="A33" s="31"/>
      <c r="B33" s="30"/>
      <c r="C33" s="308" t="s">
        <v>16</v>
      </c>
      <c r="D33" s="28"/>
      <c r="E33" s="73"/>
      <c r="F33" s="182"/>
      <c r="G33" s="149"/>
      <c r="H33" s="132"/>
      <c r="I33" s="250"/>
    </row>
    <row r="34" spans="1:11" ht="12.75" customHeight="1">
      <c r="A34" s="27"/>
      <c r="B34" s="26"/>
      <c r="C34" s="27"/>
      <c r="D34" s="309" t="s">
        <v>17</v>
      </c>
      <c r="E34" s="71"/>
      <c r="F34" s="320">
        <f>SUM(F35:F37)</f>
        <v>4488458.02</v>
      </c>
      <c r="G34" s="149"/>
      <c r="H34" s="240">
        <f>F34+F38</f>
        <v>4173945.5699999994</v>
      </c>
      <c r="I34" s="332">
        <v>2953970.05</v>
      </c>
      <c r="K34" s="1">
        <v>2573756177</v>
      </c>
    </row>
    <row r="35" spans="1:9" ht="12.75" customHeight="1">
      <c r="A35" s="27"/>
      <c r="B35" s="26"/>
      <c r="C35" s="27"/>
      <c r="D35" s="309"/>
      <c r="E35" s="71" t="s">
        <v>195</v>
      </c>
      <c r="F35" s="325">
        <v>13.43</v>
      </c>
      <c r="G35" s="149"/>
      <c r="H35" s="137"/>
      <c r="I35" s="120"/>
    </row>
    <row r="36" spans="1:9" ht="12.75" customHeight="1">
      <c r="A36" s="27"/>
      <c r="B36" s="26"/>
      <c r="C36" s="27"/>
      <c r="D36" s="309"/>
      <c r="E36" s="71" t="s">
        <v>196</v>
      </c>
      <c r="F36" s="325">
        <f>3584882.46+903562.13</f>
        <v>4488444.59</v>
      </c>
      <c r="G36" s="149"/>
      <c r="H36" s="137"/>
      <c r="I36" s="120"/>
    </row>
    <row r="37" spans="1:9" ht="12.75" customHeight="1">
      <c r="A37" s="27"/>
      <c r="B37" s="26"/>
      <c r="C37" s="27"/>
      <c r="D37" s="309"/>
      <c r="E37" s="71" t="s">
        <v>18</v>
      </c>
      <c r="F37" s="325">
        <v>0</v>
      </c>
      <c r="G37" s="149"/>
      <c r="H37" s="137"/>
      <c r="I37" s="106"/>
    </row>
    <row r="38" spans="1:9" ht="12.75" customHeight="1">
      <c r="A38" s="27"/>
      <c r="B38" s="26"/>
      <c r="C38" s="27"/>
      <c r="D38" s="309"/>
      <c r="E38" s="74" t="s">
        <v>8</v>
      </c>
      <c r="F38" s="284">
        <f>SUM(F39:F40)</f>
        <v>-314512.45</v>
      </c>
      <c r="G38" s="149"/>
      <c r="H38" s="137"/>
      <c r="I38" s="106"/>
    </row>
    <row r="39" spans="1:9" ht="12.75" customHeight="1">
      <c r="A39" s="27"/>
      <c r="B39" s="26"/>
      <c r="C39" s="27"/>
      <c r="D39" s="309"/>
      <c r="E39" s="74" t="s">
        <v>197</v>
      </c>
      <c r="F39" s="325">
        <v>-314512.45</v>
      </c>
      <c r="G39" s="149"/>
      <c r="H39" s="137"/>
      <c r="I39" s="120"/>
    </row>
    <row r="40" spans="1:9" ht="12.75" customHeight="1">
      <c r="A40" s="27"/>
      <c r="B40" s="26"/>
      <c r="C40" s="27"/>
      <c r="D40" s="309"/>
      <c r="E40" s="74" t="s">
        <v>249</v>
      </c>
      <c r="F40" s="326">
        <v>0</v>
      </c>
      <c r="G40" s="149"/>
      <c r="H40" s="137"/>
      <c r="I40" s="106"/>
    </row>
    <row r="41" spans="1:11" ht="12.75" customHeight="1">
      <c r="A41" s="27"/>
      <c r="B41" s="26"/>
      <c r="C41" s="27"/>
      <c r="D41" s="309" t="s">
        <v>19</v>
      </c>
      <c r="E41" s="71"/>
      <c r="F41" s="320">
        <f>SUM(F42:F43)</f>
        <v>362079.95</v>
      </c>
      <c r="G41" s="149"/>
      <c r="H41" s="240">
        <f>F41+F44</f>
        <v>244331.07</v>
      </c>
      <c r="I41" s="332">
        <v>198867.71</v>
      </c>
      <c r="K41" s="1">
        <v>42496200</v>
      </c>
    </row>
    <row r="42" spans="1:9" ht="12.75" customHeight="1">
      <c r="A42" s="27"/>
      <c r="B42" s="26"/>
      <c r="C42" s="27"/>
      <c r="D42" s="309"/>
      <c r="E42" s="71" t="s">
        <v>20</v>
      </c>
      <c r="F42" s="325">
        <v>362079.95</v>
      </c>
      <c r="G42" s="149"/>
      <c r="H42" s="137"/>
      <c r="I42" s="120"/>
    </row>
    <row r="43" spans="1:9" ht="12.75" customHeight="1">
      <c r="A43" s="27"/>
      <c r="B43" s="26"/>
      <c r="C43" s="27"/>
      <c r="D43" s="309"/>
      <c r="E43" s="71" t="s">
        <v>21</v>
      </c>
      <c r="F43" s="325">
        <v>0</v>
      </c>
      <c r="G43" s="149"/>
      <c r="H43" s="137"/>
      <c r="I43" s="106"/>
    </row>
    <row r="44" spans="1:9" ht="12.75" customHeight="1">
      <c r="A44" s="27"/>
      <c r="B44" s="26"/>
      <c r="C44" s="27"/>
      <c r="D44" s="309"/>
      <c r="E44" s="74" t="s">
        <v>8</v>
      </c>
      <c r="F44" s="284">
        <f>SUM(F45:F46)</f>
        <v>-117748.88</v>
      </c>
      <c r="G44" s="149"/>
      <c r="H44" s="137"/>
      <c r="I44" s="106"/>
    </row>
    <row r="45" spans="1:9" ht="12.75" customHeight="1">
      <c r="A45" s="27"/>
      <c r="B45" s="26"/>
      <c r="C45" s="27"/>
      <c r="D45" s="309"/>
      <c r="E45" s="74" t="s">
        <v>20</v>
      </c>
      <c r="F45" s="325">
        <v>-117748.88</v>
      </c>
      <c r="G45" s="149"/>
      <c r="H45" s="137"/>
      <c r="I45" s="120"/>
    </row>
    <row r="46" spans="1:9" ht="12.75" customHeight="1">
      <c r="A46" s="27"/>
      <c r="B46" s="26"/>
      <c r="C46" s="27"/>
      <c r="D46" s="309"/>
      <c r="E46" s="74" t="s">
        <v>21</v>
      </c>
      <c r="F46" s="326">
        <v>0</v>
      </c>
      <c r="G46" s="149"/>
      <c r="H46" s="137"/>
      <c r="I46" s="106"/>
    </row>
    <row r="47" spans="1:11" ht="12.75" customHeight="1">
      <c r="A47" s="27"/>
      <c r="B47" s="26"/>
      <c r="C47" s="27"/>
      <c r="D47" s="309" t="s">
        <v>22</v>
      </c>
      <c r="E47" s="71"/>
      <c r="F47" s="320">
        <f>SUM(F48:F53)</f>
        <v>1087624.85</v>
      </c>
      <c r="G47" s="149"/>
      <c r="H47" s="240">
        <f>F47+F54</f>
        <v>705923.7200000001</v>
      </c>
      <c r="I47" s="332">
        <v>603570.68</v>
      </c>
      <c r="K47" s="1">
        <v>350259259</v>
      </c>
    </row>
    <row r="48" spans="1:9" ht="12.75" customHeight="1">
      <c r="A48" s="27"/>
      <c r="B48" s="26"/>
      <c r="C48" s="27"/>
      <c r="D48" s="309"/>
      <c r="E48" s="75" t="s">
        <v>23</v>
      </c>
      <c r="F48" s="325">
        <v>130731.22</v>
      </c>
      <c r="G48" s="149"/>
      <c r="H48" s="137"/>
      <c r="I48" s="106"/>
    </row>
    <row r="49" spans="1:9" ht="12.75" customHeight="1">
      <c r="A49" s="27"/>
      <c r="B49" s="26"/>
      <c r="C49" s="27"/>
      <c r="D49" s="309"/>
      <c r="E49" s="75" t="s">
        <v>198</v>
      </c>
      <c r="F49" s="325">
        <v>461143.56</v>
      </c>
      <c r="G49" s="149"/>
      <c r="H49" s="137"/>
      <c r="I49" s="120"/>
    </row>
    <row r="50" spans="1:9" ht="12.75" customHeight="1">
      <c r="A50" s="27"/>
      <c r="B50" s="26"/>
      <c r="C50" s="27"/>
      <c r="D50" s="309"/>
      <c r="E50" s="75" t="s">
        <v>199</v>
      </c>
      <c r="F50" s="325">
        <v>20270.41</v>
      </c>
      <c r="G50" s="149"/>
      <c r="H50" s="137"/>
      <c r="I50" s="120"/>
    </row>
    <row r="51" spans="1:9" ht="12.75" customHeight="1">
      <c r="A51" s="27"/>
      <c r="B51" s="26"/>
      <c r="C51" s="27"/>
      <c r="D51" s="309"/>
      <c r="E51" s="75" t="s">
        <v>24</v>
      </c>
      <c r="F51" s="325">
        <v>89488.88</v>
      </c>
      <c r="G51" s="149"/>
      <c r="H51" s="137"/>
      <c r="I51" s="120"/>
    </row>
    <row r="52" spans="1:9" ht="12.75" customHeight="1">
      <c r="A52" s="27"/>
      <c r="B52" s="26"/>
      <c r="C52" s="27"/>
      <c r="D52" s="309"/>
      <c r="E52" s="75" t="s">
        <v>25</v>
      </c>
      <c r="F52" s="325">
        <v>385990.78</v>
      </c>
      <c r="G52" s="149"/>
      <c r="H52" s="137"/>
      <c r="I52" s="120"/>
    </row>
    <row r="53" spans="1:9" ht="12.75" customHeight="1">
      <c r="A53" s="27"/>
      <c r="B53" s="26"/>
      <c r="C53" s="27"/>
      <c r="D53" s="309"/>
      <c r="E53" s="75" t="s">
        <v>204</v>
      </c>
      <c r="F53" s="325">
        <v>0</v>
      </c>
      <c r="G53" s="149"/>
      <c r="H53" s="137"/>
      <c r="I53" s="106"/>
    </row>
    <row r="54" spans="1:9" ht="12.75" customHeight="1">
      <c r="A54" s="27"/>
      <c r="B54" s="26"/>
      <c r="C54" s="27"/>
      <c r="D54" s="309"/>
      <c r="E54" s="76" t="s">
        <v>8</v>
      </c>
      <c r="F54" s="327">
        <f>SUM(F55:F60)</f>
        <v>-381701.13</v>
      </c>
      <c r="G54" s="149"/>
      <c r="H54" s="137"/>
      <c r="I54" s="106"/>
    </row>
    <row r="55" spans="1:9" ht="12.75" customHeight="1">
      <c r="A55" s="27"/>
      <c r="B55" s="26"/>
      <c r="C55" s="27"/>
      <c r="D55" s="309"/>
      <c r="E55" s="76" t="s">
        <v>23</v>
      </c>
      <c r="F55" s="325">
        <v>-88648.72</v>
      </c>
      <c r="G55" s="149"/>
      <c r="H55" s="137"/>
      <c r="I55" s="106"/>
    </row>
    <row r="56" spans="1:9" ht="12.75" customHeight="1">
      <c r="A56" s="27"/>
      <c r="B56" s="26"/>
      <c r="C56" s="27"/>
      <c r="D56" s="309"/>
      <c r="E56" s="76" t="s">
        <v>198</v>
      </c>
      <c r="F56" s="325">
        <v>-99949.15</v>
      </c>
      <c r="G56" s="149"/>
      <c r="H56" s="137"/>
      <c r="I56" s="120"/>
    </row>
    <row r="57" spans="1:9" ht="12.75" customHeight="1">
      <c r="A57" s="27"/>
      <c r="B57" s="26"/>
      <c r="C57" s="27"/>
      <c r="D57" s="309"/>
      <c r="E57" s="76" t="s">
        <v>199</v>
      </c>
      <c r="F57" s="325">
        <v>-13404.39</v>
      </c>
      <c r="G57" s="149"/>
      <c r="H57" s="137"/>
      <c r="I57" s="120"/>
    </row>
    <row r="58" spans="1:9" ht="12.75" customHeight="1">
      <c r="A58" s="27"/>
      <c r="B58" s="26"/>
      <c r="C58" s="27"/>
      <c r="D58" s="309"/>
      <c r="E58" s="76" t="s">
        <v>24</v>
      </c>
      <c r="F58" s="325">
        <v>-52207.82</v>
      </c>
      <c r="G58" s="149"/>
      <c r="H58" s="137"/>
      <c r="I58" s="120"/>
    </row>
    <row r="59" spans="1:9" ht="12.75" customHeight="1">
      <c r="A59" s="27"/>
      <c r="B59" s="26"/>
      <c r="C59" s="27"/>
      <c r="D59" s="309"/>
      <c r="E59" s="76" t="s">
        <v>25</v>
      </c>
      <c r="F59" s="130">
        <v>-127491.05</v>
      </c>
      <c r="G59" s="149"/>
      <c r="H59" s="137"/>
      <c r="I59" s="120"/>
    </row>
    <row r="60" spans="1:9" ht="12.75" customHeight="1">
      <c r="A60" s="27"/>
      <c r="B60" s="26"/>
      <c r="C60" s="27"/>
      <c r="D60" s="309"/>
      <c r="E60" s="76" t="s">
        <v>204</v>
      </c>
      <c r="F60" s="328">
        <v>0</v>
      </c>
      <c r="G60" s="149"/>
      <c r="H60" s="137"/>
      <c r="I60" s="106"/>
    </row>
    <row r="61" spans="1:11" ht="12.75" customHeight="1">
      <c r="A61" s="27"/>
      <c r="B61" s="26"/>
      <c r="C61" s="27"/>
      <c r="D61" s="309" t="s">
        <v>26</v>
      </c>
      <c r="E61" s="71"/>
      <c r="F61" s="329">
        <v>0</v>
      </c>
      <c r="G61" s="149"/>
      <c r="H61" s="240">
        <f>F61+F62</f>
        <v>0</v>
      </c>
      <c r="I61" s="332">
        <v>0</v>
      </c>
      <c r="K61" s="1">
        <v>0</v>
      </c>
    </row>
    <row r="62" spans="1:9" ht="12.75" customHeight="1">
      <c r="A62" s="27"/>
      <c r="B62" s="26"/>
      <c r="C62" s="27"/>
      <c r="D62" s="309"/>
      <c r="E62" s="76" t="s">
        <v>8</v>
      </c>
      <c r="F62" s="185"/>
      <c r="G62" s="149"/>
      <c r="H62" s="137"/>
      <c r="I62" s="106"/>
    </row>
    <row r="63" spans="1:11" ht="14.25" customHeight="1">
      <c r="A63" s="27"/>
      <c r="B63" s="26"/>
      <c r="C63" s="27"/>
      <c r="D63" s="309" t="s">
        <v>27</v>
      </c>
      <c r="E63" s="71"/>
      <c r="F63" s="330">
        <v>0</v>
      </c>
      <c r="G63" s="149"/>
      <c r="H63" s="331">
        <f>F63+F68</f>
        <v>0</v>
      </c>
      <c r="I63" s="333">
        <v>335467.45</v>
      </c>
      <c r="K63" s="1">
        <v>2284120396</v>
      </c>
    </row>
    <row r="64" spans="1:9" ht="6.75" customHeight="1">
      <c r="A64" s="27"/>
      <c r="B64" s="26"/>
      <c r="C64" s="27"/>
      <c r="D64" s="309"/>
      <c r="E64" s="70"/>
      <c r="F64" s="182"/>
      <c r="G64" s="149"/>
      <c r="H64" s="132"/>
      <c r="I64" s="106"/>
    </row>
    <row r="65" spans="1:11" ht="12.75" customHeight="1" thickBot="1">
      <c r="A65" s="25"/>
      <c r="B65" s="24"/>
      <c r="C65" s="27"/>
      <c r="D65" s="27"/>
      <c r="E65" s="69"/>
      <c r="F65" s="184"/>
      <c r="G65" s="149"/>
      <c r="H65" s="323">
        <f>SUM(H34:H63)</f>
        <v>5124200.359999999</v>
      </c>
      <c r="I65" s="334">
        <v>4091875.89</v>
      </c>
      <c r="K65" s="1">
        <v>5250632032</v>
      </c>
    </row>
    <row r="66" spans="1:9" ht="12.75" customHeight="1" thickTop="1">
      <c r="A66" s="27"/>
      <c r="B66" s="26"/>
      <c r="C66" s="308" t="s">
        <v>28</v>
      </c>
      <c r="D66" s="28"/>
      <c r="E66" s="68"/>
      <c r="F66" s="184"/>
      <c r="G66" s="149"/>
      <c r="H66" s="132"/>
      <c r="I66" s="106"/>
    </row>
    <row r="67" spans="1:9" ht="12.75" customHeight="1">
      <c r="A67" s="27"/>
      <c r="B67" s="26"/>
      <c r="C67" s="28"/>
      <c r="D67" s="28"/>
      <c r="E67" s="311" t="s">
        <v>29</v>
      </c>
      <c r="F67" s="184"/>
      <c r="G67" s="149"/>
      <c r="H67" s="132"/>
      <c r="I67" s="106"/>
    </row>
    <row r="68" spans="1:9" ht="12.75" customHeight="1">
      <c r="A68" s="27"/>
      <c r="B68" s="26"/>
      <c r="C68" s="28"/>
      <c r="D68" s="28"/>
      <c r="E68" s="311" t="s">
        <v>30</v>
      </c>
      <c r="F68" s="184"/>
      <c r="G68" s="149"/>
      <c r="H68" s="132"/>
      <c r="I68" s="106"/>
    </row>
    <row r="69" spans="1:9" ht="12.75" customHeight="1">
      <c r="A69" s="27"/>
      <c r="B69" s="26"/>
      <c r="D69" s="309" t="s">
        <v>31</v>
      </c>
      <c r="E69" s="69"/>
      <c r="F69" s="184"/>
      <c r="G69" s="149"/>
      <c r="H69" s="132"/>
      <c r="I69" s="106"/>
    </row>
    <row r="70" spans="1:11" ht="12.75" customHeight="1">
      <c r="A70" s="27"/>
      <c r="B70" s="26"/>
      <c r="C70" s="27"/>
      <c r="D70" s="309"/>
      <c r="E70" s="70" t="s">
        <v>32</v>
      </c>
      <c r="F70" s="182"/>
      <c r="G70" s="149"/>
      <c r="H70" s="268">
        <v>240000</v>
      </c>
      <c r="I70" s="332">
        <v>240000</v>
      </c>
      <c r="K70" s="1">
        <v>0</v>
      </c>
    </row>
    <row r="71" spans="1:11" ht="12.75" customHeight="1">
      <c r="A71" s="27"/>
      <c r="B71" s="26"/>
      <c r="C71" s="27"/>
      <c r="D71" s="309"/>
      <c r="E71" s="70" t="s">
        <v>33</v>
      </c>
      <c r="F71" s="182"/>
      <c r="G71" s="149"/>
      <c r="H71" s="152">
        <v>0</v>
      </c>
      <c r="I71" s="343">
        <v>0</v>
      </c>
      <c r="K71" s="1">
        <v>0</v>
      </c>
    </row>
    <row r="72" spans="1:11" ht="12.75" customHeight="1">
      <c r="A72" s="27"/>
      <c r="B72" s="26"/>
      <c r="C72" s="27"/>
      <c r="D72" s="309"/>
      <c r="E72" s="70" t="s">
        <v>288</v>
      </c>
      <c r="F72" s="182"/>
      <c r="G72" s="149"/>
      <c r="H72" s="152">
        <v>0</v>
      </c>
      <c r="I72" s="343">
        <v>0</v>
      </c>
      <c r="K72" s="1">
        <v>0</v>
      </c>
    </row>
    <row r="73" spans="1:11" ht="12.75" customHeight="1">
      <c r="A73" s="27"/>
      <c r="B73" s="26"/>
      <c r="C73" s="27"/>
      <c r="D73" s="309"/>
      <c r="E73" s="70" t="s">
        <v>262</v>
      </c>
      <c r="F73" s="182"/>
      <c r="G73" s="149"/>
      <c r="H73" s="152">
        <v>0</v>
      </c>
      <c r="I73" s="343">
        <v>0</v>
      </c>
      <c r="K73" s="1">
        <v>0</v>
      </c>
    </row>
    <row r="74" spans="1:13" s="9" customFormat="1" ht="12.75" customHeight="1">
      <c r="A74" s="33"/>
      <c r="B74" s="32"/>
      <c r="C74" s="33"/>
      <c r="D74" s="312"/>
      <c r="E74" s="77" t="s">
        <v>34</v>
      </c>
      <c r="F74" s="186"/>
      <c r="G74" s="187"/>
      <c r="H74" s="194">
        <v>0</v>
      </c>
      <c r="I74" s="343">
        <v>0</v>
      </c>
      <c r="K74" s="9">
        <v>0</v>
      </c>
      <c r="M74" s="127"/>
    </row>
    <row r="75" spans="1:9" ht="12.75" customHeight="1">
      <c r="A75" s="27"/>
      <c r="B75" s="26"/>
      <c r="C75" s="27"/>
      <c r="D75" s="309" t="s">
        <v>35</v>
      </c>
      <c r="E75" s="69"/>
      <c r="F75" s="335" t="s">
        <v>36</v>
      </c>
      <c r="G75" s="335" t="s">
        <v>37</v>
      </c>
      <c r="H75" s="152"/>
      <c r="I75" s="113"/>
    </row>
    <row r="76" spans="1:11" ht="12.75" customHeight="1">
      <c r="A76" s="27"/>
      <c r="B76" s="26"/>
      <c r="C76" s="27"/>
      <c r="D76" s="309"/>
      <c r="E76" s="70" t="s">
        <v>38</v>
      </c>
      <c r="F76" s="336">
        <v>0</v>
      </c>
      <c r="G76" s="339">
        <v>0</v>
      </c>
      <c r="H76" s="342">
        <f>F76+G76</f>
        <v>0</v>
      </c>
      <c r="I76" s="343">
        <v>0</v>
      </c>
      <c r="K76" s="1">
        <v>0</v>
      </c>
    </row>
    <row r="77" spans="1:11" ht="12.75" customHeight="1">
      <c r="A77" s="27"/>
      <c r="B77" s="26"/>
      <c r="C77" s="27"/>
      <c r="D77" s="309"/>
      <c r="E77" s="70" t="s">
        <v>39</v>
      </c>
      <c r="F77" s="337">
        <v>0</v>
      </c>
      <c r="G77" s="340">
        <v>0</v>
      </c>
      <c r="H77" s="342">
        <f>F77+G77</f>
        <v>0</v>
      </c>
      <c r="I77" s="343">
        <v>0</v>
      </c>
      <c r="K77" s="1">
        <v>0</v>
      </c>
    </row>
    <row r="78" spans="1:11" ht="12.75" customHeight="1">
      <c r="A78" s="27"/>
      <c r="B78" s="26"/>
      <c r="C78" s="27"/>
      <c r="D78" s="309"/>
      <c r="E78" s="70" t="s">
        <v>288</v>
      </c>
      <c r="F78" s="337">
        <v>0</v>
      </c>
      <c r="G78" s="340">
        <v>0</v>
      </c>
      <c r="H78" s="342">
        <f>F78+G78</f>
        <v>0</v>
      </c>
      <c r="I78" s="343">
        <v>0</v>
      </c>
      <c r="K78" s="1">
        <v>0</v>
      </c>
    </row>
    <row r="79" spans="1:15" ht="12.75" customHeight="1">
      <c r="A79" s="27"/>
      <c r="B79" s="26"/>
      <c r="C79" s="27"/>
      <c r="D79" s="309"/>
      <c r="E79" s="70" t="s">
        <v>263</v>
      </c>
      <c r="F79" s="338">
        <v>0</v>
      </c>
      <c r="G79" s="341">
        <v>0</v>
      </c>
      <c r="H79" s="342">
        <f>F79+G79</f>
        <v>0</v>
      </c>
      <c r="I79" s="343">
        <v>0</v>
      </c>
      <c r="K79" s="1">
        <v>0</v>
      </c>
      <c r="O79" s="11"/>
    </row>
    <row r="80" spans="1:11" ht="12.75" customHeight="1">
      <c r="A80" s="27"/>
      <c r="B80" s="26"/>
      <c r="C80" s="27"/>
      <c r="D80" s="309" t="s">
        <v>40</v>
      </c>
      <c r="E80" s="69"/>
      <c r="F80" s="184"/>
      <c r="G80" s="149"/>
      <c r="H80" s="152">
        <v>0</v>
      </c>
      <c r="I80" s="343">
        <v>0</v>
      </c>
      <c r="K80" s="1">
        <v>0</v>
      </c>
    </row>
    <row r="81" spans="1:11" ht="12.75" customHeight="1">
      <c r="A81" s="27"/>
      <c r="B81" s="26"/>
      <c r="C81" s="27"/>
      <c r="D81" s="309" t="s">
        <v>261</v>
      </c>
      <c r="E81" s="69"/>
      <c r="F81" s="184"/>
      <c r="G81" s="149"/>
      <c r="H81" s="152">
        <v>0</v>
      </c>
      <c r="I81" s="343">
        <v>0</v>
      </c>
      <c r="K81" s="1">
        <v>0</v>
      </c>
    </row>
    <row r="82" spans="1:9" ht="12.75" customHeight="1">
      <c r="A82" s="27"/>
      <c r="B82" s="26"/>
      <c r="C82" s="27"/>
      <c r="D82" s="27"/>
      <c r="E82" s="70"/>
      <c r="F82" s="182"/>
      <c r="G82" s="149"/>
      <c r="H82" s="132"/>
      <c r="I82" s="106"/>
    </row>
    <row r="83" spans="1:11" ht="12.75" customHeight="1" thickBot="1">
      <c r="A83" s="25"/>
      <c r="B83" s="24"/>
      <c r="C83" s="27"/>
      <c r="D83" s="27"/>
      <c r="E83" s="69"/>
      <c r="F83" s="184"/>
      <c r="G83" s="149"/>
      <c r="H83" s="323">
        <f>SUM(H70:H81)</f>
        <v>240000</v>
      </c>
      <c r="I83" s="334">
        <v>240000</v>
      </c>
      <c r="K83" s="1">
        <v>0</v>
      </c>
    </row>
    <row r="84" spans="1:9" ht="12.75" customHeight="1" thickTop="1">
      <c r="A84" s="27"/>
      <c r="B84" s="26"/>
      <c r="C84" s="27"/>
      <c r="D84" s="27"/>
      <c r="E84" s="70"/>
      <c r="F84" s="182"/>
      <c r="G84" s="149"/>
      <c r="H84" s="132"/>
      <c r="I84" s="106"/>
    </row>
    <row r="85" spans="1:13" s="8" customFormat="1" ht="15.75" customHeight="1">
      <c r="A85" s="25"/>
      <c r="B85" s="277" t="s">
        <v>41</v>
      </c>
      <c r="C85" s="25"/>
      <c r="D85" s="25"/>
      <c r="E85" s="67"/>
      <c r="F85" s="189"/>
      <c r="G85" s="149"/>
      <c r="H85" s="345">
        <f>H94+H123+H132+H144</f>
        <v>2973670.93</v>
      </c>
      <c r="I85" s="318">
        <v>3596828.17</v>
      </c>
      <c r="K85" s="8">
        <v>3814237939</v>
      </c>
      <c r="M85" s="122"/>
    </row>
    <row r="86" spans="1:11" ht="12.75" customHeight="1">
      <c r="A86" s="22"/>
      <c r="B86" s="21"/>
      <c r="C86" s="308" t="s">
        <v>42</v>
      </c>
      <c r="D86" s="28"/>
      <c r="E86" s="68"/>
      <c r="F86" s="149"/>
      <c r="G86" s="149"/>
      <c r="H86" s="268">
        <f>F87</f>
        <v>22273.71</v>
      </c>
      <c r="I86" s="332">
        <v>21442.15</v>
      </c>
      <c r="K86" s="1">
        <v>0</v>
      </c>
    </row>
    <row r="87" spans="1:11" ht="12.75" customHeight="1">
      <c r="A87" s="22"/>
      <c r="B87" s="21"/>
      <c r="C87" s="278"/>
      <c r="D87" s="309" t="s">
        <v>43</v>
      </c>
      <c r="E87" s="71"/>
      <c r="F87" s="319">
        <f>SUM(F88:F89)</f>
        <v>22273.71</v>
      </c>
      <c r="G87" s="149"/>
      <c r="H87" s="132"/>
      <c r="I87" s="224"/>
      <c r="K87" s="1">
        <v>45977035</v>
      </c>
    </row>
    <row r="88" spans="1:9" ht="12.75" customHeight="1">
      <c r="A88" s="22"/>
      <c r="B88" s="21"/>
      <c r="C88" s="278"/>
      <c r="D88" s="309"/>
      <c r="E88" s="71" t="s">
        <v>183</v>
      </c>
      <c r="F88" s="344">
        <v>15877.32</v>
      </c>
      <c r="G88" s="190"/>
      <c r="H88" s="132"/>
      <c r="I88" s="106"/>
    </row>
    <row r="89" spans="1:9" ht="12.75" customHeight="1">
      <c r="A89" s="22"/>
      <c r="B89" s="21"/>
      <c r="C89" s="278"/>
      <c r="D89" s="309"/>
      <c r="E89" s="71" t="s">
        <v>208</v>
      </c>
      <c r="F89" s="344">
        <v>6396.39</v>
      </c>
      <c r="G89" s="190"/>
      <c r="H89" s="132"/>
      <c r="I89" s="106"/>
    </row>
    <row r="90" spans="1:12" ht="12.75" customHeight="1">
      <c r="A90" s="22"/>
      <c r="B90" s="21"/>
      <c r="C90" s="278"/>
      <c r="D90" s="309" t="s">
        <v>44</v>
      </c>
      <c r="E90" s="71"/>
      <c r="F90" s="319">
        <v>0</v>
      </c>
      <c r="G90" s="149"/>
      <c r="H90" s="268">
        <f>F90</f>
        <v>0</v>
      </c>
      <c r="I90" s="332">
        <v>0</v>
      </c>
      <c r="K90" s="1">
        <v>0</v>
      </c>
      <c r="L90" s="166"/>
    </row>
    <row r="91" spans="1:11" ht="12.75" customHeight="1">
      <c r="A91" s="22"/>
      <c r="B91" s="21"/>
      <c r="C91" s="278"/>
      <c r="D91" s="309" t="s">
        <v>45</v>
      </c>
      <c r="E91" s="71"/>
      <c r="F91" s="319">
        <v>0</v>
      </c>
      <c r="G91" s="149"/>
      <c r="H91" s="268">
        <f>F91</f>
        <v>0</v>
      </c>
      <c r="I91" s="332">
        <v>0</v>
      </c>
      <c r="K91" s="1">
        <v>0</v>
      </c>
    </row>
    <row r="92" spans="1:11" ht="12.75" customHeight="1">
      <c r="A92" s="22"/>
      <c r="B92" s="21"/>
      <c r="C92" s="278"/>
      <c r="D92" s="309" t="s">
        <v>46</v>
      </c>
      <c r="E92" s="71"/>
      <c r="F92" s="319">
        <v>0</v>
      </c>
      <c r="G92" s="149"/>
      <c r="H92" s="268">
        <f>F92</f>
        <v>0</v>
      </c>
      <c r="I92" s="332">
        <v>0</v>
      </c>
      <c r="K92" s="1">
        <v>680789863</v>
      </c>
    </row>
    <row r="93" spans="1:11" ht="12.75" customHeight="1">
      <c r="A93" s="22"/>
      <c r="B93" s="21"/>
      <c r="C93" s="278"/>
      <c r="D93" s="309" t="s">
        <v>47</v>
      </c>
      <c r="E93" s="71"/>
      <c r="F93" s="319">
        <v>0</v>
      </c>
      <c r="G93" s="149"/>
      <c r="H93" s="346">
        <f>F93</f>
        <v>0</v>
      </c>
      <c r="I93" s="333">
        <v>0</v>
      </c>
      <c r="K93" s="1">
        <v>0</v>
      </c>
    </row>
    <row r="94" spans="1:11" ht="12.75" customHeight="1" thickBot="1">
      <c r="A94" s="25"/>
      <c r="B94" s="24"/>
      <c r="C94" s="278"/>
      <c r="D94" s="22"/>
      <c r="E94" s="71"/>
      <c r="F94" s="149"/>
      <c r="G94" s="149"/>
      <c r="H94" s="323">
        <f>SUM(H86:H93)</f>
        <v>22273.71</v>
      </c>
      <c r="I94" s="334">
        <v>21442.15</v>
      </c>
      <c r="K94" s="1">
        <v>726766898</v>
      </c>
    </row>
    <row r="95" spans="1:9" ht="12.75" customHeight="1" thickTop="1">
      <c r="A95" s="22"/>
      <c r="B95" s="21"/>
      <c r="C95" s="308" t="s">
        <v>48</v>
      </c>
      <c r="D95" s="28"/>
      <c r="E95" s="68"/>
      <c r="F95" s="149"/>
      <c r="G95" s="149"/>
      <c r="H95" s="132"/>
      <c r="I95" s="106"/>
    </row>
    <row r="96" spans="1:9" ht="12.75" customHeight="1">
      <c r="A96" s="22"/>
      <c r="B96" s="21"/>
      <c r="C96" s="308"/>
      <c r="D96" s="28"/>
      <c r="E96" s="310" t="s">
        <v>49</v>
      </c>
      <c r="F96" s="347" t="s">
        <v>36</v>
      </c>
      <c r="G96" s="347" t="s">
        <v>37</v>
      </c>
      <c r="H96" s="132"/>
      <c r="I96" s="106"/>
    </row>
    <row r="97" spans="1:12" ht="12.75" customHeight="1">
      <c r="A97" s="22"/>
      <c r="B97" s="21"/>
      <c r="C97" s="278"/>
      <c r="D97" s="309" t="s">
        <v>50</v>
      </c>
      <c r="E97" s="71"/>
      <c r="F97" s="348">
        <f>SUM(F98:F100)</f>
        <v>347150.85000000003</v>
      </c>
      <c r="G97" s="348">
        <f>SUM(G98:G100)</f>
        <v>0</v>
      </c>
      <c r="H97" s="240">
        <f>F97+G97</f>
        <v>347150.85000000003</v>
      </c>
      <c r="I97" s="332">
        <v>346247.8</v>
      </c>
      <c r="K97" s="1">
        <v>347485288</v>
      </c>
      <c r="L97" s="1" t="s">
        <v>294</v>
      </c>
    </row>
    <row r="98" spans="1:12" ht="12.75" customHeight="1">
      <c r="A98" s="22"/>
      <c r="B98" s="21"/>
      <c r="C98" s="278"/>
      <c r="D98" s="309" t="s">
        <v>51</v>
      </c>
      <c r="E98" s="71" t="s">
        <v>189</v>
      </c>
      <c r="F98" s="344">
        <f>887081.8-165482.88-216763.52-132300</f>
        <v>372535.4</v>
      </c>
      <c r="G98" s="344">
        <v>0</v>
      </c>
      <c r="H98" s="132"/>
      <c r="I98" s="355"/>
      <c r="L98" s="1" t="s">
        <v>295</v>
      </c>
    </row>
    <row r="99" spans="1:12" ht="12.75" customHeight="1">
      <c r="A99" s="22"/>
      <c r="B99" s="21"/>
      <c r="C99" s="278"/>
      <c r="D99" s="309"/>
      <c r="E99" s="71" t="s">
        <v>167</v>
      </c>
      <c r="F99" s="344">
        <v>19295.64</v>
      </c>
      <c r="G99" s="344">
        <v>0</v>
      </c>
      <c r="H99" s="132"/>
      <c r="I99" s="355"/>
      <c r="L99" s="166">
        <f>F116+F105+F99</f>
        <v>577860.18</v>
      </c>
    </row>
    <row r="100" spans="1:12" ht="12.75" customHeight="1">
      <c r="A100" s="22"/>
      <c r="B100" s="21"/>
      <c r="C100" s="278"/>
      <c r="D100" s="309"/>
      <c r="E100" s="74" t="s">
        <v>52</v>
      </c>
      <c r="F100" s="349">
        <v>-44680.19</v>
      </c>
      <c r="G100" s="351">
        <v>0</v>
      </c>
      <c r="H100" s="132"/>
      <c r="I100" s="355"/>
      <c r="L100" s="1" t="s">
        <v>296</v>
      </c>
    </row>
    <row r="101" spans="1:12" ht="12.75" customHeight="1">
      <c r="A101" s="22"/>
      <c r="B101" s="21"/>
      <c r="C101" s="278"/>
      <c r="D101" s="309" t="s">
        <v>53</v>
      </c>
      <c r="E101" s="71"/>
      <c r="F101" s="319">
        <f>246523+132300</f>
        <v>378823</v>
      </c>
      <c r="G101" s="319">
        <v>0</v>
      </c>
      <c r="H101" s="240">
        <f>F101+G101</f>
        <v>378823</v>
      </c>
      <c r="I101" s="332">
        <v>463802.5</v>
      </c>
      <c r="K101" s="1">
        <v>0</v>
      </c>
      <c r="L101" s="1" t="s">
        <v>295</v>
      </c>
    </row>
    <row r="102" spans="1:12" ht="12.75" customHeight="1">
      <c r="A102" s="22"/>
      <c r="B102" s="21"/>
      <c r="C102" s="278"/>
      <c r="D102" s="309" t="s">
        <v>54</v>
      </c>
      <c r="E102" s="71"/>
      <c r="F102" s="319">
        <v>0</v>
      </c>
      <c r="G102" s="319">
        <v>0</v>
      </c>
      <c r="H102" s="240">
        <f>F102+G102</f>
        <v>0</v>
      </c>
      <c r="I102" s="332">
        <v>0</v>
      </c>
      <c r="K102" s="1">
        <v>0</v>
      </c>
      <c r="L102" s="166">
        <f>F98+F104+F115</f>
        <v>754781.8</v>
      </c>
    </row>
    <row r="103" spans="1:13" ht="12.75" customHeight="1">
      <c r="A103" s="22"/>
      <c r="B103" s="21"/>
      <c r="C103" s="278"/>
      <c r="D103" s="309" t="s">
        <v>289</v>
      </c>
      <c r="E103" s="71"/>
      <c r="F103" s="319">
        <f>SUM(F104:F106)</f>
        <v>572824.12</v>
      </c>
      <c r="G103" s="319">
        <f>SUM(G104:G105)</f>
        <v>0</v>
      </c>
      <c r="H103" s="240">
        <f>F103+G103</f>
        <v>572824.12</v>
      </c>
      <c r="I103" s="332">
        <v>464729.91</v>
      </c>
      <c r="K103" s="1">
        <v>731358528</v>
      </c>
      <c r="L103" s="166">
        <v>0</v>
      </c>
      <c r="M103" s="235" t="s">
        <v>298</v>
      </c>
    </row>
    <row r="104" spans="1:13" ht="12.75" customHeight="1">
      <c r="A104" s="22"/>
      <c r="B104" s="21"/>
      <c r="C104" s="278"/>
      <c r="D104" s="309" t="s">
        <v>51</v>
      </c>
      <c r="E104" s="71" t="s">
        <v>190</v>
      </c>
      <c r="F104" s="344">
        <v>165482.88</v>
      </c>
      <c r="G104" s="344">
        <v>0</v>
      </c>
      <c r="H104" s="137"/>
      <c r="I104" s="355"/>
      <c r="L104" s="166">
        <v>132300</v>
      </c>
      <c r="M104" s="235" t="s">
        <v>297</v>
      </c>
    </row>
    <row r="105" spans="1:12" ht="12.75" customHeight="1">
      <c r="A105" s="22"/>
      <c r="B105" s="21"/>
      <c r="C105" s="278"/>
      <c r="D105" s="309"/>
      <c r="E105" s="71" t="s">
        <v>167</v>
      </c>
      <c r="F105" s="344">
        <f>70904.36+4009.92+41300+291126.96</f>
        <v>407341.24</v>
      </c>
      <c r="G105" s="344">
        <v>0</v>
      </c>
      <c r="H105" s="137"/>
      <c r="I105" s="355"/>
      <c r="L105" s="238">
        <f>SUM(L102:L104)</f>
        <v>887081.8</v>
      </c>
    </row>
    <row r="106" spans="1:12" ht="12.75" customHeight="1">
      <c r="A106" s="22"/>
      <c r="B106" s="21"/>
      <c r="C106" s="278"/>
      <c r="D106" s="309"/>
      <c r="E106" s="71" t="s">
        <v>187</v>
      </c>
      <c r="F106" s="419">
        <v>0</v>
      </c>
      <c r="G106" s="344">
        <v>0</v>
      </c>
      <c r="H106" s="137"/>
      <c r="I106" s="355"/>
      <c r="L106" s="166"/>
    </row>
    <row r="107" spans="1:11" ht="12.75" customHeight="1">
      <c r="A107" s="22"/>
      <c r="B107" s="21"/>
      <c r="C107" s="278"/>
      <c r="D107" s="309" t="s">
        <v>255</v>
      </c>
      <c r="E107" s="71"/>
      <c r="F107" s="319">
        <f>SUM(F108:F112)</f>
        <v>207441.7</v>
      </c>
      <c r="G107" s="319">
        <f>SUM(G108:G111)</f>
        <v>0</v>
      </c>
      <c r="H107" s="240">
        <f>F107+G107</f>
        <v>207441.7</v>
      </c>
      <c r="I107" s="332">
        <v>4340.61</v>
      </c>
      <c r="K107" s="1">
        <v>731358528</v>
      </c>
    </row>
    <row r="108" spans="1:13" ht="12.75" customHeight="1">
      <c r="A108" s="22"/>
      <c r="B108" s="21"/>
      <c r="C108" s="278"/>
      <c r="D108" s="309"/>
      <c r="E108" s="18" t="s">
        <v>346</v>
      </c>
      <c r="F108" s="152">
        <f>19652.42+41024.68</f>
        <v>60677.1</v>
      </c>
      <c r="G108" s="352">
        <v>0</v>
      </c>
      <c r="H108" s="132"/>
      <c r="I108" s="355"/>
      <c r="L108" s="166"/>
      <c r="M108" s="166"/>
    </row>
    <row r="109" spans="1:13" ht="12.75" customHeight="1">
      <c r="A109" s="22"/>
      <c r="B109" s="21"/>
      <c r="C109" s="278"/>
      <c r="D109" s="309"/>
      <c r="E109" s="18" t="s">
        <v>347</v>
      </c>
      <c r="F109" s="152">
        <v>0</v>
      </c>
      <c r="G109" s="353">
        <v>0</v>
      </c>
      <c r="H109" s="132"/>
      <c r="I109" s="355"/>
      <c r="L109" s="166"/>
      <c r="M109" s="166"/>
    </row>
    <row r="110" spans="1:13" ht="12.75" customHeight="1">
      <c r="A110" s="22"/>
      <c r="B110" s="21"/>
      <c r="C110" s="278"/>
      <c r="D110" s="309"/>
      <c r="E110" s="18" t="s">
        <v>348</v>
      </c>
      <c r="F110" s="152">
        <v>0</v>
      </c>
      <c r="G110" s="353">
        <v>0</v>
      </c>
      <c r="H110" s="132"/>
      <c r="I110" s="355"/>
      <c r="M110" s="166"/>
    </row>
    <row r="111" spans="1:9" ht="12.75" customHeight="1">
      <c r="A111" s="22"/>
      <c r="B111" s="21"/>
      <c r="C111" s="278"/>
      <c r="D111" s="309"/>
      <c r="E111" s="18" t="s">
        <v>349</v>
      </c>
      <c r="F111" s="152">
        <v>85258</v>
      </c>
      <c r="G111" s="353">
        <v>0</v>
      </c>
      <c r="H111" s="132"/>
      <c r="I111" s="355"/>
    </row>
    <row r="112" spans="1:9" ht="12.75" customHeight="1">
      <c r="A112" s="22"/>
      <c r="B112" s="21"/>
      <c r="C112" s="278"/>
      <c r="D112" s="309"/>
      <c r="E112" s="18" t="s">
        <v>350</v>
      </c>
      <c r="F112" s="152">
        <v>61506.6</v>
      </c>
      <c r="G112" s="228"/>
      <c r="H112" s="132"/>
      <c r="I112" s="355"/>
    </row>
    <row r="113" spans="1:11" ht="12.75" customHeight="1">
      <c r="A113" s="22"/>
      <c r="B113" s="21"/>
      <c r="C113" s="278"/>
      <c r="D113" s="309" t="s">
        <v>256</v>
      </c>
      <c r="E113" s="71"/>
      <c r="F113" s="321">
        <v>0</v>
      </c>
      <c r="G113" s="321">
        <v>0</v>
      </c>
      <c r="H113" s="240">
        <f>F113+G113</f>
        <v>0</v>
      </c>
      <c r="I113" s="332">
        <v>0</v>
      </c>
      <c r="K113" s="1">
        <v>731358528</v>
      </c>
    </row>
    <row r="114" spans="1:11" ht="12.75" customHeight="1">
      <c r="A114" s="22"/>
      <c r="B114" s="21"/>
      <c r="C114" s="278"/>
      <c r="D114" s="309" t="s">
        <v>55</v>
      </c>
      <c r="E114" s="71"/>
      <c r="F114" s="350">
        <f>SUM(F115:F122)</f>
        <v>368567.45999999996</v>
      </c>
      <c r="G114" s="354">
        <f>SUM(G115:G122)</f>
        <v>2883.25</v>
      </c>
      <c r="H114" s="240">
        <f>F114+G114</f>
        <v>371450.70999999996</v>
      </c>
      <c r="I114" s="332">
        <v>340171.19</v>
      </c>
      <c r="K114" s="1">
        <v>733432505</v>
      </c>
    </row>
    <row r="115" spans="1:9" ht="12.75" customHeight="1">
      <c r="A115" s="22"/>
      <c r="B115" s="21"/>
      <c r="C115" s="278"/>
      <c r="D115" s="309"/>
      <c r="E115" s="71" t="s">
        <v>339</v>
      </c>
      <c r="F115" s="337">
        <v>216763.52</v>
      </c>
      <c r="G115" s="340">
        <v>0</v>
      </c>
      <c r="H115" s="132"/>
      <c r="I115" s="355"/>
    </row>
    <row r="116" spans="1:9" ht="12.75" customHeight="1">
      <c r="A116" s="22"/>
      <c r="B116" s="21"/>
      <c r="C116" s="278"/>
      <c r="D116" s="309"/>
      <c r="E116" s="71" t="s">
        <v>340</v>
      </c>
      <c r="F116" s="337">
        <f>89004.39+29524.52+1416.62+5778.19+5521.19+2816.38+218.19+218.19+11231.39+2337.05+3157.19</f>
        <v>151223.3</v>
      </c>
      <c r="G116" s="340">
        <v>0</v>
      </c>
      <c r="H116" s="132"/>
      <c r="I116" s="355"/>
    </row>
    <row r="117" spans="1:9" ht="12.75" customHeight="1">
      <c r="A117" s="22"/>
      <c r="B117" s="21"/>
      <c r="C117" s="278"/>
      <c r="E117" s="71" t="s">
        <v>187</v>
      </c>
      <c r="F117" s="420">
        <v>-878.89</v>
      </c>
      <c r="G117" s="353"/>
      <c r="H117" s="132"/>
      <c r="I117" s="355"/>
    </row>
    <row r="118" spans="1:9" ht="12.75" customHeight="1">
      <c r="A118" s="22"/>
      <c r="B118" s="21"/>
      <c r="C118" s="278"/>
      <c r="D118" s="309"/>
      <c r="E118" s="18" t="s">
        <v>341</v>
      </c>
      <c r="F118" s="152">
        <v>0</v>
      </c>
      <c r="G118" s="353">
        <v>0</v>
      </c>
      <c r="H118" s="132"/>
      <c r="I118" s="355"/>
    </row>
    <row r="119" spans="1:9" ht="12.75" customHeight="1">
      <c r="A119" s="22"/>
      <c r="B119" s="21"/>
      <c r="C119" s="278"/>
      <c r="D119" s="309"/>
      <c r="E119" s="18" t="s">
        <v>342</v>
      </c>
      <c r="F119" s="152">
        <v>0</v>
      </c>
      <c r="G119" s="353">
        <v>0</v>
      </c>
      <c r="H119" s="132"/>
      <c r="I119" s="355"/>
    </row>
    <row r="120" spans="1:9" ht="12.75" customHeight="1">
      <c r="A120" s="22"/>
      <c r="B120" s="21"/>
      <c r="C120" s="278"/>
      <c r="D120" s="309"/>
      <c r="E120" s="18" t="s">
        <v>343</v>
      </c>
      <c r="F120" s="152">
        <v>0</v>
      </c>
      <c r="G120" s="353">
        <v>87.81</v>
      </c>
      <c r="H120" s="132"/>
      <c r="I120" s="355"/>
    </row>
    <row r="121" spans="1:9" ht="12.75" customHeight="1">
      <c r="A121" s="22"/>
      <c r="B121" s="21"/>
      <c r="C121" s="278"/>
      <c r="D121" s="309"/>
      <c r="E121" s="18" t="s">
        <v>344</v>
      </c>
      <c r="F121" s="152">
        <v>0</v>
      </c>
      <c r="G121" s="353">
        <v>2295.44</v>
      </c>
      <c r="H121" s="132"/>
      <c r="I121" s="355"/>
    </row>
    <row r="122" spans="1:9" ht="12.75" customHeight="1">
      <c r="A122" s="22"/>
      <c r="B122" s="21"/>
      <c r="C122" s="278"/>
      <c r="D122" s="309"/>
      <c r="E122" s="18" t="s">
        <v>345</v>
      </c>
      <c r="F122" s="152">
        <v>1459.53</v>
      </c>
      <c r="G122" s="353">
        <v>500</v>
      </c>
      <c r="H122" s="132"/>
      <c r="I122" s="355"/>
    </row>
    <row r="123" spans="1:11" ht="12.75" customHeight="1" thickBot="1">
      <c r="A123" s="25"/>
      <c r="B123" s="24"/>
      <c r="C123" s="278"/>
      <c r="D123" s="22"/>
      <c r="E123" s="71"/>
      <c r="F123" s="149"/>
      <c r="G123" s="149"/>
      <c r="H123" s="323">
        <f>SUM(H97:H122)</f>
        <v>1877690.3800000001</v>
      </c>
      <c r="I123" s="334">
        <v>1619292.01</v>
      </c>
      <c r="K123" s="1">
        <v>1812276321</v>
      </c>
    </row>
    <row r="124" spans="1:9" ht="12.75" customHeight="1" thickTop="1">
      <c r="A124" s="22"/>
      <c r="B124" s="21"/>
      <c r="C124" s="308" t="s">
        <v>56</v>
      </c>
      <c r="D124" s="28"/>
      <c r="E124" s="68"/>
      <c r="F124" s="149"/>
      <c r="G124" s="149"/>
      <c r="H124" s="132"/>
      <c r="I124" s="106"/>
    </row>
    <row r="125" spans="1:11" ht="12.75" customHeight="1">
      <c r="A125" s="22"/>
      <c r="B125" s="21"/>
      <c r="C125" s="278"/>
      <c r="D125" s="309" t="s">
        <v>57</v>
      </c>
      <c r="E125" s="23"/>
      <c r="F125" s="191"/>
      <c r="G125" s="149"/>
      <c r="H125" s="268">
        <v>0</v>
      </c>
      <c r="I125" s="332">
        <v>0</v>
      </c>
      <c r="K125" s="1">
        <v>0</v>
      </c>
    </row>
    <row r="126" spans="1:11" ht="12.75" customHeight="1">
      <c r="A126" s="22"/>
      <c r="B126" s="21"/>
      <c r="C126" s="278"/>
      <c r="D126" s="309" t="s">
        <v>58</v>
      </c>
      <c r="E126" s="23"/>
      <c r="F126" s="191"/>
      <c r="G126" s="149"/>
      <c r="H126" s="268">
        <v>0</v>
      </c>
      <c r="I126" s="332">
        <v>0</v>
      </c>
      <c r="K126" s="1">
        <v>0</v>
      </c>
    </row>
    <row r="127" spans="1:11" ht="12.75" customHeight="1">
      <c r="A127" s="22"/>
      <c r="B127" s="21"/>
      <c r="C127" s="278"/>
      <c r="D127" s="309" t="s">
        <v>257</v>
      </c>
      <c r="E127" s="23"/>
      <c r="F127" s="191"/>
      <c r="G127" s="149"/>
      <c r="H127" s="268">
        <v>0</v>
      </c>
      <c r="I127" s="332">
        <v>0</v>
      </c>
      <c r="K127" s="1">
        <v>0</v>
      </c>
    </row>
    <row r="128" spans="1:11" ht="12.75" customHeight="1">
      <c r="A128" s="22"/>
      <c r="B128" s="21"/>
      <c r="C128" s="278"/>
      <c r="D128" s="309" t="s">
        <v>260</v>
      </c>
      <c r="E128" s="23"/>
      <c r="F128" s="191"/>
      <c r="G128" s="149"/>
      <c r="H128" s="268">
        <v>0</v>
      </c>
      <c r="I128" s="332">
        <v>0</v>
      </c>
      <c r="K128" s="1">
        <v>0</v>
      </c>
    </row>
    <row r="129" spans="1:11" ht="12.75" customHeight="1">
      <c r="A129" s="22"/>
      <c r="B129" s="21"/>
      <c r="C129" s="278"/>
      <c r="D129" s="309" t="s">
        <v>258</v>
      </c>
      <c r="E129" s="23"/>
      <c r="F129" s="191"/>
      <c r="G129" s="149"/>
      <c r="H129" s="268">
        <v>0</v>
      </c>
      <c r="I129" s="332">
        <v>0</v>
      </c>
      <c r="K129" s="1">
        <v>0</v>
      </c>
    </row>
    <row r="130" spans="1:11" ht="12.75" customHeight="1">
      <c r="A130" s="22"/>
      <c r="B130" s="21"/>
      <c r="C130" s="278"/>
      <c r="D130" s="309" t="s">
        <v>259</v>
      </c>
      <c r="E130" s="71"/>
      <c r="F130" s="149"/>
      <c r="G130" s="149"/>
      <c r="H130" s="346">
        <v>0</v>
      </c>
      <c r="I130" s="333">
        <v>0</v>
      </c>
      <c r="K130" s="1">
        <v>0</v>
      </c>
    </row>
    <row r="131" spans="1:9" ht="12.75" customHeight="1">
      <c r="A131" s="22"/>
      <c r="B131" s="21"/>
      <c r="C131" s="278"/>
      <c r="D131" s="22"/>
      <c r="E131" s="23"/>
      <c r="F131" s="191"/>
      <c r="G131" s="149"/>
      <c r="H131" s="268"/>
      <c r="I131" s="332"/>
    </row>
    <row r="132" spans="1:11" ht="12.75" customHeight="1" thickBot="1">
      <c r="A132" s="25"/>
      <c r="B132" s="24"/>
      <c r="C132" s="278"/>
      <c r="D132" s="22"/>
      <c r="E132" s="71"/>
      <c r="F132" s="149"/>
      <c r="G132" s="149"/>
      <c r="H132" s="323">
        <f>SUM(H125:H130)</f>
        <v>0</v>
      </c>
      <c r="I132" s="334">
        <v>0</v>
      </c>
      <c r="K132" s="1">
        <v>0</v>
      </c>
    </row>
    <row r="133" spans="1:9" ht="12.75" customHeight="1" thickTop="1">
      <c r="A133" s="22"/>
      <c r="B133" s="21"/>
      <c r="C133" s="308" t="s">
        <v>59</v>
      </c>
      <c r="D133" s="28"/>
      <c r="E133" s="68"/>
      <c r="F133" s="149"/>
      <c r="G133" s="149"/>
      <c r="H133" s="132"/>
      <c r="I133" s="106"/>
    </row>
    <row r="134" spans="1:11" ht="12.75" customHeight="1">
      <c r="A134" s="22"/>
      <c r="B134" s="21"/>
      <c r="C134" s="278"/>
      <c r="D134" s="309" t="s">
        <v>168</v>
      </c>
      <c r="E134" s="71"/>
      <c r="F134" s="149"/>
      <c r="G134" s="149"/>
      <c r="H134" s="240">
        <f>SUM(F135:F136)</f>
        <v>1063850.62</v>
      </c>
      <c r="I134" s="332">
        <v>1948898.38</v>
      </c>
      <c r="K134" s="1">
        <v>1236269590</v>
      </c>
    </row>
    <row r="135" spans="1:9" ht="12.75" customHeight="1">
      <c r="A135" s="22"/>
      <c r="B135" s="21"/>
      <c r="C135" s="278"/>
      <c r="D135" s="12"/>
      <c r="E135" s="22" t="s">
        <v>333</v>
      </c>
      <c r="F135" s="321">
        <v>1056456.09</v>
      </c>
      <c r="G135" s="149"/>
      <c r="H135" s="132"/>
      <c r="I135" s="355"/>
    </row>
    <row r="136" spans="1:9" ht="12.75" customHeight="1">
      <c r="A136" s="22"/>
      <c r="B136" s="21"/>
      <c r="C136" s="278"/>
      <c r="D136" s="12"/>
      <c r="E136" s="22" t="s">
        <v>209</v>
      </c>
      <c r="F136" s="321">
        <v>7394.53</v>
      </c>
      <c r="G136" s="149"/>
      <c r="H136" s="132"/>
      <c r="I136" s="355"/>
    </row>
    <row r="137" spans="1:11" ht="12.75" customHeight="1">
      <c r="A137" s="22"/>
      <c r="B137" s="21"/>
      <c r="C137" s="278"/>
      <c r="D137" s="309" t="s">
        <v>60</v>
      </c>
      <c r="E137" s="71"/>
      <c r="F137" s="321">
        <v>0</v>
      </c>
      <c r="G137" s="149"/>
      <c r="H137" s="268">
        <v>0</v>
      </c>
      <c r="I137" s="332">
        <v>0</v>
      </c>
      <c r="K137" s="1">
        <v>0</v>
      </c>
    </row>
    <row r="138" spans="1:11" ht="12.75" customHeight="1">
      <c r="A138" s="22"/>
      <c r="B138" s="21"/>
      <c r="C138" s="278"/>
      <c r="D138" s="309" t="s">
        <v>61</v>
      </c>
      <c r="E138" s="71"/>
      <c r="F138" s="149"/>
      <c r="G138" s="149"/>
      <c r="H138" s="331">
        <f>SUM(F139:F143)</f>
        <v>9856.22</v>
      </c>
      <c r="I138" s="333">
        <v>7195.63</v>
      </c>
      <c r="K138" s="1">
        <v>38925130</v>
      </c>
    </row>
    <row r="139" spans="1:9" ht="12.75" customHeight="1">
      <c r="A139" s="22"/>
      <c r="B139" s="21"/>
      <c r="C139" s="278"/>
      <c r="D139" s="309"/>
      <c r="E139" s="22" t="s">
        <v>184</v>
      </c>
      <c r="F139" s="321">
        <v>5200</v>
      </c>
      <c r="G139" s="149"/>
      <c r="H139" s="132"/>
      <c r="I139" s="106"/>
    </row>
    <row r="140" spans="1:9" ht="12.75" customHeight="1">
      <c r="A140" s="22"/>
      <c r="B140" s="21"/>
      <c r="C140" s="278"/>
      <c r="D140" s="309"/>
      <c r="E140" s="22" t="s">
        <v>299</v>
      </c>
      <c r="F140" s="321">
        <v>500</v>
      </c>
      <c r="G140" s="149"/>
      <c r="H140" s="132"/>
      <c r="I140" s="106"/>
    </row>
    <row r="141" spans="1:9" ht="12.75" customHeight="1">
      <c r="A141" s="22"/>
      <c r="B141" s="21"/>
      <c r="C141" s="278"/>
      <c r="D141" s="309"/>
      <c r="E141" s="22" t="s">
        <v>334</v>
      </c>
      <c r="F141" s="321">
        <v>150</v>
      </c>
      <c r="G141" s="149"/>
      <c r="H141" s="132"/>
      <c r="I141" s="106"/>
    </row>
    <row r="142" spans="1:9" ht="12.75" customHeight="1">
      <c r="A142" s="22"/>
      <c r="B142" s="21"/>
      <c r="C142" s="278"/>
      <c r="D142" s="309"/>
      <c r="E142" s="22" t="s">
        <v>300</v>
      </c>
      <c r="F142" s="321">
        <v>4006.22</v>
      </c>
      <c r="G142" s="149"/>
      <c r="H142" s="132"/>
      <c r="I142" s="106"/>
    </row>
    <row r="143" spans="1:9" ht="12.75" customHeight="1">
      <c r="A143" s="22"/>
      <c r="B143" s="21"/>
      <c r="C143" s="22"/>
      <c r="D143" s="22"/>
      <c r="E143" s="22"/>
      <c r="F143" s="192"/>
      <c r="G143" s="149"/>
      <c r="H143" s="132"/>
      <c r="I143" s="106"/>
    </row>
    <row r="144" spans="1:11" ht="12.75" customHeight="1" thickBot="1">
      <c r="A144" s="25"/>
      <c r="B144" s="24"/>
      <c r="C144" s="22"/>
      <c r="D144" s="22"/>
      <c r="E144" s="71"/>
      <c r="F144" s="149"/>
      <c r="G144" s="149"/>
      <c r="H144" s="323">
        <f>SUM(H134:H143)</f>
        <v>1073706.84</v>
      </c>
      <c r="I144" s="334">
        <v>1956094.01</v>
      </c>
      <c r="K144" s="1">
        <v>1275194720</v>
      </c>
    </row>
    <row r="145" spans="1:13" s="8" customFormat="1" ht="17.25" customHeight="1" thickTop="1">
      <c r="A145" s="25"/>
      <c r="B145" s="277" t="s">
        <v>324</v>
      </c>
      <c r="C145" s="25"/>
      <c r="D145" s="25"/>
      <c r="E145" s="25"/>
      <c r="F145" s="181"/>
      <c r="G145" s="149"/>
      <c r="H145" s="138"/>
      <c r="I145" s="107"/>
      <c r="M145" s="122"/>
    </row>
    <row r="146" spans="1:13" s="8" customFormat="1" ht="18" customHeight="1">
      <c r="A146" s="25"/>
      <c r="B146" s="35"/>
      <c r="C146" s="313"/>
      <c r="D146" s="313" t="s">
        <v>325</v>
      </c>
      <c r="E146" s="34"/>
      <c r="F146" s="189"/>
      <c r="G146" s="149"/>
      <c r="H146" s="345">
        <f>F147+F148</f>
        <v>480006.19000000006</v>
      </c>
      <c r="I146" s="318">
        <v>990692.38</v>
      </c>
      <c r="K146" s="8">
        <v>861706892</v>
      </c>
      <c r="M146" s="122"/>
    </row>
    <row r="147" spans="1:13" s="10" customFormat="1" ht="12.75" customHeight="1">
      <c r="A147" s="27"/>
      <c r="B147" s="30"/>
      <c r="C147" s="27"/>
      <c r="D147" s="309" t="s">
        <v>62</v>
      </c>
      <c r="E147" s="31"/>
      <c r="F147" s="321">
        <v>382768.59</v>
      </c>
      <c r="G147" s="184"/>
      <c r="H147" s="194"/>
      <c r="I147" s="112"/>
      <c r="M147" s="128"/>
    </row>
    <row r="148" spans="1:13" s="10" customFormat="1" ht="12.75" customHeight="1" thickBot="1">
      <c r="A148" s="27"/>
      <c r="B148" s="30"/>
      <c r="C148" s="27"/>
      <c r="D148" s="309" t="s">
        <v>63</v>
      </c>
      <c r="E148" s="31"/>
      <c r="F148" s="418">
        <f>3564.71+93672.89</f>
        <v>97237.6</v>
      </c>
      <c r="G148" s="184"/>
      <c r="H148" s="194"/>
      <c r="I148" s="112"/>
      <c r="M148" s="128"/>
    </row>
    <row r="149" spans="1:9" ht="12.75" customHeight="1" thickTop="1">
      <c r="A149" s="22"/>
      <c r="B149" s="21"/>
      <c r="C149" s="22"/>
      <c r="D149" s="22"/>
      <c r="E149" s="22"/>
      <c r="F149" s="196"/>
      <c r="G149" s="160"/>
      <c r="H149" s="188"/>
      <c r="I149" s="110"/>
    </row>
    <row r="150" spans="1:13" s="80" customFormat="1" ht="18.75" customHeight="1" thickBot="1">
      <c r="A150" s="78"/>
      <c r="B150" s="79"/>
      <c r="C150" s="299" t="s">
        <v>64</v>
      </c>
      <c r="D150" s="222"/>
      <c r="E150" s="78"/>
      <c r="F150" s="223"/>
      <c r="G150" s="160"/>
      <c r="H150" s="356">
        <f>H20+H22+H85+H146</f>
        <v>10348835.19</v>
      </c>
      <c r="I150" s="357">
        <v>10354840.65</v>
      </c>
      <c r="K150" s="80">
        <v>9961081920</v>
      </c>
      <c r="M150" s="83"/>
    </row>
    <row r="151" spans="1:9" ht="12.75" customHeight="1" thickTop="1">
      <c r="A151" s="22"/>
      <c r="B151" s="21"/>
      <c r="C151" s="22"/>
      <c r="D151" s="22"/>
      <c r="E151" s="22"/>
      <c r="F151" s="36"/>
      <c r="H151" s="244"/>
      <c r="I151" s="242"/>
    </row>
    <row r="152" spans="1:9" ht="12.75" customHeight="1">
      <c r="A152" s="22"/>
      <c r="B152" s="21"/>
      <c r="C152" s="22"/>
      <c r="D152" s="314" t="s">
        <v>250</v>
      </c>
      <c r="E152" s="22"/>
      <c r="F152" s="36"/>
      <c r="H152" s="245"/>
      <c r="I152" s="243"/>
    </row>
    <row r="153" spans="1:9" ht="12.75" customHeight="1">
      <c r="A153" s="22"/>
      <c r="B153" s="21"/>
      <c r="C153" s="22"/>
      <c r="D153" s="22"/>
      <c r="E153" s="309" t="s">
        <v>252</v>
      </c>
      <c r="F153" s="36"/>
      <c r="H153" s="358">
        <v>0</v>
      </c>
      <c r="I153" s="358">
        <v>0</v>
      </c>
    </row>
    <row r="154" spans="1:9" ht="12.75" customHeight="1">
      <c r="A154" s="22"/>
      <c r="B154" s="21"/>
      <c r="C154" s="22"/>
      <c r="D154" s="22"/>
      <c r="E154" s="309" t="s">
        <v>253</v>
      </c>
      <c r="F154" s="36"/>
      <c r="H154" s="358">
        <v>2913333.37</v>
      </c>
      <c r="I154" s="358">
        <v>2913333.37</v>
      </c>
    </row>
    <row r="155" spans="1:9" ht="12.75" customHeight="1">
      <c r="A155" s="22"/>
      <c r="B155" s="21"/>
      <c r="C155" s="22"/>
      <c r="D155" s="22"/>
      <c r="E155" s="309" t="s">
        <v>254</v>
      </c>
      <c r="F155" s="36"/>
      <c r="H155" s="359">
        <v>0</v>
      </c>
      <c r="I155" s="359">
        <v>0</v>
      </c>
    </row>
    <row r="156" spans="1:9" ht="12.75" customHeight="1">
      <c r="A156" s="22"/>
      <c r="B156" s="21"/>
      <c r="C156" s="22"/>
      <c r="D156" s="22"/>
      <c r="E156" s="22"/>
      <c r="F156" s="36"/>
      <c r="H156" s="243"/>
      <c r="I156" s="243"/>
    </row>
    <row r="157" spans="1:9" ht="17.25" customHeight="1" thickBot="1">
      <c r="A157" s="22"/>
      <c r="B157" s="246"/>
      <c r="C157" s="247"/>
      <c r="D157" s="247"/>
      <c r="E157" s="315" t="s">
        <v>251</v>
      </c>
      <c r="F157" s="248"/>
      <c r="G157" s="249"/>
      <c r="H157" s="360">
        <f>SUM(H150:H154)</f>
        <v>13262168.559999999</v>
      </c>
      <c r="I157" s="360">
        <f>SUM(I150:I154)</f>
        <v>13268174.02</v>
      </c>
    </row>
    <row r="158" spans="1:6" ht="12.75" customHeight="1" thickTop="1">
      <c r="A158" s="22"/>
      <c r="B158" s="22"/>
      <c r="C158" s="22"/>
      <c r="D158" s="22"/>
      <c r="E158" s="239"/>
      <c r="F158" s="36"/>
    </row>
    <row r="159" spans="1:13" s="12" customFormat="1" ht="15.75" customHeight="1">
      <c r="A159" s="62"/>
      <c r="B159" s="37"/>
      <c r="C159" s="38"/>
      <c r="D159" s="38"/>
      <c r="E159" s="361" t="s">
        <v>65</v>
      </c>
      <c r="F159" s="303" t="s">
        <v>2</v>
      </c>
      <c r="G159" s="304" t="s">
        <v>3</v>
      </c>
      <c r="H159" s="305">
        <v>2008</v>
      </c>
      <c r="I159" s="305">
        <v>2007</v>
      </c>
      <c r="K159" s="12">
        <v>2001</v>
      </c>
      <c r="M159" s="123"/>
    </row>
    <row r="160" spans="1:9" ht="12.75" customHeight="1">
      <c r="A160" s="22"/>
      <c r="B160" s="21"/>
      <c r="C160" s="22"/>
      <c r="D160" s="22"/>
      <c r="E160" s="23"/>
      <c r="F160" s="191"/>
      <c r="G160" s="149"/>
      <c r="H160" s="132"/>
      <c r="I160" s="106"/>
    </row>
    <row r="161" spans="1:13" s="8" customFormat="1" ht="15.75" customHeight="1">
      <c r="A161" s="25"/>
      <c r="B161" s="277" t="s">
        <v>66</v>
      </c>
      <c r="C161" s="25"/>
      <c r="D161" s="25"/>
      <c r="E161" s="67"/>
      <c r="F161" s="189"/>
      <c r="G161" s="149"/>
      <c r="H161" s="345">
        <f>H176</f>
        <v>2135699.240000001</v>
      </c>
      <c r="I161" s="318">
        <v>2142704.79</v>
      </c>
      <c r="K161" s="122">
        <v>2905652486</v>
      </c>
      <c r="M161" s="122"/>
    </row>
    <row r="162" spans="1:11" ht="12.75" customHeight="1">
      <c r="A162" s="22"/>
      <c r="B162" s="21"/>
      <c r="C162" s="308" t="s">
        <v>169</v>
      </c>
      <c r="D162" s="28"/>
      <c r="E162" s="68"/>
      <c r="F162" s="319">
        <v>2106203.32</v>
      </c>
      <c r="G162" s="149"/>
      <c r="H162" s="268">
        <f>F162</f>
        <v>2106203.32</v>
      </c>
      <c r="I162" s="332">
        <v>2106203.32</v>
      </c>
      <c r="K162" s="1">
        <v>3493284307</v>
      </c>
    </row>
    <row r="163" spans="1:11" ht="12.75" customHeight="1">
      <c r="A163" s="22"/>
      <c r="B163" s="21"/>
      <c r="C163" s="308" t="s">
        <v>266</v>
      </c>
      <c r="D163" s="28"/>
      <c r="E163" s="68"/>
      <c r="F163" s="319">
        <v>0</v>
      </c>
      <c r="G163" s="149"/>
      <c r="H163" s="268">
        <f aca="true" t="shared" si="0" ref="H163:H171">F163</f>
        <v>0</v>
      </c>
      <c r="I163" s="332">
        <v>0</v>
      </c>
      <c r="K163" s="1">
        <v>0</v>
      </c>
    </row>
    <row r="164" spans="1:11" ht="12.75" customHeight="1">
      <c r="A164" s="22"/>
      <c r="B164" s="21"/>
      <c r="C164" s="308" t="s">
        <v>67</v>
      </c>
      <c r="D164" s="28"/>
      <c r="E164" s="68"/>
      <c r="F164" s="319">
        <v>0</v>
      </c>
      <c r="G164" s="149"/>
      <c r="H164" s="268">
        <f t="shared" si="0"/>
        <v>0</v>
      </c>
      <c r="I164" s="332">
        <v>0</v>
      </c>
      <c r="K164" s="1">
        <v>0</v>
      </c>
    </row>
    <row r="165" spans="1:13" ht="12.75" customHeight="1">
      <c r="A165" s="22"/>
      <c r="B165" s="21"/>
      <c r="C165" s="308" t="s">
        <v>68</v>
      </c>
      <c r="D165" s="28"/>
      <c r="E165" s="68"/>
      <c r="F165" s="319">
        <v>22306.67</v>
      </c>
      <c r="G165" s="149"/>
      <c r="H165" s="268">
        <f>F165</f>
        <v>22306.67</v>
      </c>
      <c r="I165" s="332">
        <v>20964.67</v>
      </c>
      <c r="K165" s="1">
        <v>1885660</v>
      </c>
      <c r="M165" s="122"/>
    </row>
    <row r="166" spans="1:11" ht="12.75" customHeight="1">
      <c r="A166" s="22"/>
      <c r="B166" s="21"/>
      <c r="C166" s="308" t="s">
        <v>264</v>
      </c>
      <c r="D166" s="28"/>
      <c r="E166" s="68"/>
      <c r="F166" s="319">
        <f>SUM(F167:F168)</f>
        <v>183539.57</v>
      </c>
      <c r="G166" s="149"/>
      <c r="H166" s="268">
        <f>F166</f>
        <v>183539.57</v>
      </c>
      <c r="I166" s="332">
        <v>182197.57</v>
      </c>
      <c r="K166" s="1">
        <v>4415239</v>
      </c>
    </row>
    <row r="167" spans="1:9" ht="12.75" customHeight="1">
      <c r="A167" s="22"/>
      <c r="B167" s="21"/>
      <c r="C167" s="278" t="s">
        <v>113</v>
      </c>
      <c r="D167" s="27" t="s">
        <v>200</v>
      </c>
      <c r="E167" s="31"/>
      <c r="F167" s="130">
        <v>22306.67</v>
      </c>
      <c r="G167" s="160"/>
      <c r="H167" s="268">
        <v>0</v>
      </c>
      <c r="I167" s="355"/>
    </row>
    <row r="168" spans="1:13" s="10" customFormat="1" ht="12.75" customHeight="1">
      <c r="A168" s="64"/>
      <c r="B168" s="40"/>
      <c r="C168" s="278" t="s">
        <v>113</v>
      </c>
      <c r="D168" s="27" t="s">
        <v>207</v>
      </c>
      <c r="E168" s="31"/>
      <c r="F168" s="130">
        <v>161232.9</v>
      </c>
      <c r="G168" s="197"/>
      <c r="H168" s="268">
        <v>0</v>
      </c>
      <c r="I168" s="362"/>
      <c r="M168" s="128"/>
    </row>
    <row r="169" spans="1:11" ht="12.75" customHeight="1">
      <c r="A169" s="22"/>
      <c r="B169" s="21"/>
      <c r="C169" s="308" t="s">
        <v>265</v>
      </c>
      <c r="D169" s="28"/>
      <c r="E169" s="68"/>
      <c r="F169" s="319">
        <v>0</v>
      </c>
      <c r="G169" s="149"/>
      <c r="H169" s="268">
        <f>F169</f>
        <v>0</v>
      </c>
      <c r="I169" s="332">
        <v>0</v>
      </c>
      <c r="K169" s="1">
        <v>0</v>
      </c>
    </row>
    <row r="170" spans="1:13" ht="12.75" customHeight="1">
      <c r="A170" s="22"/>
      <c r="B170" s="21"/>
      <c r="C170" s="308" t="s">
        <v>69</v>
      </c>
      <c r="D170" s="28"/>
      <c r="E170" s="68"/>
      <c r="F170" s="319">
        <v>0</v>
      </c>
      <c r="G170" s="149"/>
      <c r="H170" s="268">
        <f t="shared" si="0"/>
        <v>0</v>
      </c>
      <c r="I170" s="332">
        <v>0</v>
      </c>
      <c r="K170" s="1">
        <v>0</v>
      </c>
      <c r="M170" s="122"/>
    </row>
    <row r="171" spans="1:11" ht="12.75" customHeight="1">
      <c r="A171" s="22"/>
      <c r="B171" s="21"/>
      <c r="C171" s="308" t="s">
        <v>70</v>
      </c>
      <c r="D171" s="28"/>
      <c r="E171" s="121"/>
      <c r="F171" s="268">
        <f>SUM(F172:F173)</f>
        <v>-180080.77</v>
      </c>
      <c r="G171" s="160"/>
      <c r="H171" s="268">
        <f t="shared" si="0"/>
        <v>-180080.77</v>
      </c>
      <c r="I171" s="332">
        <v>-180080.77</v>
      </c>
      <c r="K171" s="1">
        <v>0</v>
      </c>
    </row>
    <row r="172" spans="1:11" ht="12.75" customHeight="1">
      <c r="A172" s="22"/>
      <c r="B172" s="21"/>
      <c r="C172" s="308"/>
      <c r="D172" s="28"/>
      <c r="E172" s="69" t="s">
        <v>71</v>
      </c>
      <c r="F172" s="149">
        <v>-180080.77</v>
      </c>
      <c r="G172" s="149"/>
      <c r="H172" s="268">
        <v>0</v>
      </c>
      <c r="I172" s="332">
        <v>0</v>
      </c>
      <c r="K172" s="1">
        <v>0</v>
      </c>
    </row>
    <row r="173" spans="1:11" ht="12.75" customHeight="1">
      <c r="A173" s="22"/>
      <c r="B173" s="21"/>
      <c r="C173" s="308"/>
      <c r="D173" s="28"/>
      <c r="E173" s="69" t="s">
        <v>72</v>
      </c>
      <c r="F173" s="198">
        <v>0</v>
      </c>
      <c r="G173" s="149"/>
      <c r="H173" s="268">
        <v>0</v>
      </c>
      <c r="I173" s="332">
        <v>0</v>
      </c>
      <c r="K173" s="1">
        <v>0</v>
      </c>
    </row>
    <row r="174" spans="1:11" ht="12.75" customHeight="1">
      <c r="A174" s="22"/>
      <c r="B174" s="21"/>
      <c r="C174" s="308" t="s">
        <v>73</v>
      </c>
      <c r="D174" s="28"/>
      <c r="E174" s="68"/>
      <c r="F174" s="346">
        <f>G476</f>
        <v>3730.4500000016124</v>
      </c>
      <c r="G174" s="149"/>
      <c r="H174" s="346">
        <f>G476</f>
        <v>3730.4500000016124</v>
      </c>
      <c r="I174" s="333">
        <v>13420</v>
      </c>
      <c r="K174" s="1">
        <v>-593932720</v>
      </c>
    </row>
    <row r="175" spans="1:13" ht="12.75" customHeight="1">
      <c r="A175" s="22"/>
      <c r="B175" s="21"/>
      <c r="C175" s="22"/>
      <c r="D175" s="22"/>
      <c r="E175" s="23"/>
      <c r="F175" s="191"/>
      <c r="G175" s="149"/>
      <c r="H175" s="132"/>
      <c r="I175" s="355"/>
      <c r="M175" s="122"/>
    </row>
    <row r="176" spans="1:11" ht="12.75" customHeight="1" thickBot="1">
      <c r="A176" s="63"/>
      <c r="B176" s="39"/>
      <c r="C176" s="22"/>
      <c r="D176" s="22"/>
      <c r="E176" s="71"/>
      <c r="F176" s="149"/>
      <c r="G176" s="149"/>
      <c r="H176" s="323">
        <f>SUM(H162:H174)</f>
        <v>2135699.240000001</v>
      </c>
      <c r="I176" s="334">
        <v>2142704.79</v>
      </c>
      <c r="K176" s="2">
        <v>2905652486</v>
      </c>
    </row>
    <row r="177" spans="1:9" ht="12.75" customHeight="1" thickTop="1">
      <c r="A177" s="63"/>
      <c r="B177" s="39"/>
      <c r="C177" s="22"/>
      <c r="D177" s="22"/>
      <c r="E177" s="71"/>
      <c r="F177" s="149"/>
      <c r="G177" s="149"/>
      <c r="H177" s="152"/>
      <c r="I177" s="113"/>
    </row>
    <row r="178" spans="1:13" s="8" customFormat="1" ht="17.25" customHeight="1">
      <c r="A178" s="25"/>
      <c r="B178" s="277" t="s">
        <v>74</v>
      </c>
      <c r="C178" s="25"/>
      <c r="D178" s="25"/>
      <c r="E178" s="67"/>
      <c r="F178" s="189"/>
      <c r="G178" s="149"/>
      <c r="H178" s="345">
        <f>H181</f>
        <v>293762.06</v>
      </c>
      <c r="I178" s="372">
        <v>170762.06</v>
      </c>
      <c r="K178" s="8">
        <v>0</v>
      </c>
      <c r="M178" s="122"/>
    </row>
    <row r="179" spans="1:11" ht="12.75" customHeight="1">
      <c r="A179" s="22"/>
      <c r="B179" s="21"/>
      <c r="C179" s="278" t="s">
        <v>75</v>
      </c>
      <c r="D179" s="22"/>
      <c r="E179" s="71"/>
      <c r="F179" s="319">
        <v>0</v>
      </c>
      <c r="G179" s="149"/>
      <c r="H179" s="268">
        <v>0</v>
      </c>
      <c r="I179" s="332">
        <v>0</v>
      </c>
      <c r="K179" s="1">
        <v>0</v>
      </c>
    </row>
    <row r="180" spans="1:11" ht="12.75" customHeight="1">
      <c r="A180" s="22"/>
      <c r="B180" s="21"/>
      <c r="C180" s="278" t="s">
        <v>267</v>
      </c>
      <c r="D180" s="22"/>
      <c r="E180" s="71"/>
      <c r="F180" s="319">
        <v>0</v>
      </c>
      <c r="G180" s="149"/>
      <c r="H180" s="268">
        <v>0</v>
      </c>
      <c r="I180" s="332">
        <v>0</v>
      </c>
      <c r="K180" s="1">
        <v>0</v>
      </c>
    </row>
    <row r="181" spans="1:11" ht="12.75" customHeight="1">
      <c r="A181" s="22"/>
      <c r="B181" s="21"/>
      <c r="C181" s="278" t="s">
        <v>76</v>
      </c>
      <c r="D181" s="22"/>
      <c r="E181" s="71"/>
      <c r="F181" s="319">
        <v>293762.06</v>
      </c>
      <c r="G181" s="149"/>
      <c r="H181" s="346">
        <f>F181</f>
        <v>293762.06</v>
      </c>
      <c r="I181" s="333">
        <v>170762.06</v>
      </c>
      <c r="K181" s="1">
        <v>0</v>
      </c>
    </row>
    <row r="182" spans="1:9" ht="5.25" customHeight="1">
      <c r="A182" s="22"/>
      <c r="B182" s="21"/>
      <c r="C182" s="22"/>
      <c r="D182" s="22"/>
      <c r="E182" s="23"/>
      <c r="F182" s="191"/>
      <c r="G182" s="149"/>
      <c r="H182" s="132"/>
      <c r="I182" s="106"/>
    </row>
    <row r="183" spans="1:13" s="8" customFormat="1" ht="12.75" customHeight="1">
      <c r="A183" s="25"/>
      <c r="B183" s="307" t="s">
        <v>77</v>
      </c>
      <c r="C183" s="25"/>
      <c r="D183" s="25"/>
      <c r="E183" s="67"/>
      <c r="F183" s="189"/>
      <c r="G183" s="149"/>
      <c r="H183" s="129" t="s">
        <v>4</v>
      </c>
      <c r="I183" s="114" t="s">
        <v>4</v>
      </c>
      <c r="K183" s="8" t="s">
        <v>4</v>
      </c>
      <c r="M183" s="122"/>
    </row>
    <row r="184" spans="1:13" s="8" customFormat="1" ht="17.25" customHeight="1">
      <c r="A184" s="25"/>
      <c r="B184" s="24"/>
      <c r="C184" s="363" t="s">
        <v>78</v>
      </c>
      <c r="D184" s="25"/>
      <c r="E184" s="72"/>
      <c r="F184" s="181"/>
      <c r="G184" s="149"/>
      <c r="H184" s="373">
        <v>1001572.53</v>
      </c>
      <c r="I184" s="318">
        <v>891161.08</v>
      </c>
      <c r="K184" s="8">
        <v>686585265</v>
      </c>
      <c r="M184" s="122"/>
    </row>
    <row r="185" spans="1:13" s="8" customFormat="1" ht="12.75" customHeight="1">
      <c r="A185" s="25"/>
      <c r="B185" s="273" t="s">
        <v>79</v>
      </c>
      <c r="C185" s="25"/>
      <c r="D185" s="25"/>
      <c r="E185" s="67"/>
      <c r="F185" s="189" t="s">
        <v>4</v>
      </c>
      <c r="G185" s="149"/>
      <c r="H185" s="138"/>
      <c r="I185" s="115"/>
      <c r="M185" s="122"/>
    </row>
    <row r="186" spans="1:13" s="8" customFormat="1" ht="18.75" customHeight="1">
      <c r="A186" s="25"/>
      <c r="B186" s="24"/>
      <c r="C186" s="363" t="s">
        <v>80</v>
      </c>
      <c r="D186" s="25"/>
      <c r="E186" s="67"/>
      <c r="F186" s="347" t="s">
        <v>36</v>
      </c>
      <c r="G186" s="347" t="s">
        <v>37</v>
      </c>
      <c r="H186" s="345">
        <f>H226</f>
        <v>4479166.38</v>
      </c>
      <c r="I186" s="318">
        <v>4900420.29</v>
      </c>
      <c r="K186" s="8">
        <v>3094389914</v>
      </c>
      <c r="M186" s="122"/>
    </row>
    <row r="187" spans="1:13" s="8" customFormat="1" ht="12.75" customHeight="1">
      <c r="A187" s="25"/>
      <c r="B187" s="24"/>
      <c r="C187" s="363" t="s">
        <v>81</v>
      </c>
      <c r="D187" s="25"/>
      <c r="E187" s="67"/>
      <c r="F187" s="189"/>
      <c r="G187" s="149"/>
      <c r="H187" s="138"/>
      <c r="I187" s="107"/>
      <c r="M187" s="122"/>
    </row>
    <row r="188" spans="1:11" ht="12.75" customHeight="1">
      <c r="A188" s="22"/>
      <c r="B188" s="21"/>
      <c r="C188" s="278" t="s">
        <v>82</v>
      </c>
      <c r="D188" s="22"/>
      <c r="E188" s="71"/>
      <c r="F188" s="319">
        <v>0</v>
      </c>
      <c r="G188" s="319">
        <v>0</v>
      </c>
      <c r="H188" s="240">
        <f aca="true" t="shared" si="1" ref="H188:H196">SUM(F188+G188)</f>
        <v>0</v>
      </c>
      <c r="I188" s="332">
        <v>0</v>
      </c>
      <c r="K188" s="1">
        <v>0</v>
      </c>
    </row>
    <row r="189" spans="1:11" ht="12.75" customHeight="1">
      <c r="A189" s="22"/>
      <c r="B189" s="21"/>
      <c r="C189" s="278" t="s">
        <v>268</v>
      </c>
      <c r="D189" s="22"/>
      <c r="E189" s="71"/>
      <c r="F189" s="319">
        <v>0</v>
      </c>
      <c r="G189" s="319">
        <v>0</v>
      </c>
      <c r="H189" s="240">
        <f t="shared" si="1"/>
        <v>0</v>
      </c>
      <c r="I189" s="332">
        <v>0</v>
      </c>
      <c r="K189" s="1">
        <v>0</v>
      </c>
    </row>
    <row r="190" spans="1:11" ht="12.75" customHeight="1">
      <c r="A190" s="22"/>
      <c r="B190" s="21"/>
      <c r="C190" s="278" t="s">
        <v>269</v>
      </c>
      <c r="D190" s="22"/>
      <c r="E190" s="71"/>
      <c r="F190" s="364">
        <v>0</v>
      </c>
      <c r="G190" s="364">
        <v>0</v>
      </c>
      <c r="H190" s="240">
        <f t="shared" si="1"/>
        <v>0</v>
      </c>
      <c r="I190" s="332">
        <v>0</v>
      </c>
      <c r="K190" s="1">
        <v>0</v>
      </c>
    </row>
    <row r="191" spans="1:11" ht="12.75" customHeight="1">
      <c r="A191" s="22"/>
      <c r="B191" s="21"/>
      <c r="C191" s="278" t="s">
        <v>270</v>
      </c>
      <c r="D191" s="22"/>
      <c r="E191" s="71"/>
      <c r="F191" s="365">
        <f>SUM(F192:F193)</f>
        <v>79667</v>
      </c>
      <c r="G191" s="366">
        <f>SUM(G192:G193)</f>
        <v>2470170.03</v>
      </c>
      <c r="H191" s="240">
        <f>SUM(F191+G191)</f>
        <v>2549837.03</v>
      </c>
      <c r="I191" s="332">
        <v>2299504.03</v>
      </c>
      <c r="K191" s="1">
        <v>0</v>
      </c>
    </row>
    <row r="192" spans="1:9" ht="12.75" customHeight="1">
      <c r="A192" s="22"/>
      <c r="B192" s="21"/>
      <c r="C192" s="278"/>
      <c r="D192" s="22" t="s">
        <v>301</v>
      </c>
      <c r="E192" s="71"/>
      <c r="F192" s="184">
        <v>0</v>
      </c>
      <c r="G192" s="184">
        <v>0</v>
      </c>
      <c r="H192" s="132"/>
      <c r="I192" s="106"/>
    </row>
    <row r="193" spans="1:12" ht="12.75" customHeight="1">
      <c r="A193" s="22"/>
      <c r="B193" s="21"/>
      <c r="C193" s="278"/>
      <c r="D193" s="27" t="s">
        <v>292</v>
      </c>
      <c r="E193" s="69"/>
      <c r="F193" s="184">
        <v>79667</v>
      </c>
      <c r="G193" s="184">
        <v>2470170.03</v>
      </c>
      <c r="H193" s="132"/>
      <c r="I193" s="106"/>
      <c r="L193" s="166">
        <f>F193+G193</f>
        <v>2549837.03</v>
      </c>
    </row>
    <row r="194" spans="1:11" ht="12.75" customHeight="1">
      <c r="A194" s="22"/>
      <c r="B194" s="21"/>
      <c r="C194" s="278" t="s">
        <v>271</v>
      </c>
      <c r="D194" s="22"/>
      <c r="E194" s="71"/>
      <c r="F194" s="367">
        <v>0</v>
      </c>
      <c r="G194" s="367">
        <v>0</v>
      </c>
      <c r="H194" s="240">
        <f t="shared" si="1"/>
        <v>0</v>
      </c>
      <c r="I194" s="332">
        <v>0</v>
      </c>
      <c r="K194" s="1">
        <v>0</v>
      </c>
    </row>
    <row r="195" spans="1:11" ht="12.75" customHeight="1">
      <c r="A195" s="22"/>
      <c r="B195" s="21"/>
      <c r="C195" s="278" t="s">
        <v>272</v>
      </c>
      <c r="D195" s="22"/>
      <c r="E195" s="71"/>
      <c r="F195" s="367">
        <v>0</v>
      </c>
      <c r="G195" s="367">
        <v>0</v>
      </c>
      <c r="H195" s="240">
        <f t="shared" si="1"/>
        <v>0</v>
      </c>
      <c r="I195" s="332">
        <v>0</v>
      </c>
      <c r="K195" s="1">
        <v>0</v>
      </c>
    </row>
    <row r="196" spans="1:11" ht="12.75" customHeight="1">
      <c r="A196" s="22"/>
      <c r="B196" s="21"/>
      <c r="C196" s="278" t="s">
        <v>273</v>
      </c>
      <c r="D196" s="22"/>
      <c r="E196" s="71"/>
      <c r="F196" s="348">
        <f>SUM(F197:F199)</f>
        <v>1613857.51</v>
      </c>
      <c r="G196" s="348">
        <f>SUM(G197:G199)</f>
        <v>0</v>
      </c>
      <c r="H196" s="240">
        <f t="shared" si="1"/>
        <v>1613857.51</v>
      </c>
      <c r="I196" s="332">
        <v>1937745.67</v>
      </c>
      <c r="K196" s="1">
        <v>2744974663</v>
      </c>
    </row>
    <row r="197" spans="1:9" ht="12.75" customHeight="1">
      <c r="A197" s="22"/>
      <c r="B197" s="21"/>
      <c r="C197" s="278"/>
      <c r="D197" s="22" t="s">
        <v>170</v>
      </c>
      <c r="E197" s="71"/>
      <c r="F197" s="184">
        <v>330451.73</v>
      </c>
      <c r="G197" s="184">
        <v>0</v>
      </c>
      <c r="H197" s="268"/>
      <c r="I197" s="355"/>
    </row>
    <row r="198" spans="1:9" ht="12.75" customHeight="1">
      <c r="A198" s="22"/>
      <c r="B198" s="21"/>
      <c r="C198" s="278"/>
      <c r="D198" s="22" t="s">
        <v>171</v>
      </c>
      <c r="E198" s="71"/>
      <c r="F198" s="184">
        <v>1284325.2</v>
      </c>
      <c r="G198" s="184">
        <v>0</v>
      </c>
      <c r="H198" s="268"/>
      <c r="I198" s="355"/>
    </row>
    <row r="199" spans="1:9" ht="12.75" customHeight="1">
      <c r="A199" s="22"/>
      <c r="B199" s="21"/>
      <c r="C199" s="278"/>
      <c r="D199" s="22" t="s">
        <v>188</v>
      </c>
      <c r="E199" s="71"/>
      <c r="F199" s="368">
        <v>-919.42</v>
      </c>
      <c r="G199" s="368">
        <v>0</v>
      </c>
      <c r="H199" s="268"/>
      <c r="I199" s="355"/>
    </row>
    <row r="200" spans="1:11" ht="12.75" customHeight="1">
      <c r="A200" s="22"/>
      <c r="B200" s="21"/>
      <c r="C200" s="278" t="s">
        <v>274</v>
      </c>
      <c r="D200" s="22"/>
      <c r="E200" s="71"/>
      <c r="F200" s="319">
        <v>0</v>
      </c>
      <c r="G200" s="319">
        <v>0</v>
      </c>
      <c r="H200" s="240">
        <f>SUM(F200+G200)</f>
        <v>0</v>
      </c>
      <c r="I200" s="332">
        <v>0</v>
      </c>
      <c r="K200" s="1">
        <v>0</v>
      </c>
    </row>
    <row r="201" spans="1:11" ht="12.75" customHeight="1">
      <c r="A201" s="22"/>
      <c r="B201" s="21"/>
      <c r="C201" s="278" t="s">
        <v>275</v>
      </c>
      <c r="D201" s="22"/>
      <c r="E201" s="71"/>
      <c r="F201" s="319">
        <v>7903</v>
      </c>
      <c r="G201" s="319">
        <v>0</v>
      </c>
      <c r="H201" s="240">
        <f>SUM(F201+G201)</f>
        <v>7903</v>
      </c>
      <c r="I201" s="332">
        <v>3331</v>
      </c>
      <c r="K201" s="1">
        <v>0</v>
      </c>
    </row>
    <row r="202" spans="1:11" ht="12.75" customHeight="1">
      <c r="A202" s="22"/>
      <c r="B202" s="21"/>
      <c r="C202" s="278" t="s">
        <v>276</v>
      </c>
      <c r="D202" s="22"/>
      <c r="E202" s="71"/>
      <c r="F202" s="319">
        <v>0</v>
      </c>
      <c r="G202" s="319">
        <v>0</v>
      </c>
      <c r="H202" s="240">
        <f>SUM(F202+G202)</f>
        <v>0</v>
      </c>
      <c r="I202" s="332">
        <v>0</v>
      </c>
      <c r="K202" s="1">
        <v>0</v>
      </c>
    </row>
    <row r="203" spans="1:11" ht="12.75" customHeight="1">
      <c r="A203" s="22"/>
      <c r="B203" s="21"/>
      <c r="C203" s="278" t="s">
        <v>290</v>
      </c>
      <c r="D203" s="22"/>
      <c r="E203" s="71"/>
      <c r="F203" s="319">
        <v>0</v>
      </c>
      <c r="G203" s="319">
        <v>0</v>
      </c>
      <c r="H203" s="240">
        <f>SUM(F203+G203)</f>
        <v>0</v>
      </c>
      <c r="I203" s="332">
        <v>0</v>
      </c>
      <c r="K203" s="1">
        <v>40601901</v>
      </c>
    </row>
    <row r="204" spans="1:11" ht="12.75" customHeight="1">
      <c r="A204" s="22"/>
      <c r="B204" s="21"/>
      <c r="C204" s="278" t="s">
        <v>277</v>
      </c>
      <c r="D204" s="22"/>
      <c r="E204" s="71"/>
      <c r="F204" s="348">
        <f>SUM(F205:F211)</f>
        <v>80655.06000000001</v>
      </c>
      <c r="G204" s="348">
        <f>SUM(G205:G211)</f>
        <v>0</v>
      </c>
      <c r="H204" s="240">
        <f>SUM(F204+G204)</f>
        <v>80655.06000000001</v>
      </c>
      <c r="I204" s="332">
        <v>296340.29</v>
      </c>
      <c r="K204" s="1">
        <v>170682301</v>
      </c>
    </row>
    <row r="205" spans="1:9" ht="12.75" customHeight="1">
      <c r="A205" s="22"/>
      <c r="B205" s="21"/>
      <c r="C205" s="278"/>
      <c r="D205" s="22" t="s">
        <v>202</v>
      </c>
      <c r="E205" s="71"/>
      <c r="F205" s="184">
        <v>62083.33</v>
      </c>
      <c r="G205" s="184">
        <v>0</v>
      </c>
      <c r="H205" s="268"/>
      <c r="I205" s="355"/>
    </row>
    <row r="206" spans="1:9" ht="12.75" customHeight="1">
      <c r="A206" s="22"/>
      <c r="B206" s="21"/>
      <c r="C206" s="278"/>
      <c r="D206" s="22" t="s">
        <v>307</v>
      </c>
      <c r="E206" s="71"/>
      <c r="F206" s="184">
        <v>4137.6</v>
      </c>
      <c r="G206" s="184">
        <v>0</v>
      </c>
      <c r="H206" s="268"/>
      <c r="I206" s="355"/>
    </row>
    <row r="207" spans="1:9" ht="12.75" customHeight="1">
      <c r="A207" s="22"/>
      <c r="B207" s="21"/>
      <c r="C207" s="278"/>
      <c r="D207" s="22" t="s">
        <v>217</v>
      </c>
      <c r="E207" s="71"/>
      <c r="F207" s="184">
        <v>0</v>
      </c>
      <c r="G207" s="184">
        <v>0</v>
      </c>
      <c r="H207" s="268"/>
      <c r="I207" s="355"/>
    </row>
    <row r="208" spans="1:9" ht="12.75" customHeight="1">
      <c r="A208" s="22"/>
      <c r="B208" s="21"/>
      <c r="C208" s="278"/>
      <c r="D208" s="22" t="s">
        <v>203</v>
      </c>
      <c r="E208" s="71"/>
      <c r="F208" s="184">
        <v>5216.81</v>
      </c>
      <c r="G208" s="184">
        <v>0</v>
      </c>
      <c r="H208" s="268"/>
      <c r="I208" s="355"/>
    </row>
    <row r="209" spans="1:9" ht="12.75" customHeight="1">
      <c r="A209" s="22"/>
      <c r="B209" s="21"/>
      <c r="C209" s="278"/>
      <c r="D209" s="22" t="s">
        <v>186</v>
      </c>
      <c r="E209" s="71"/>
      <c r="F209" s="184">
        <v>9189.6</v>
      </c>
      <c r="G209" s="184">
        <v>0</v>
      </c>
      <c r="H209" s="268"/>
      <c r="I209" s="355"/>
    </row>
    <row r="210" spans="1:9" ht="12.75" customHeight="1">
      <c r="A210" s="22"/>
      <c r="B210" s="21"/>
      <c r="C210" s="278"/>
      <c r="D210" s="22" t="s">
        <v>309</v>
      </c>
      <c r="E210" s="71"/>
      <c r="F210" s="184">
        <v>0</v>
      </c>
      <c r="G210" s="184">
        <v>0</v>
      </c>
      <c r="H210" s="268"/>
      <c r="I210" s="355"/>
    </row>
    <row r="211" spans="1:9" ht="12.75" customHeight="1">
      <c r="A211" s="22"/>
      <c r="B211" s="21"/>
      <c r="C211" s="278"/>
      <c r="D211" s="22" t="s">
        <v>210</v>
      </c>
      <c r="E211" s="71"/>
      <c r="F211" s="184">
        <v>27.72</v>
      </c>
      <c r="G211" s="184">
        <v>0</v>
      </c>
      <c r="H211" s="268"/>
      <c r="I211" s="355"/>
    </row>
    <row r="212" spans="1:9" ht="12.75" customHeight="1">
      <c r="A212" s="22"/>
      <c r="B212" s="21"/>
      <c r="C212" s="278" t="s">
        <v>278</v>
      </c>
      <c r="D212" s="22"/>
      <c r="E212" s="71"/>
      <c r="F212" s="149" t="s">
        <v>4</v>
      </c>
      <c r="G212" s="149"/>
      <c r="H212" s="268"/>
      <c r="I212" s="355"/>
    </row>
    <row r="213" spans="1:11" ht="12.75" customHeight="1">
      <c r="A213" s="22"/>
      <c r="B213" s="21"/>
      <c r="C213" s="289"/>
      <c r="D213" s="22" t="s">
        <v>83</v>
      </c>
      <c r="E213" s="71"/>
      <c r="F213" s="348">
        <f>SUM(F214:F215)</f>
        <v>4776.95</v>
      </c>
      <c r="G213" s="348">
        <f>SUM(G214:G215)</f>
        <v>0</v>
      </c>
      <c r="H213" s="240">
        <f>SUM(F213+G213)</f>
        <v>4776.95</v>
      </c>
      <c r="I213" s="332">
        <v>4722.49</v>
      </c>
      <c r="K213" s="1">
        <v>7128853</v>
      </c>
    </row>
    <row r="214" spans="1:9" ht="12.75" customHeight="1">
      <c r="A214" s="22"/>
      <c r="B214" s="21"/>
      <c r="C214" s="289"/>
      <c r="D214" s="22" t="s">
        <v>84</v>
      </c>
      <c r="E214" s="71"/>
      <c r="F214" s="184">
        <v>909.68</v>
      </c>
      <c r="G214" s="184">
        <v>0</v>
      </c>
      <c r="H214" s="268"/>
      <c r="I214" s="355"/>
    </row>
    <row r="215" spans="1:9" ht="12.75" customHeight="1">
      <c r="A215" s="22"/>
      <c r="B215" s="21"/>
      <c r="C215" s="289"/>
      <c r="D215" s="22" t="s">
        <v>201</v>
      </c>
      <c r="E215" s="71"/>
      <c r="F215" s="368">
        <v>3867.27</v>
      </c>
      <c r="G215" s="368">
        <v>0</v>
      </c>
      <c r="H215" s="268"/>
      <c r="I215" s="355"/>
    </row>
    <row r="216" spans="1:11" ht="12.75" customHeight="1">
      <c r="A216" s="22"/>
      <c r="B216" s="21"/>
      <c r="C216" s="278" t="s">
        <v>279</v>
      </c>
      <c r="D216" s="22"/>
      <c r="E216" s="71"/>
      <c r="F216" s="348">
        <f>SUM(F217:F224)</f>
        <v>16232.369999999999</v>
      </c>
      <c r="G216" s="348">
        <f>SUM(G217:G224)</f>
        <v>205904.46000000002</v>
      </c>
      <c r="H216" s="240">
        <f>SUM(F216+G216)</f>
        <v>222136.83000000002</v>
      </c>
      <c r="I216" s="332">
        <v>358776.81</v>
      </c>
      <c r="K216" s="1">
        <v>131002196</v>
      </c>
    </row>
    <row r="217" spans="1:9" ht="12.75" customHeight="1">
      <c r="A217" s="22"/>
      <c r="B217" s="21"/>
      <c r="C217" s="289"/>
      <c r="D217" s="22" t="s">
        <v>185</v>
      </c>
      <c r="E217" s="71"/>
      <c r="F217" s="184">
        <v>0</v>
      </c>
      <c r="G217" s="184">
        <f>6469.63+2050+34336+60900.07+7235.22+14100-825.23</f>
        <v>124265.69000000002</v>
      </c>
      <c r="H217" s="268"/>
      <c r="I217" s="355"/>
    </row>
    <row r="218" spans="1:9" ht="12.75" customHeight="1">
      <c r="A218" s="22"/>
      <c r="B218" s="21"/>
      <c r="C218" s="289"/>
      <c r="D218" s="22" t="s">
        <v>302</v>
      </c>
      <c r="E218" s="71"/>
      <c r="F218" s="184">
        <f>71+498.97</f>
        <v>569.97</v>
      </c>
      <c r="G218" s="184">
        <v>0</v>
      </c>
      <c r="H218" s="268"/>
      <c r="I218" s="355"/>
    </row>
    <row r="219" spans="1:9" ht="12.75" customHeight="1">
      <c r="A219" s="22"/>
      <c r="B219" s="21"/>
      <c r="C219" s="289"/>
      <c r="D219" s="22" t="s">
        <v>211</v>
      </c>
      <c r="E219" s="71"/>
      <c r="F219" s="184">
        <f>1537.9+2626</f>
        <v>4163.9</v>
      </c>
      <c r="G219" s="184">
        <v>0</v>
      </c>
      <c r="H219" s="268"/>
      <c r="I219" s="355"/>
    </row>
    <row r="220" spans="1:9" ht="12.75" customHeight="1">
      <c r="A220" s="22"/>
      <c r="B220" s="21"/>
      <c r="C220" s="289"/>
      <c r="D220" s="22" t="s">
        <v>212</v>
      </c>
      <c r="E220" s="71"/>
      <c r="F220" s="184">
        <v>762.5</v>
      </c>
      <c r="G220" s="184">
        <v>0</v>
      </c>
      <c r="H220" s="268"/>
      <c r="I220" s="355"/>
    </row>
    <row r="221" spans="1:9" ht="12.75" customHeight="1">
      <c r="A221" s="22"/>
      <c r="B221" s="21"/>
      <c r="C221" s="289"/>
      <c r="D221" s="22" t="s">
        <v>213</v>
      </c>
      <c r="E221" s="71"/>
      <c r="F221" s="184">
        <v>0</v>
      </c>
      <c r="G221" s="184">
        <v>0</v>
      </c>
      <c r="H221" s="268"/>
      <c r="I221" s="355"/>
    </row>
    <row r="222" spans="1:9" ht="12.75" customHeight="1">
      <c r="A222" s="22"/>
      <c r="B222" s="21"/>
      <c r="C222" s="289"/>
      <c r="D222" s="22" t="s">
        <v>306</v>
      </c>
      <c r="E222" s="71"/>
      <c r="F222" s="184">
        <v>0</v>
      </c>
      <c r="G222" s="184">
        <v>81214.77</v>
      </c>
      <c r="H222" s="268"/>
      <c r="I222" s="355"/>
    </row>
    <row r="223" spans="1:9" ht="12.75" customHeight="1">
      <c r="A223" s="22"/>
      <c r="B223" s="21"/>
      <c r="C223" s="289"/>
      <c r="D223" s="22" t="s">
        <v>308</v>
      </c>
      <c r="E223" s="71"/>
      <c r="F223" s="184">
        <v>0</v>
      </c>
      <c r="G223" s="184">
        <v>424</v>
      </c>
      <c r="H223" s="268"/>
      <c r="I223" s="355"/>
    </row>
    <row r="224" spans="1:9" ht="12.75" customHeight="1">
      <c r="A224" s="22"/>
      <c r="B224" s="21"/>
      <c r="C224" s="278" t="s">
        <v>4</v>
      </c>
      <c r="D224" s="22" t="s">
        <v>85</v>
      </c>
      <c r="E224" s="71"/>
      <c r="F224" s="369">
        <v>10736</v>
      </c>
      <c r="G224" s="184">
        <v>0</v>
      </c>
      <c r="H224" s="346"/>
      <c r="I224" s="374"/>
    </row>
    <row r="225" spans="1:9" ht="12.75" customHeight="1">
      <c r="A225" s="22"/>
      <c r="B225" s="21"/>
      <c r="C225" s="22"/>
      <c r="D225"/>
      <c r="E225" s="23"/>
      <c r="F225" s="191"/>
      <c r="G225" s="149"/>
      <c r="H225" s="268"/>
      <c r="I225" s="355"/>
    </row>
    <row r="226" spans="1:13" s="10" customFormat="1" ht="12.75" customHeight="1" thickBot="1">
      <c r="A226" s="64"/>
      <c r="B226" s="40"/>
      <c r="C226" s="27"/>
      <c r="D226" s="27"/>
      <c r="E226" s="69"/>
      <c r="F226" s="184"/>
      <c r="G226" s="149"/>
      <c r="H226" s="323">
        <f>SUM(H188:H224)</f>
        <v>4479166.38</v>
      </c>
      <c r="I226" s="334">
        <v>4900420.29</v>
      </c>
      <c r="K226" s="10">
        <v>3094389914</v>
      </c>
      <c r="M226" s="128"/>
    </row>
    <row r="227" spans="1:9" ht="12.75" customHeight="1" thickTop="1">
      <c r="A227" s="22"/>
      <c r="B227" s="21"/>
      <c r="C227" s="22"/>
      <c r="D227" s="22"/>
      <c r="E227" s="23"/>
      <c r="F227" s="191"/>
      <c r="G227" s="149"/>
      <c r="H227" s="132"/>
      <c r="I227" s="106"/>
    </row>
    <row r="228" spans="1:13" s="8" customFormat="1" ht="12.75" customHeight="1">
      <c r="A228" s="25"/>
      <c r="B228" s="307" t="s">
        <v>86</v>
      </c>
      <c r="C228" s="25"/>
      <c r="D228" s="25"/>
      <c r="E228" s="25"/>
      <c r="F228" s="181"/>
      <c r="G228" s="149"/>
      <c r="H228" s="138"/>
      <c r="I228" s="107"/>
      <c r="M228" s="122"/>
    </row>
    <row r="229" spans="1:13" s="8" customFormat="1" ht="17.25" customHeight="1">
      <c r="A229" s="25"/>
      <c r="B229" s="24"/>
      <c r="C229" s="47" t="s">
        <v>87</v>
      </c>
      <c r="D229" s="25"/>
      <c r="E229" s="25"/>
      <c r="F229" s="181"/>
      <c r="G229" s="149"/>
      <c r="H229" s="345">
        <f>F230+F231</f>
        <v>2438634.98</v>
      </c>
      <c r="I229" s="372">
        <v>2249792.43</v>
      </c>
      <c r="K229" s="8">
        <v>3274454255</v>
      </c>
      <c r="M229" s="122"/>
    </row>
    <row r="230" spans="1:13" s="10" customFormat="1" ht="12.75" customHeight="1">
      <c r="A230" s="27"/>
      <c r="B230" s="26"/>
      <c r="C230" s="278" t="s">
        <v>88</v>
      </c>
      <c r="D230" s="27"/>
      <c r="E230" s="27"/>
      <c r="F230" s="370">
        <v>780136.61</v>
      </c>
      <c r="G230" s="184"/>
      <c r="H230" s="188"/>
      <c r="I230" s="156"/>
      <c r="M230" s="128"/>
    </row>
    <row r="231" spans="1:13" s="10" customFormat="1" ht="12.75" customHeight="1">
      <c r="A231" s="27"/>
      <c r="B231" s="26"/>
      <c r="C231" s="278" t="s">
        <v>89</v>
      </c>
      <c r="D231" s="27"/>
      <c r="E231" s="27"/>
      <c r="F231" s="371">
        <v>1658498.37</v>
      </c>
      <c r="G231" s="197"/>
      <c r="H231" s="188"/>
      <c r="I231" s="156"/>
      <c r="M231" s="128"/>
    </row>
    <row r="232" spans="1:13" s="10" customFormat="1" ht="12.75" customHeight="1" thickBot="1">
      <c r="A232" s="27"/>
      <c r="B232" s="26"/>
      <c r="C232" s="27"/>
      <c r="D232" s="27"/>
      <c r="E232" s="27"/>
      <c r="F232" s="226"/>
      <c r="G232" s="195"/>
      <c r="H232" s="199"/>
      <c r="I232" s="116"/>
      <c r="M232" s="128"/>
    </row>
    <row r="233" spans="1:12" ht="12.75" customHeight="1" thickTop="1">
      <c r="A233" s="22"/>
      <c r="B233" s="21"/>
      <c r="C233" s="22"/>
      <c r="D233" s="22"/>
      <c r="F233" s="160"/>
      <c r="G233" s="160"/>
      <c r="H233" s="200"/>
      <c r="I233" s="111"/>
      <c r="J233" s="2"/>
      <c r="K233" s="2"/>
      <c r="L233" s="1" t="s">
        <v>248</v>
      </c>
    </row>
    <row r="234" spans="1:13" s="80" customFormat="1" ht="18" customHeight="1" thickBot="1">
      <c r="A234" s="22"/>
      <c r="B234" s="79"/>
      <c r="C234" s="386" t="s">
        <v>90</v>
      </c>
      <c r="D234" s="78"/>
      <c r="E234"/>
      <c r="F234" s="201"/>
      <c r="G234" s="160"/>
      <c r="H234" s="375">
        <f>H161+H178+H184+H186+H229</f>
        <v>10348835.190000001</v>
      </c>
      <c r="I234" s="376">
        <v>10354840.65</v>
      </c>
      <c r="J234" s="83"/>
      <c r="K234" s="202">
        <v>9961081920</v>
      </c>
      <c r="L234" s="202">
        <f>H150</f>
        <v>10348835.19</v>
      </c>
      <c r="M234" s="83"/>
    </row>
    <row r="235" spans="1:13" s="80" customFormat="1" ht="12.75" customHeight="1" thickTop="1">
      <c r="A235" s="22"/>
      <c r="B235" s="79"/>
      <c r="C235" s="82"/>
      <c r="D235" s="78"/>
      <c r="E235"/>
      <c r="F235" s="201"/>
      <c r="G235" s="160"/>
      <c r="H235" s="193"/>
      <c r="I235" s="229"/>
      <c r="J235" s="83"/>
      <c r="K235" s="202"/>
      <c r="L235" s="202"/>
      <c r="M235" s="83"/>
    </row>
    <row r="236" spans="1:13" s="80" customFormat="1" ht="12.75" customHeight="1">
      <c r="A236" s="22"/>
      <c r="B236" s="79"/>
      <c r="C236" s="314" t="s">
        <v>250</v>
      </c>
      <c r="D236" s="78"/>
      <c r="E236"/>
      <c r="F236" s="201"/>
      <c r="G236" s="160"/>
      <c r="H236" s="193"/>
      <c r="I236" s="230"/>
      <c r="J236" s="83"/>
      <c r="K236" s="202"/>
      <c r="L236" s="202"/>
      <c r="M236" s="83"/>
    </row>
    <row r="237" spans="1:13" s="80" customFormat="1" ht="12.75" customHeight="1">
      <c r="A237" s="22"/>
      <c r="B237" s="79"/>
      <c r="C237" s="82"/>
      <c r="D237" s="278" t="s">
        <v>252</v>
      </c>
      <c r="E237" s="227"/>
      <c r="F237" s="228"/>
      <c r="G237" s="197"/>
      <c r="H237" s="240">
        <v>0</v>
      </c>
      <c r="I237" s="377">
        <v>0</v>
      </c>
      <c r="J237" s="83"/>
      <c r="K237" s="202"/>
      <c r="L237" s="202"/>
      <c r="M237" s="83"/>
    </row>
    <row r="238" spans="1:13" s="80" customFormat="1" ht="12.75" customHeight="1">
      <c r="A238" s="22"/>
      <c r="B238" s="79"/>
      <c r="C238" s="82"/>
      <c r="D238" s="278" t="s">
        <v>253</v>
      </c>
      <c r="E238" s="227"/>
      <c r="F238" s="228"/>
      <c r="G238" s="197"/>
      <c r="H238" s="240">
        <v>2913333.37</v>
      </c>
      <c r="I238" s="378">
        <v>2913333.37</v>
      </c>
      <c r="J238" s="83"/>
      <c r="K238" s="202"/>
      <c r="L238" s="202"/>
      <c r="M238" s="83"/>
    </row>
    <row r="239" spans="1:12" ht="12.75" customHeight="1">
      <c r="A239" s="22"/>
      <c r="B239" s="21"/>
      <c r="C239" s="22"/>
      <c r="D239" s="278" t="s">
        <v>254</v>
      </c>
      <c r="G239" s="42"/>
      <c r="H239" s="241">
        <v>0</v>
      </c>
      <c r="I239" s="377">
        <v>0</v>
      </c>
      <c r="J239" s="2"/>
      <c r="K239" s="2"/>
      <c r="L239" s="166"/>
    </row>
    <row r="240" spans="1:11" ht="16.5" customHeight="1">
      <c r="A240" s="22"/>
      <c r="B240" s="21"/>
      <c r="C240" s="22"/>
      <c r="D240" s="22"/>
      <c r="G240" s="225"/>
      <c r="H240" s="231"/>
      <c r="I240" s="230"/>
      <c r="J240" s="2"/>
      <c r="K240" s="2"/>
    </row>
    <row r="241" spans="1:12" ht="19.5" customHeight="1" thickBot="1">
      <c r="A241" s="22"/>
      <c r="B241" s="246"/>
      <c r="C241" s="315" t="s">
        <v>251</v>
      </c>
      <c r="D241" s="247"/>
      <c r="E241" s="50"/>
      <c r="F241" s="251"/>
      <c r="G241" s="252"/>
      <c r="H241" s="375">
        <f>SUM(H234:H238)</f>
        <v>13262168.560000002</v>
      </c>
      <c r="I241" s="379">
        <f>SUM(I234:I238)</f>
        <v>13268174.02</v>
      </c>
      <c r="J241" s="2"/>
      <c r="K241" s="2"/>
      <c r="L241" s="236">
        <f>H234-H150</f>
        <v>0</v>
      </c>
    </row>
    <row r="242" spans="1:7" ht="12.75" customHeight="1" thickTop="1">
      <c r="A242" s="22"/>
      <c r="B242" s="254"/>
      <c r="C242" s="22"/>
      <c r="D242" s="22"/>
      <c r="F242" s="42"/>
      <c r="G242" s="42"/>
    </row>
    <row r="243" spans="1:9" ht="21.75" customHeight="1">
      <c r="A243" s="22"/>
      <c r="B243" s="253"/>
      <c r="C243" s="254"/>
      <c r="D243" s="254"/>
      <c r="E243" s="255"/>
      <c r="F243" s="387" t="s">
        <v>91</v>
      </c>
      <c r="G243" s="256"/>
      <c r="H243" s="257"/>
      <c r="I243" s="258"/>
    </row>
    <row r="244" spans="1:9" ht="12.75" customHeight="1">
      <c r="A244" s="22"/>
      <c r="B244" s="21"/>
      <c r="C244" s="22"/>
      <c r="D244" s="22"/>
      <c r="E244" s="43"/>
      <c r="F244" s="42"/>
      <c r="G244" s="42"/>
      <c r="I244" s="259"/>
    </row>
    <row r="245" spans="1:9" ht="12.75" customHeight="1">
      <c r="A245" s="22"/>
      <c r="B245" s="21"/>
      <c r="C245" s="22"/>
      <c r="D245" s="22"/>
      <c r="F245" s="42"/>
      <c r="G245" s="42"/>
      <c r="H245" s="81"/>
      <c r="I245" s="249"/>
    </row>
    <row r="246" spans="1:9" ht="14.25" customHeight="1">
      <c r="A246" s="22"/>
      <c r="B246" s="246"/>
      <c r="C246" s="22"/>
      <c r="D246" s="22"/>
      <c r="F246" s="421">
        <v>2008</v>
      </c>
      <c r="G246" s="422"/>
      <c r="H246" s="421">
        <v>2007</v>
      </c>
      <c r="I246" s="422"/>
    </row>
    <row r="247" spans="1:9" ht="15" customHeight="1">
      <c r="A247" s="22"/>
      <c r="B247" s="44"/>
      <c r="C247" s="45"/>
      <c r="D247" s="45"/>
      <c r="E247" s="361" t="s">
        <v>92</v>
      </c>
      <c r="F247" s="304" t="s">
        <v>93</v>
      </c>
      <c r="G247" s="304" t="s">
        <v>94</v>
      </c>
      <c r="H247" s="304" t="s">
        <v>93</v>
      </c>
      <c r="I247" s="304" t="s">
        <v>94</v>
      </c>
    </row>
    <row r="248" spans="1:9" ht="12.75" customHeight="1">
      <c r="A248" s="22"/>
      <c r="B248" s="21"/>
      <c r="C248" s="22"/>
      <c r="D248" s="22"/>
      <c r="E248" s="18" t="s">
        <v>4</v>
      </c>
      <c r="F248" s="41"/>
      <c r="G248" s="41"/>
      <c r="H248" s="114"/>
      <c r="I248" s="114"/>
    </row>
    <row r="249" spans="1:11" ht="16.5" customHeight="1">
      <c r="A249" s="22"/>
      <c r="B249" s="277" t="s">
        <v>95</v>
      </c>
      <c r="C249" s="22"/>
      <c r="D249" s="22"/>
      <c r="F249" s="129"/>
      <c r="G249" s="263">
        <f>F251+F265+F269+F271+F274</f>
        <v>8128053.040000001</v>
      </c>
      <c r="H249" s="155"/>
      <c r="I249" s="267">
        <f>H251+H265+H269+H271+H274</f>
        <v>7896317.699999999</v>
      </c>
      <c r="K249" s="161"/>
    </row>
    <row r="250" spans="1:11" ht="16.5" customHeight="1">
      <c r="A250" s="22"/>
      <c r="B250" s="277"/>
      <c r="C250" s="22"/>
      <c r="D250" s="22"/>
      <c r="F250" s="129"/>
      <c r="G250" s="263"/>
      <c r="H250" s="155"/>
      <c r="I250" s="267"/>
      <c r="K250" s="161"/>
    </row>
    <row r="251" spans="1:9" ht="12.75" customHeight="1">
      <c r="A251" s="22"/>
      <c r="B251" s="21"/>
      <c r="C251" s="278" t="s">
        <v>181</v>
      </c>
      <c r="D251" s="22"/>
      <c r="F251" s="262">
        <f>SUM(F252:F262)</f>
        <v>4110577.0700000003</v>
      </c>
      <c r="G251" s="130"/>
      <c r="H251" s="400">
        <f>SUM(H252:H262)</f>
        <v>3832280.3</v>
      </c>
      <c r="I251" s="156"/>
    </row>
    <row r="252" spans="1:12" ht="12.75" customHeight="1">
      <c r="A252" s="22"/>
      <c r="B252" s="21"/>
      <c r="C252" s="22"/>
      <c r="D252" t="s">
        <v>113</v>
      </c>
      <c r="E252" s="272" t="s">
        <v>284</v>
      </c>
      <c r="F252" s="261">
        <f>1671981.06+150902.55</f>
        <v>1822883.61</v>
      </c>
      <c r="G252" s="131"/>
      <c r="H252" s="266">
        <f>1570716.18+124243.08+22000-22000</f>
        <v>1694959.26</v>
      </c>
      <c r="I252" s="156"/>
      <c r="L252" s="166"/>
    </row>
    <row r="253" spans="1:12" ht="12.75" customHeight="1">
      <c r="A253" s="22"/>
      <c r="B253" s="21"/>
      <c r="C253" s="22"/>
      <c r="D253" t="s">
        <v>113</v>
      </c>
      <c r="E253" s="272" t="s">
        <v>285</v>
      </c>
      <c r="F253" s="261">
        <f>740765.27+139380+41300+161.5</f>
        <v>921606.77</v>
      </c>
      <c r="G253" s="131"/>
      <c r="H253" s="266">
        <f>682489.79+29322.3+16820+34626.98+105</f>
        <v>763364.0700000001</v>
      </c>
      <c r="I253" s="156"/>
      <c r="L253" s="166"/>
    </row>
    <row r="254" spans="1:12" ht="12.75" customHeight="1">
      <c r="A254" s="22"/>
      <c r="B254" s="21"/>
      <c r="C254" s="22"/>
      <c r="D254" t="s">
        <v>113</v>
      </c>
      <c r="E254" s="272" t="s">
        <v>305</v>
      </c>
      <c r="F254" s="261">
        <v>93615.43</v>
      </c>
      <c r="G254" s="131"/>
      <c r="H254" s="266">
        <v>57020.5</v>
      </c>
      <c r="I254" s="156"/>
      <c r="L254" s="166"/>
    </row>
    <row r="255" spans="1:12" ht="12.75" customHeight="1">
      <c r="A255" s="22"/>
      <c r="B255" s="21"/>
      <c r="C255" s="22"/>
      <c r="D255" t="s">
        <v>113</v>
      </c>
      <c r="E255" s="272" t="s">
        <v>303</v>
      </c>
      <c r="F255" s="261">
        <f>160298.97+183159.51+93302.75</f>
        <v>436761.23</v>
      </c>
      <c r="G255" s="131"/>
      <c r="H255" s="266">
        <f>156295.52+203004.94+104460.69+10588-45688-10588</f>
        <v>418073.14999999997</v>
      </c>
      <c r="I255" s="156"/>
      <c r="L255" s="166"/>
    </row>
    <row r="256" spans="1:12" ht="12.75" customHeight="1">
      <c r="A256" s="22"/>
      <c r="B256" s="21"/>
      <c r="C256" s="22"/>
      <c r="D256" t="s">
        <v>113</v>
      </c>
      <c r="E256" s="272" t="s">
        <v>206</v>
      </c>
      <c r="F256" s="261">
        <f>4009.92+56745.26</f>
        <v>60755.18</v>
      </c>
      <c r="G256" s="131"/>
      <c r="H256" s="266">
        <f>8011.85+59280.23</f>
        <v>67292.08</v>
      </c>
      <c r="I256" s="156"/>
      <c r="L256" s="166"/>
    </row>
    <row r="257" spans="1:12" ht="12.75" customHeight="1">
      <c r="A257" s="22"/>
      <c r="B257" s="21"/>
      <c r="C257" s="22"/>
      <c r="D257" t="s">
        <v>113</v>
      </c>
      <c r="E257" s="272" t="s">
        <v>327</v>
      </c>
      <c r="F257" s="261">
        <f>105331.52+61563.67+34754.85-78000</f>
        <v>123650.04000000001</v>
      </c>
      <c r="G257" s="131"/>
      <c r="H257" s="266">
        <f>88916.67+33498.19+39918.89+35511.89-77916.67</f>
        <v>119928.97000000002</v>
      </c>
      <c r="I257" s="156"/>
      <c r="L257" s="166"/>
    </row>
    <row r="258" spans="1:12" ht="12.75" customHeight="1">
      <c r="A258" s="22"/>
      <c r="B258" s="21"/>
      <c r="C258" s="22"/>
      <c r="D258" t="s">
        <v>113</v>
      </c>
      <c r="E258" s="272" t="s">
        <v>214</v>
      </c>
      <c r="F258" s="261">
        <v>14517.38</v>
      </c>
      <c r="G258" s="131"/>
      <c r="H258" s="266">
        <f>40000+13438.88-40000</f>
        <v>13438.879999999997</v>
      </c>
      <c r="I258" s="156"/>
      <c r="L258" s="166"/>
    </row>
    <row r="259" spans="1:12" ht="12.75" customHeight="1">
      <c r="A259" s="22"/>
      <c r="B259" s="21"/>
      <c r="C259" s="22"/>
      <c r="D259" s="22" t="s">
        <v>113</v>
      </c>
      <c r="E259" s="272" t="s">
        <v>310</v>
      </c>
      <c r="F259" s="261">
        <f>145200.21+10573.14+159853.33</f>
        <v>315626.67999999993</v>
      </c>
      <c r="G259" s="131"/>
      <c r="H259" s="266">
        <f>115062.6+6746.33+133328.33+32588</f>
        <v>287725.26</v>
      </c>
      <c r="I259" s="156"/>
      <c r="L259" s="166"/>
    </row>
    <row r="260" spans="1:12" ht="12.75" customHeight="1">
      <c r="A260" s="22"/>
      <c r="B260" s="21"/>
      <c r="C260" s="22"/>
      <c r="D260" s="22" t="s">
        <v>113</v>
      </c>
      <c r="E260" s="272" t="s">
        <v>336</v>
      </c>
      <c r="F260" s="261">
        <v>58333.33</v>
      </c>
      <c r="G260" s="131"/>
      <c r="H260" s="266">
        <v>180833.33</v>
      </c>
      <c r="I260" s="156"/>
      <c r="L260" s="166"/>
    </row>
    <row r="261" spans="1:12" ht="12.75" customHeight="1">
      <c r="A261" s="22"/>
      <c r="B261" s="21"/>
      <c r="C261" s="22"/>
      <c r="D261" s="22" t="s">
        <v>113</v>
      </c>
      <c r="E261" s="272" t="s">
        <v>337</v>
      </c>
      <c r="F261" s="261">
        <v>33003.8</v>
      </c>
      <c r="G261" s="131"/>
      <c r="H261" s="266">
        <v>0</v>
      </c>
      <c r="I261" s="156"/>
      <c r="L261" s="166"/>
    </row>
    <row r="262" spans="1:12" ht="12.75" customHeight="1">
      <c r="A262" s="22"/>
      <c r="B262" s="21"/>
      <c r="C262" s="22"/>
      <c r="D262" t="s">
        <v>113</v>
      </c>
      <c r="E262" s="272" t="s">
        <v>215</v>
      </c>
      <c r="F262" s="260">
        <v>229823.62</v>
      </c>
      <c r="G262" s="131"/>
      <c r="H262" s="390">
        <v>229644.8</v>
      </c>
      <c r="I262" s="156"/>
      <c r="L262" s="166"/>
    </row>
    <row r="263" spans="1:12" ht="12.75" customHeight="1">
      <c r="A263" s="22"/>
      <c r="B263" s="21"/>
      <c r="C263" s="22"/>
      <c r="D263"/>
      <c r="E263" s="272"/>
      <c r="F263" s="260"/>
      <c r="G263" s="131"/>
      <c r="H263" s="266"/>
      <c r="I263" s="156"/>
      <c r="L263" s="166"/>
    </row>
    <row r="264" spans="1:12" ht="12.75" customHeight="1">
      <c r="A264" s="22"/>
      <c r="B264" s="21"/>
      <c r="C264" s="278" t="s">
        <v>180</v>
      </c>
      <c r="D264" s="22"/>
      <c r="F264" s="132"/>
      <c r="G264" s="130"/>
      <c r="H264" s="157"/>
      <c r="I264" s="156"/>
      <c r="L264" s="166"/>
    </row>
    <row r="265" spans="1:12" ht="12.75" customHeight="1">
      <c r="A265" s="22"/>
      <c r="B265" s="21"/>
      <c r="C265" s="22"/>
      <c r="D265" s="22" t="s">
        <v>96</v>
      </c>
      <c r="F265" s="262">
        <f>SUM(F266:F267)</f>
        <v>831.5600000000004</v>
      </c>
      <c r="G265" s="130"/>
      <c r="H265" s="265">
        <f>SUM(H266:H267)</f>
        <v>-1202.2199999999984</v>
      </c>
      <c r="I265" s="156"/>
      <c r="L265" s="166"/>
    </row>
    <row r="266" spans="1:12" ht="12.75" customHeight="1">
      <c r="A266" s="22"/>
      <c r="B266" s="21"/>
      <c r="C266" s="22"/>
      <c r="D266" t="s">
        <v>113</v>
      </c>
      <c r="E266" s="18" t="s">
        <v>182</v>
      </c>
      <c r="F266" s="270">
        <f>15877.32-14880.81</f>
        <v>996.5100000000002</v>
      </c>
      <c r="G266" s="133"/>
      <c r="H266" s="391">
        <f>14880.81-17283.26</f>
        <v>-2402.449999999999</v>
      </c>
      <c r="I266" s="156"/>
      <c r="L266" s="166"/>
    </row>
    <row r="267" spans="1:9" ht="12.75" customHeight="1">
      <c r="A267" s="22"/>
      <c r="B267" s="21"/>
      <c r="C267" s="22"/>
      <c r="D267" t="s">
        <v>113</v>
      </c>
      <c r="E267" s="18" t="s">
        <v>205</v>
      </c>
      <c r="F267" s="271">
        <f>6396.39-6561.34</f>
        <v>-164.94999999999982</v>
      </c>
      <c r="G267" s="131"/>
      <c r="H267" s="392">
        <f>6561.34-5361.11</f>
        <v>1200.2300000000005</v>
      </c>
      <c r="I267" s="156"/>
    </row>
    <row r="268" spans="1:9" ht="12.75" customHeight="1">
      <c r="A268" s="22"/>
      <c r="B268" s="21"/>
      <c r="C268" s="22"/>
      <c r="D268"/>
      <c r="F268" s="271"/>
      <c r="G268" s="131"/>
      <c r="H268" s="269"/>
      <c r="I268" s="156"/>
    </row>
    <row r="269" spans="1:9" ht="12.75" customHeight="1">
      <c r="A269" s="22"/>
      <c r="B269" s="21"/>
      <c r="C269" s="278" t="s">
        <v>179</v>
      </c>
      <c r="D269" s="22"/>
      <c r="F269" s="134"/>
      <c r="G269" s="130"/>
      <c r="H269" s="117"/>
      <c r="I269" s="109"/>
    </row>
    <row r="270" spans="1:9" ht="12.75" customHeight="1">
      <c r="A270" s="22"/>
      <c r="B270" s="21"/>
      <c r="C270" s="278"/>
      <c r="D270" s="22"/>
      <c r="F270" s="135"/>
      <c r="G270" s="130"/>
      <c r="H270" s="118"/>
      <c r="I270" s="109"/>
    </row>
    <row r="271" spans="1:9" ht="12.75" customHeight="1">
      <c r="A271" s="22"/>
      <c r="B271" s="21"/>
      <c r="C271" s="278" t="s">
        <v>97</v>
      </c>
      <c r="D271" s="22"/>
      <c r="F271" s="135"/>
      <c r="G271" s="130"/>
      <c r="H271" s="118"/>
      <c r="I271" s="109"/>
    </row>
    <row r="272" spans="1:9" ht="12.75" customHeight="1">
      <c r="A272" s="22"/>
      <c r="B272" s="21"/>
      <c r="C272" s="278"/>
      <c r="D272" s="22"/>
      <c r="F272" s="130"/>
      <c r="G272" s="130"/>
      <c r="H272" s="109"/>
      <c r="I272" s="109"/>
    </row>
    <row r="273" spans="1:9" ht="12.75" customHeight="1">
      <c r="A273" s="22"/>
      <c r="B273" s="21"/>
      <c r="C273" s="278" t="s">
        <v>98</v>
      </c>
      <c r="D273" s="22"/>
      <c r="F273" s="136" t="s">
        <v>4</v>
      </c>
      <c r="G273" s="132"/>
      <c r="H273" s="119" t="s">
        <v>4</v>
      </c>
      <c r="I273" s="106"/>
    </row>
    <row r="274" spans="1:12" ht="12.75" customHeight="1">
      <c r="A274" s="22"/>
      <c r="B274" s="21"/>
      <c r="C274" s="22"/>
      <c r="D274" s="22" t="s">
        <v>99</v>
      </c>
      <c r="F274" s="275">
        <f>F275+F280+F285+F286+F287+F291+F294+F298+F300+F304+F306+F310+F311+F312+F313</f>
        <v>4016644.4100000006</v>
      </c>
      <c r="G274" s="132"/>
      <c r="H274" s="276">
        <f>SUM(H275+H280+H285+H286+H287+H291+H294+H298+H300+H306+H310+H311+H312+H313)</f>
        <v>4065239.62</v>
      </c>
      <c r="I274" s="157"/>
      <c r="L274" s="234"/>
    </row>
    <row r="275" spans="1:9" ht="12.75" customHeight="1">
      <c r="A275" s="22"/>
      <c r="B275" s="21"/>
      <c r="C275" s="22"/>
      <c r="D275" t="s">
        <v>113</v>
      </c>
      <c r="E275" s="272" t="s">
        <v>318</v>
      </c>
      <c r="F275" s="279">
        <f>F276</f>
        <v>1928409.94</v>
      </c>
      <c r="G275" s="131"/>
      <c r="H275" s="393">
        <f>H276</f>
        <v>1860502.55</v>
      </c>
      <c r="I275" s="159"/>
    </row>
    <row r="276" spans="1:9" ht="12.75" customHeight="1">
      <c r="A276" s="22"/>
      <c r="B276" s="21"/>
      <c r="C276" s="22"/>
      <c r="D276" s="232" t="s">
        <v>286</v>
      </c>
      <c r="E276" s="232"/>
      <c r="F276" s="401">
        <f>SUM(F277:F279)</f>
        <v>1928409.94</v>
      </c>
      <c r="G276" s="233"/>
      <c r="H276" s="410">
        <f>SUM(H277:H279)</f>
        <v>1860502.55</v>
      </c>
      <c r="I276" s="159"/>
    </row>
    <row r="277" spans="1:9" ht="12.75" customHeight="1">
      <c r="A277" s="22"/>
      <c r="B277" s="21"/>
      <c r="C277" s="22"/>
      <c r="D277" s="29" t="s">
        <v>312</v>
      </c>
      <c r="E277" s="232"/>
      <c r="F277" s="402">
        <v>1802715.64</v>
      </c>
      <c r="G277" s="233"/>
      <c r="H277" s="411">
        <v>1726044.06</v>
      </c>
      <c r="I277" s="159"/>
    </row>
    <row r="278" spans="1:9" ht="12.75" customHeight="1">
      <c r="A278" s="22"/>
      <c r="B278" s="21"/>
      <c r="C278" s="22"/>
      <c r="D278" s="29" t="s">
        <v>313</v>
      </c>
      <c r="E278" s="232"/>
      <c r="F278" s="402">
        <v>48538.19</v>
      </c>
      <c r="G278" s="233"/>
      <c r="H278" s="411">
        <v>67047.49</v>
      </c>
      <c r="I278" s="159"/>
    </row>
    <row r="279" spans="1:9" ht="12.75" customHeight="1">
      <c r="A279" s="22"/>
      <c r="B279" s="21"/>
      <c r="C279" s="22"/>
      <c r="D279" s="29" t="s">
        <v>314</v>
      </c>
      <c r="E279" s="232"/>
      <c r="F279" s="402">
        <v>77156.11</v>
      </c>
      <c r="G279" s="233"/>
      <c r="H279" s="411">
        <v>67411</v>
      </c>
      <c r="I279" s="159"/>
    </row>
    <row r="280" spans="1:9" ht="12.75" customHeight="1">
      <c r="A280" s="22"/>
      <c r="B280" s="21"/>
      <c r="C280" s="22"/>
      <c r="D280" t="s">
        <v>113</v>
      </c>
      <c r="E280" s="272" t="s">
        <v>319</v>
      </c>
      <c r="F280" s="279">
        <f>F281</f>
        <v>757182.33</v>
      </c>
      <c r="G280" s="131"/>
      <c r="H280" s="393">
        <f>H281</f>
        <v>739432.34</v>
      </c>
      <c r="I280" s="159"/>
    </row>
    <row r="281" spans="1:9" ht="12.75" customHeight="1">
      <c r="A281" s="22"/>
      <c r="B281" s="21"/>
      <c r="C281" s="22"/>
      <c r="D281" s="232"/>
      <c r="E281" s="232" t="s">
        <v>286</v>
      </c>
      <c r="F281" s="401">
        <f>SUM(F282:F284)</f>
        <v>757182.33</v>
      </c>
      <c r="G281" s="233"/>
      <c r="H281" s="410">
        <f>SUM(H282:H284)</f>
        <v>739432.34</v>
      </c>
      <c r="I281" s="159"/>
    </row>
    <row r="282" spans="1:9" ht="12.75" customHeight="1">
      <c r="A282" s="22"/>
      <c r="B282" s="21"/>
      <c r="C282" s="22"/>
      <c r="D282" s="29"/>
      <c r="E282" s="29" t="s">
        <v>312</v>
      </c>
      <c r="F282" s="402">
        <v>717626.64</v>
      </c>
      <c r="G282" s="233"/>
      <c r="H282" s="411">
        <v>706855.65</v>
      </c>
      <c r="I282" s="159"/>
    </row>
    <row r="283" spans="1:9" ht="12.75" customHeight="1">
      <c r="A283" s="22"/>
      <c r="B283" s="21"/>
      <c r="C283" s="22"/>
      <c r="D283" s="29"/>
      <c r="E283" s="29" t="s">
        <v>313</v>
      </c>
      <c r="F283" s="402">
        <v>30743.19</v>
      </c>
      <c r="G283" s="233"/>
      <c r="H283" s="411">
        <v>23764.19</v>
      </c>
      <c r="I283" s="159"/>
    </row>
    <row r="284" spans="1:9" ht="12.75" customHeight="1">
      <c r="A284" s="22"/>
      <c r="B284" s="21"/>
      <c r="C284" s="22"/>
      <c r="D284" s="29"/>
      <c r="E284" s="29" t="s">
        <v>314</v>
      </c>
      <c r="F284" s="402">
        <v>8812.5</v>
      </c>
      <c r="G284" s="233"/>
      <c r="H284" s="411">
        <v>8812.5</v>
      </c>
      <c r="I284" s="159"/>
    </row>
    <row r="285" spans="1:9" ht="12.75" customHeight="1">
      <c r="A285" s="22"/>
      <c r="B285" s="21"/>
      <c r="C285" s="22"/>
      <c r="D285" t="s">
        <v>113</v>
      </c>
      <c r="E285" s="272" t="s">
        <v>305</v>
      </c>
      <c r="F285" s="260">
        <v>1010.39</v>
      </c>
      <c r="G285" s="131"/>
      <c r="H285" s="390">
        <f>535.76+78.48</f>
        <v>614.24</v>
      </c>
      <c r="I285" s="159"/>
    </row>
    <row r="286" spans="1:9" ht="12.75" customHeight="1">
      <c r="A286" s="22"/>
      <c r="B286" s="21"/>
      <c r="C286" s="22"/>
      <c r="D286" t="s">
        <v>113</v>
      </c>
      <c r="E286" s="272" t="s">
        <v>205</v>
      </c>
      <c r="F286" s="260">
        <v>932.8</v>
      </c>
      <c r="G286" s="131"/>
      <c r="H286" s="390">
        <v>759.71</v>
      </c>
      <c r="I286" s="159"/>
    </row>
    <row r="287" spans="1:9" ht="12.75" customHeight="1">
      <c r="A287" s="22"/>
      <c r="B287" s="21"/>
      <c r="C287" s="22"/>
      <c r="D287" t="s">
        <v>113</v>
      </c>
      <c r="E287" s="272" t="s">
        <v>303</v>
      </c>
      <c r="F287" s="279">
        <f>F288</f>
        <v>111897.22</v>
      </c>
      <c r="G287" s="131"/>
      <c r="H287" s="393">
        <f>H288</f>
        <v>179717</v>
      </c>
      <c r="I287" s="159"/>
    </row>
    <row r="288" spans="1:9" ht="12.75" customHeight="1">
      <c r="A288" s="22"/>
      <c r="B288" s="21"/>
      <c r="C288" s="22"/>
      <c r="D288" s="232"/>
      <c r="E288" s="232" t="s">
        <v>286</v>
      </c>
      <c r="F288" s="401">
        <f>SUM(F289:F290)</f>
        <v>111897.22</v>
      </c>
      <c r="G288" s="233"/>
      <c r="H288" s="410">
        <f>SUM(H289:H290)</f>
        <v>179717</v>
      </c>
      <c r="I288" s="159"/>
    </row>
    <row r="289" spans="1:9" ht="12.75" customHeight="1">
      <c r="A289" s="22"/>
      <c r="B289" s="21"/>
      <c r="C289" s="22"/>
      <c r="D289" s="232"/>
      <c r="E289" s="29" t="s">
        <v>315</v>
      </c>
      <c r="F289" s="402">
        <f>81897.22+30000</f>
        <v>111897.22</v>
      </c>
      <c r="G289" s="233"/>
      <c r="H289" s="411">
        <f>146117-45688+45688</f>
        <v>146117</v>
      </c>
      <c r="I289" s="159"/>
    </row>
    <row r="290" spans="1:9" ht="12.75" customHeight="1">
      <c r="A290" s="22"/>
      <c r="B290" s="21"/>
      <c r="C290" s="22"/>
      <c r="D290" s="232"/>
      <c r="E290" s="29" t="s">
        <v>351</v>
      </c>
      <c r="F290" s="402">
        <v>0</v>
      </c>
      <c r="G290" s="233"/>
      <c r="H290" s="411">
        <v>33600</v>
      </c>
      <c r="I290" s="159"/>
    </row>
    <row r="291" spans="1:9" ht="12.75" customHeight="1">
      <c r="A291" s="22"/>
      <c r="B291" s="21"/>
      <c r="C291" s="22"/>
      <c r="D291" t="s">
        <v>113</v>
      </c>
      <c r="E291" s="272" t="s">
        <v>206</v>
      </c>
      <c r="F291" s="279">
        <f>F292</f>
        <v>81430.04</v>
      </c>
      <c r="G291" s="131"/>
      <c r="H291" s="393">
        <f>H292</f>
        <v>86798.85</v>
      </c>
      <c r="I291" s="159"/>
    </row>
    <row r="292" spans="1:9" ht="12.75" customHeight="1">
      <c r="A292" s="22"/>
      <c r="B292" s="21"/>
      <c r="C292" s="22"/>
      <c r="D292" s="232"/>
      <c r="E292" s="232" t="s">
        <v>286</v>
      </c>
      <c r="F292" s="401">
        <f>F293</f>
        <v>81430.04</v>
      </c>
      <c r="G292" s="233"/>
      <c r="H292" s="410">
        <f>H293</f>
        <v>86798.85</v>
      </c>
      <c r="I292" s="159"/>
    </row>
    <row r="293" spans="1:9" ht="12.75" customHeight="1">
      <c r="A293" s="22"/>
      <c r="B293" s="21"/>
      <c r="C293" s="22"/>
      <c r="D293" s="232"/>
      <c r="E293" s="29" t="s">
        <v>312</v>
      </c>
      <c r="F293" s="402">
        <v>81430.04</v>
      </c>
      <c r="G293" s="233"/>
      <c r="H293" s="411">
        <v>86798.85</v>
      </c>
      <c r="I293" s="159"/>
    </row>
    <row r="294" spans="1:9" ht="12.75" customHeight="1">
      <c r="A294" s="22"/>
      <c r="B294" s="21"/>
      <c r="C294" s="22"/>
      <c r="D294" t="s">
        <v>113</v>
      </c>
      <c r="E294" s="272" t="s">
        <v>304</v>
      </c>
      <c r="F294" s="279">
        <f>F295</f>
        <v>129650</v>
      </c>
      <c r="G294" s="131"/>
      <c r="H294" s="393">
        <f>H295</f>
        <v>129561.67</v>
      </c>
      <c r="I294" s="159"/>
    </row>
    <row r="295" spans="1:9" ht="12.75" customHeight="1">
      <c r="A295" s="22"/>
      <c r="B295" s="21"/>
      <c r="C295" s="22"/>
      <c r="D295" s="232"/>
      <c r="E295" s="232" t="s">
        <v>286</v>
      </c>
      <c r="F295" s="401">
        <f>SUM(F296:F297)</f>
        <v>129650</v>
      </c>
      <c r="G295" s="233"/>
      <c r="H295" s="410">
        <f>SUM(H296:H297)</f>
        <v>129561.67</v>
      </c>
      <c r="I295" s="159"/>
    </row>
    <row r="296" spans="1:9" ht="12.75" customHeight="1">
      <c r="A296" s="22"/>
      <c r="B296" s="21"/>
      <c r="C296" s="22"/>
      <c r="D296" s="232"/>
      <c r="E296" s="29" t="s">
        <v>316</v>
      </c>
      <c r="F296" s="402">
        <v>51650</v>
      </c>
      <c r="G296" s="233"/>
      <c r="H296" s="411">
        <v>51645</v>
      </c>
      <c r="I296" s="159"/>
    </row>
    <row r="297" spans="1:9" ht="12.75" customHeight="1">
      <c r="A297" s="22"/>
      <c r="B297" s="21"/>
      <c r="C297" s="22"/>
      <c r="D297" s="232"/>
      <c r="E297" s="29" t="s">
        <v>328</v>
      </c>
      <c r="F297" s="402">
        <v>78000</v>
      </c>
      <c r="G297" s="233"/>
      <c r="H297" s="411">
        <v>77916.67</v>
      </c>
      <c r="I297" s="159"/>
    </row>
    <row r="298" spans="1:9" ht="12.75" customHeight="1">
      <c r="A298" s="22"/>
      <c r="B298" s="21"/>
      <c r="C298" s="22"/>
      <c r="D298" t="s">
        <v>113</v>
      </c>
      <c r="E298" s="272" t="s">
        <v>214</v>
      </c>
      <c r="F298" s="260">
        <f>F299</f>
        <v>4000</v>
      </c>
      <c r="G298" s="131"/>
      <c r="H298" s="390">
        <v>61.54</v>
      </c>
      <c r="I298" s="159"/>
    </row>
    <row r="299" spans="1:9" ht="12.75" customHeight="1">
      <c r="A299" s="22"/>
      <c r="B299" s="21"/>
      <c r="C299" s="22"/>
      <c r="D299"/>
      <c r="E299" s="29" t="s">
        <v>328</v>
      </c>
      <c r="F299" s="402">
        <v>4000</v>
      </c>
      <c r="G299" s="131"/>
      <c r="H299" s="390">
        <v>0</v>
      </c>
      <c r="I299" s="159"/>
    </row>
    <row r="300" spans="1:9" ht="12.75" customHeight="1">
      <c r="A300" s="22"/>
      <c r="B300" s="21"/>
      <c r="C300" s="22"/>
      <c r="D300" s="22" t="s">
        <v>113</v>
      </c>
      <c r="E300" s="272" t="s">
        <v>310</v>
      </c>
      <c r="F300" s="279">
        <f>F301</f>
        <v>48132.38</v>
      </c>
      <c r="G300" s="131"/>
      <c r="H300" s="393">
        <f>H301</f>
        <v>69117.51999999999</v>
      </c>
      <c r="I300" s="159"/>
    </row>
    <row r="301" spans="1:9" ht="12.75" customHeight="1">
      <c r="A301" s="22"/>
      <c r="B301" s="21"/>
      <c r="C301" s="22"/>
      <c r="D301" s="232"/>
      <c r="E301" s="232" t="s">
        <v>286</v>
      </c>
      <c r="F301" s="401">
        <f>SUM(F302:F303)</f>
        <v>48132.38</v>
      </c>
      <c r="G301" s="233"/>
      <c r="H301" s="410">
        <f>SUM(H302:H303)</f>
        <v>69117.51999999999</v>
      </c>
      <c r="I301" s="159"/>
    </row>
    <row r="302" spans="1:9" ht="12.75" customHeight="1">
      <c r="A302" s="22"/>
      <c r="B302" s="21"/>
      <c r="C302" s="22"/>
      <c r="D302" s="232"/>
      <c r="E302" s="29" t="s">
        <v>315</v>
      </c>
      <c r="F302" s="402">
        <v>47682.38</v>
      </c>
      <c r="G302" s="233"/>
      <c r="H302" s="411">
        <f>12000.95+45688</f>
        <v>57688.95</v>
      </c>
      <c r="I302" s="159"/>
    </row>
    <row r="303" spans="1:9" ht="12.75" customHeight="1">
      <c r="A303" s="22"/>
      <c r="B303" s="21"/>
      <c r="C303" s="22"/>
      <c r="D303" s="232"/>
      <c r="E303" s="29" t="s">
        <v>317</v>
      </c>
      <c r="F303" s="402">
        <v>450</v>
      </c>
      <c r="G303" s="233"/>
      <c r="H303" s="411">
        <v>11428.57</v>
      </c>
      <c r="I303" s="159"/>
    </row>
    <row r="304" spans="1:9" ht="12.75" customHeight="1">
      <c r="A304" s="22"/>
      <c r="B304" s="21"/>
      <c r="C304" s="22"/>
      <c r="D304" s="232" t="s">
        <v>113</v>
      </c>
      <c r="E304" s="272" t="s">
        <v>355</v>
      </c>
      <c r="F304" s="260">
        <f>F305</f>
        <v>11000</v>
      </c>
      <c r="G304" s="233"/>
      <c r="H304" s="390">
        <v>0</v>
      </c>
      <c r="I304" s="159"/>
    </row>
    <row r="305" spans="1:9" ht="12.75" customHeight="1">
      <c r="A305" s="22"/>
      <c r="B305" s="21"/>
      <c r="C305" s="22"/>
      <c r="D305" s="232"/>
      <c r="E305" s="29" t="s">
        <v>316</v>
      </c>
      <c r="F305" s="402">
        <v>11000</v>
      </c>
      <c r="G305" s="233"/>
      <c r="H305" s="390">
        <v>0</v>
      </c>
      <c r="I305" s="159"/>
    </row>
    <row r="306" spans="1:9" ht="12.75" customHeight="1">
      <c r="A306" s="22"/>
      <c r="B306" s="21"/>
      <c r="C306" s="22"/>
      <c r="D306" s="232" t="s">
        <v>113</v>
      </c>
      <c r="E306" s="274" t="s">
        <v>352</v>
      </c>
      <c r="F306" s="260">
        <f>F307</f>
        <v>152518.31</v>
      </c>
      <c r="G306" s="233"/>
      <c r="H306" s="390">
        <f>H307</f>
        <v>149650</v>
      </c>
      <c r="I306" s="159"/>
    </row>
    <row r="307" spans="1:9" ht="12.75" customHeight="1">
      <c r="A307" s="22"/>
      <c r="B307" s="21"/>
      <c r="C307" s="22"/>
      <c r="D307" s="232"/>
      <c r="E307" s="232" t="s">
        <v>286</v>
      </c>
      <c r="F307" s="402">
        <f>F308+F309</f>
        <v>152518.31</v>
      </c>
      <c r="G307" s="233"/>
      <c r="H307" s="411">
        <f>H308+H309</f>
        <v>149650</v>
      </c>
      <c r="I307" s="159"/>
    </row>
    <row r="308" spans="1:9" ht="12.75" customHeight="1">
      <c r="A308" s="22"/>
      <c r="B308" s="21"/>
      <c r="C308" s="22"/>
      <c r="D308" s="232"/>
      <c r="E308" s="29" t="s">
        <v>316</v>
      </c>
      <c r="F308" s="402">
        <f>54150+43618.31</f>
        <v>97768.31</v>
      </c>
      <c r="G308" s="233"/>
      <c r="H308" s="411">
        <f>54900+40000</f>
        <v>94900</v>
      </c>
      <c r="I308" s="159"/>
    </row>
    <row r="309" spans="1:9" ht="12.75" customHeight="1">
      <c r="A309" s="22"/>
      <c r="B309" s="21"/>
      <c r="C309" s="22"/>
      <c r="D309" s="232"/>
      <c r="E309" s="29" t="s">
        <v>353</v>
      </c>
      <c r="F309" s="402">
        <v>54750</v>
      </c>
      <c r="G309" s="233"/>
      <c r="H309" s="411">
        <v>54750</v>
      </c>
      <c r="I309" s="159"/>
    </row>
    <row r="310" spans="1:9" ht="12.75" customHeight="1">
      <c r="A310" s="22"/>
      <c r="B310" s="21"/>
      <c r="C310" s="22"/>
      <c r="D310" s="232" t="s">
        <v>113</v>
      </c>
      <c r="E310" s="272" t="s">
        <v>354</v>
      </c>
      <c r="F310" s="321">
        <f>20157.95+39949.27</f>
        <v>60107.22</v>
      </c>
      <c r="G310" s="233"/>
      <c r="H310" s="412">
        <v>30736.52</v>
      </c>
      <c r="I310" s="159"/>
    </row>
    <row r="311" spans="1:9" ht="12.75" customHeight="1">
      <c r="A311" s="22"/>
      <c r="B311" s="21"/>
      <c r="C311" s="22"/>
      <c r="D311" s="232" t="s">
        <v>113</v>
      </c>
      <c r="E311" s="272" t="s">
        <v>329</v>
      </c>
      <c r="F311" s="321">
        <v>592990.01</v>
      </c>
      <c r="G311" s="233"/>
      <c r="H311" s="412">
        <v>679411.17</v>
      </c>
      <c r="I311" s="159"/>
    </row>
    <row r="312" spans="1:9" ht="12.75" customHeight="1">
      <c r="A312" s="22"/>
      <c r="B312" s="21"/>
      <c r="C312" s="22"/>
      <c r="D312" s="232" t="s">
        <v>113</v>
      </c>
      <c r="E312" s="272" t="s">
        <v>332</v>
      </c>
      <c r="F312" s="260">
        <f>97500+12500</f>
        <v>110000</v>
      </c>
      <c r="G312" s="233"/>
      <c r="H312" s="390">
        <v>110000</v>
      </c>
      <c r="I312" s="159"/>
    </row>
    <row r="313" spans="1:9" ht="12.75" customHeight="1">
      <c r="A313" s="22"/>
      <c r="B313" s="21"/>
      <c r="C313" s="22"/>
      <c r="D313" s="22" t="s">
        <v>193</v>
      </c>
      <c r="E313" s="18" t="s">
        <v>330</v>
      </c>
      <c r="F313" s="260">
        <f>1000+180.4+8453.11+390.87+18369.78-1010.39</f>
        <v>27383.77</v>
      </c>
      <c r="G313" s="131"/>
      <c r="H313" s="390">
        <f>2040+3218.19+224.68+6963.07+3785.27+12436.97+208.33</f>
        <v>28876.510000000002</v>
      </c>
      <c r="I313" s="159"/>
    </row>
    <row r="314" spans="1:9" ht="12.75" customHeight="1">
      <c r="A314" s="22"/>
      <c r="B314" s="21"/>
      <c r="C314" s="22"/>
      <c r="D314" s="22"/>
      <c r="E314" s="22"/>
      <c r="F314" s="132"/>
      <c r="G314" s="132"/>
      <c r="H314" s="157"/>
      <c r="I314" s="157"/>
    </row>
    <row r="315" spans="1:13" s="8" customFormat="1" ht="16.5" customHeight="1">
      <c r="A315" s="25"/>
      <c r="B315" s="277" t="s">
        <v>100</v>
      </c>
      <c r="C315" s="25"/>
      <c r="D315" s="25"/>
      <c r="E315" s="34"/>
      <c r="F315" s="138"/>
      <c r="G315" s="263">
        <f>-(F318+F334+F353+F363+F370+F378+F380+F382+F384)</f>
        <v>-8251365.319999999</v>
      </c>
      <c r="H315" s="162"/>
      <c r="I315" s="267">
        <f>-(H318+H334+H353+H363+H370+H378+H380+H382+H384)</f>
        <v>-7926547.87</v>
      </c>
      <c r="M315" s="122"/>
    </row>
    <row r="316" spans="1:13" s="8" customFormat="1" ht="16.5" customHeight="1">
      <c r="A316" s="25"/>
      <c r="B316" s="277"/>
      <c r="C316" s="25"/>
      <c r="D316" s="25"/>
      <c r="E316" s="34"/>
      <c r="F316" s="138"/>
      <c r="G316" s="263"/>
      <c r="H316" s="162"/>
      <c r="I316" s="267"/>
      <c r="M316" s="122"/>
    </row>
    <row r="317" spans="1:9" ht="12.75" customHeight="1">
      <c r="A317" s="22"/>
      <c r="B317" s="21"/>
      <c r="C317" s="278" t="s">
        <v>101</v>
      </c>
      <c r="D317" s="22"/>
      <c r="F317" s="132" t="s">
        <v>4</v>
      </c>
      <c r="G317" s="132"/>
      <c r="H317" s="157" t="s">
        <v>4</v>
      </c>
      <c r="I317" s="157"/>
    </row>
    <row r="318" spans="1:9" ht="12.75" customHeight="1">
      <c r="A318" s="22"/>
      <c r="B318" s="21"/>
      <c r="D318" s="278" t="s">
        <v>102</v>
      </c>
      <c r="E318" s="71"/>
      <c r="F318" s="262">
        <f>SUM(F319:F332)</f>
        <v>823077.6400000001</v>
      </c>
      <c r="G318" s="132"/>
      <c r="H318" s="265">
        <f>SUM(H319:H332)</f>
        <v>774371.17</v>
      </c>
      <c r="I318" s="157"/>
    </row>
    <row r="319" spans="1:9" ht="12.75" customHeight="1">
      <c r="A319" s="22"/>
      <c r="B319" s="21"/>
      <c r="C319" s="22"/>
      <c r="D319" t="s">
        <v>113</v>
      </c>
      <c r="E319" s="272" t="s">
        <v>318</v>
      </c>
      <c r="F319" s="403">
        <v>344632.05</v>
      </c>
      <c r="G319" s="132"/>
      <c r="H319" s="413">
        <v>330922.17</v>
      </c>
      <c r="I319" s="157"/>
    </row>
    <row r="320" spans="1:9" ht="12.75" customHeight="1">
      <c r="A320" s="22"/>
      <c r="B320" s="21"/>
      <c r="C320" s="22"/>
      <c r="D320" t="s">
        <v>113</v>
      </c>
      <c r="E320" s="272" t="s">
        <v>320</v>
      </c>
      <c r="F320" s="403">
        <v>123159.07</v>
      </c>
      <c r="G320" s="132"/>
      <c r="H320" s="413">
        <v>126763.45</v>
      </c>
      <c r="I320" s="157"/>
    </row>
    <row r="321" spans="1:9" ht="12.75" customHeight="1">
      <c r="A321" s="22"/>
      <c r="B321" s="21"/>
      <c r="C321" s="22"/>
      <c r="D321" t="s">
        <v>113</v>
      </c>
      <c r="E321" s="272" t="s">
        <v>305</v>
      </c>
      <c r="F321" s="261">
        <v>17180.69</v>
      </c>
      <c r="G321" s="132"/>
      <c r="H321" s="266">
        <v>9314.99</v>
      </c>
      <c r="I321" s="157"/>
    </row>
    <row r="322" spans="1:9" ht="12.75" customHeight="1">
      <c r="A322" s="22"/>
      <c r="B322" s="21"/>
      <c r="C322" s="22"/>
      <c r="D322" t="s">
        <v>113</v>
      </c>
      <c r="E322" s="272" t="s">
        <v>205</v>
      </c>
      <c r="F322" s="403">
        <v>251742.75</v>
      </c>
      <c r="G322" s="132"/>
      <c r="H322" s="413">
        <v>224362.82</v>
      </c>
      <c r="I322" s="157"/>
    </row>
    <row r="323" spans="1:9" ht="12.75" customHeight="1">
      <c r="A323" s="22"/>
      <c r="B323" s="21"/>
      <c r="C323" s="22"/>
      <c r="D323" t="s">
        <v>113</v>
      </c>
      <c r="E323" s="272" t="s">
        <v>303</v>
      </c>
      <c r="F323" s="403">
        <v>4942.55</v>
      </c>
      <c r="G323" s="132"/>
      <c r="H323" s="413">
        <v>8755.48</v>
      </c>
      <c r="I323" s="157"/>
    </row>
    <row r="324" spans="1:9" ht="12.75" customHeight="1">
      <c r="A324" s="22"/>
      <c r="B324" s="21"/>
      <c r="C324" s="22"/>
      <c r="D324" t="s">
        <v>113</v>
      </c>
      <c r="E324" s="272" t="s">
        <v>206</v>
      </c>
      <c r="F324" s="403">
        <v>2723.13</v>
      </c>
      <c r="G324" s="132"/>
      <c r="H324" s="413">
        <v>3019.67</v>
      </c>
      <c r="I324" s="157"/>
    </row>
    <row r="325" spans="1:9" ht="12.75" customHeight="1">
      <c r="A325" s="22"/>
      <c r="B325" s="21"/>
      <c r="C325" s="22"/>
      <c r="D325" t="s">
        <v>113</v>
      </c>
      <c r="E325" s="272" t="s">
        <v>327</v>
      </c>
      <c r="F325" s="403">
        <v>28106.83</v>
      </c>
      <c r="G325" s="132"/>
      <c r="H325" s="413">
        <v>29224.3</v>
      </c>
      <c r="I325" s="157"/>
    </row>
    <row r="326" spans="1:9" ht="12.75" customHeight="1">
      <c r="A326" s="22"/>
      <c r="B326" s="21"/>
      <c r="C326" s="22"/>
      <c r="D326" t="s">
        <v>113</v>
      </c>
      <c r="E326" s="272" t="s">
        <v>214</v>
      </c>
      <c r="F326" s="403">
        <v>7911.4</v>
      </c>
      <c r="G326" s="132"/>
      <c r="H326" s="413">
        <v>6591.76</v>
      </c>
      <c r="I326" s="157"/>
    </row>
    <row r="327" spans="1:9" ht="12.75" customHeight="1">
      <c r="A327" s="22"/>
      <c r="B327" s="21"/>
      <c r="C327" s="22"/>
      <c r="D327" s="22" t="s">
        <v>113</v>
      </c>
      <c r="E327" s="272" t="s">
        <v>310</v>
      </c>
      <c r="F327" s="403">
        <v>12329.61</v>
      </c>
      <c r="G327" s="132"/>
      <c r="H327" s="413">
        <v>13959.91</v>
      </c>
      <c r="I327" s="157"/>
    </row>
    <row r="328" spans="1:9" ht="12.75" customHeight="1">
      <c r="A328" s="22"/>
      <c r="B328" s="21"/>
      <c r="C328" s="22"/>
      <c r="D328" s="22" t="s">
        <v>113</v>
      </c>
      <c r="E328" s="272" t="s">
        <v>336</v>
      </c>
      <c r="F328" s="403">
        <v>644.27</v>
      </c>
      <c r="G328" s="132"/>
      <c r="H328" s="413">
        <v>237.31</v>
      </c>
      <c r="I328" s="157"/>
    </row>
    <row r="329" spans="1:9" ht="12.75" customHeight="1">
      <c r="A329" s="22"/>
      <c r="B329" s="21"/>
      <c r="C329" s="22"/>
      <c r="D329" s="22" t="s">
        <v>113</v>
      </c>
      <c r="E329" s="272" t="s">
        <v>337</v>
      </c>
      <c r="F329" s="403">
        <v>10119.04</v>
      </c>
      <c r="G329" s="132"/>
      <c r="H329" s="413">
        <v>0</v>
      </c>
      <c r="I329" s="157"/>
    </row>
    <row r="330" spans="1:9" ht="12.75" customHeight="1">
      <c r="A330" s="22"/>
      <c r="B330" s="21"/>
      <c r="C330" s="22"/>
      <c r="D330" t="s">
        <v>113</v>
      </c>
      <c r="E330" s="272" t="s">
        <v>311</v>
      </c>
      <c r="F330" s="403">
        <v>0</v>
      </c>
      <c r="G330" s="132"/>
      <c r="H330" s="413">
        <v>18.73</v>
      </c>
      <c r="I330" s="157"/>
    </row>
    <row r="331" spans="1:9" ht="12.75" customHeight="1">
      <c r="A331" s="22"/>
      <c r="B331" s="21"/>
      <c r="C331" s="22"/>
      <c r="D331" t="s">
        <v>113</v>
      </c>
      <c r="E331" s="272" t="s">
        <v>215</v>
      </c>
      <c r="F331" s="403">
        <v>5661.32</v>
      </c>
      <c r="G331" s="132"/>
      <c r="H331" s="413">
        <v>7744.09</v>
      </c>
      <c r="I331" s="157"/>
    </row>
    <row r="332" spans="1:9" ht="12.75" customHeight="1">
      <c r="A332" s="22"/>
      <c r="B332" s="21"/>
      <c r="C332" s="22"/>
      <c r="D332" s="22" t="s">
        <v>113</v>
      </c>
      <c r="E332" s="272" t="s">
        <v>216</v>
      </c>
      <c r="F332" s="403">
        <v>13924.93</v>
      </c>
      <c r="G332" s="132"/>
      <c r="H332" s="413">
        <v>13456.49</v>
      </c>
      <c r="I332" s="157"/>
    </row>
    <row r="333" spans="1:9" ht="12.75" customHeight="1">
      <c r="A333" s="22"/>
      <c r="B333" s="21"/>
      <c r="C333" s="22"/>
      <c r="D333" s="22"/>
      <c r="E333" s="272"/>
      <c r="F333" s="279"/>
      <c r="G333" s="132"/>
      <c r="H333" s="177"/>
      <c r="I333" s="157"/>
    </row>
    <row r="334" spans="1:9" ht="12.75" customHeight="1">
      <c r="A334" s="22"/>
      <c r="B334" s="21"/>
      <c r="C334" s="278" t="s">
        <v>103</v>
      </c>
      <c r="D334" s="22"/>
      <c r="F334" s="275">
        <f>SUM(F335:F351)</f>
        <v>3889633.4</v>
      </c>
      <c r="G334" s="132"/>
      <c r="H334" s="276">
        <f>SUM(H335:H351)</f>
        <v>3763354.71</v>
      </c>
      <c r="I334" s="106"/>
    </row>
    <row r="335" spans="1:9" ht="12.75" customHeight="1">
      <c r="A335" s="22"/>
      <c r="B335" s="21"/>
      <c r="C335" s="22"/>
      <c r="D335" t="s">
        <v>113</v>
      </c>
      <c r="E335" s="272" t="s">
        <v>318</v>
      </c>
      <c r="F335" s="261">
        <f>1920119.78-386399.23+41741.36</f>
        <v>1575461.9100000001</v>
      </c>
      <c r="G335" s="132"/>
      <c r="H335" s="266">
        <f>1864964.7-402111.91</f>
        <v>1462852.79</v>
      </c>
      <c r="I335" s="106"/>
    </row>
    <row r="336" spans="1:9" ht="12.75" customHeight="1">
      <c r="A336" s="22"/>
      <c r="B336" s="21"/>
      <c r="C336" s="22"/>
      <c r="D336" t="s">
        <v>113</v>
      </c>
      <c r="E336" s="272" t="s">
        <v>319</v>
      </c>
      <c r="F336" s="261">
        <f>1019261.19-172093.77</f>
        <v>847167.4199999999</v>
      </c>
      <c r="G336" s="132"/>
      <c r="H336" s="266">
        <f>969947.29-168954.59</f>
        <v>800992.7000000001</v>
      </c>
      <c r="I336" s="106"/>
    </row>
    <row r="337" spans="1:9" ht="12.75" customHeight="1">
      <c r="A337" s="22"/>
      <c r="B337" s="21"/>
      <c r="C337" s="22"/>
      <c r="D337" t="s">
        <v>113</v>
      </c>
      <c r="E337" s="272" t="s">
        <v>305</v>
      </c>
      <c r="F337" s="261">
        <f>28599.42</f>
        <v>28599.42</v>
      </c>
      <c r="G337" s="132"/>
      <c r="H337" s="266">
        <v>15252.31</v>
      </c>
      <c r="I337" s="106"/>
    </row>
    <row r="338" spans="1:9" ht="12.75" customHeight="1">
      <c r="A338" s="22"/>
      <c r="B338" s="21"/>
      <c r="C338" s="22"/>
      <c r="D338" t="s">
        <v>113</v>
      </c>
      <c r="E338" s="272" t="s">
        <v>205</v>
      </c>
      <c r="F338" s="261">
        <f>18511.69+25663.4</f>
        <v>44175.09</v>
      </c>
      <c r="G338" s="132"/>
      <c r="H338" s="266">
        <f>59329.92-21680.33</f>
        <v>37649.59</v>
      </c>
      <c r="I338" s="106"/>
    </row>
    <row r="339" spans="1:9" ht="12.75" customHeight="1">
      <c r="A339" s="22"/>
      <c r="B339" s="21"/>
      <c r="C339" s="22"/>
      <c r="D339" t="s">
        <v>113</v>
      </c>
      <c r="E339" s="272" t="s">
        <v>303</v>
      </c>
      <c r="F339" s="261">
        <v>383708.46</v>
      </c>
      <c r="G339" s="132"/>
      <c r="H339" s="266">
        <v>501220.18</v>
      </c>
      <c r="I339" s="106"/>
    </row>
    <row r="340" spans="1:9" ht="12.75" customHeight="1">
      <c r="A340" s="22"/>
      <c r="B340" s="21"/>
      <c r="C340" s="22"/>
      <c r="D340" t="s">
        <v>113</v>
      </c>
      <c r="E340" s="272" t="s">
        <v>206</v>
      </c>
      <c r="F340" s="261">
        <v>12587.97</v>
      </c>
      <c r="G340" s="132"/>
      <c r="H340" s="266">
        <v>19381.66</v>
      </c>
      <c r="I340" s="106"/>
    </row>
    <row r="341" spans="1:9" ht="12.75" customHeight="1">
      <c r="A341" s="22"/>
      <c r="B341" s="21"/>
      <c r="C341" s="22"/>
      <c r="D341" t="s">
        <v>113</v>
      </c>
      <c r="E341" s="272" t="s">
        <v>304</v>
      </c>
      <c r="F341" s="261">
        <v>98762.44</v>
      </c>
      <c r="G341" s="132"/>
      <c r="H341" s="266">
        <v>84808.73</v>
      </c>
      <c r="I341" s="106"/>
    </row>
    <row r="342" spans="1:9" ht="12.75" customHeight="1">
      <c r="A342" s="22"/>
      <c r="B342" s="21"/>
      <c r="C342" s="22"/>
      <c r="D342" t="s">
        <v>113</v>
      </c>
      <c r="E342" s="272" t="s">
        <v>214</v>
      </c>
      <c r="F342" s="261">
        <v>17004.59</v>
      </c>
      <c r="G342" s="132"/>
      <c r="H342" s="266">
        <v>14860.17</v>
      </c>
      <c r="I342" s="106"/>
    </row>
    <row r="343" spans="1:9" ht="12.75" customHeight="1">
      <c r="A343" s="22"/>
      <c r="B343" s="21"/>
      <c r="C343" s="22"/>
      <c r="D343" s="22" t="s">
        <v>113</v>
      </c>
      <c r="E343" s="272" t="s">
        <v>310</v>
      </c>
      <c r="F343" s="261">
        <v>279082.39</v>
      </c>
      <c r="G343" s="132"/>
      <c r="H343" s="266">
        <v>223101.57</v>
      </c>
      <c r="I343" s="106"/>
    </row>
    <row r="344" spans="1:9" ht="12.75" customHeight="1">
      <c r="A344" s="22"/>
      <c r="B344" s="21"/>
      <c r="C344" s="22"/>
      <c r="D344" s="22" t="s">
        <v>113</v>
      </c>
      <c r="E344" s="272" t="s">
        <v>336</v>
      </c>
      <c r="F344" s="261">
        <v>54401.33</v>
      </c>
      <c r="G344" s="132"/>
      <c r="H344" s="266">
        <v>84454.29</v>
      </c>
      <c r="I344" s="106"/>
    </row>
    <row r="345" spans="1:9" ht="12.75" customHeight="1">
      <c r="A345" s="22"/>
      <c r="B345" s="21"/>
      <c r="C345" s="22"/>
      <c r="D345" s="22" t="s">
        <v>113</v>
      </c>
      <c r="E345" s="272" t="s">
        <v>337</v>
      </c>
      <c r="F345" s="261">
        <v>14117.53</v>
      </c>
      <c r="G345" s="132"/>
      <c r="H345" s="266">
        <v>0</v>
      </c>
      <c r="I345" s="106"/>
    </row>
    <row r="346" spans="1:9" ht="12.75" customHeight="1">
      <c r="A346" s="22"/>
      <c r="B346" s="21"/>
      <c r="C346" s="22"/>
      <c r="D346" t="s">
        <v>113</v>
      </c>
      <c r="E346" s="272" t="s">
        <v>311</v>
      </c>
      <c r="F346" s="261">
        <v>29368.87</v>
      </c>
      <c r="G346" s="132"/>
      <c r="H346" s="266">
        <v>40630.79</v>
      </c>
      <c r="I346" s="106"/>
    </row>
    <row r="347" spans="1:9" ht="12.75" customHeight="1">
      <c r="A347" s="22"/>
      <c r="B347" s="21"/>
      <c r="C347" s="22"/>
      <c r="D347" t="s">
        <v>113</v>
      </c>
      <c r="E347" s="272" t="s">
        <v>321</v>
      </c>
      <c r="F347" s="261">
        <v>201914.97</v>
      </c>
      <c r="G347" s="132"/>
      <c r="H347" s="266">
        <v>158806.98</v>
      </c>
      <c r="I347" s="106"/>
    </row>
    <row r="348" spans="1:9" ht="12.75" customHeight="1">
      <c r="A348" s="22"/>
      <c r="B348" s="21"/>
      <c r="C348" s="22"/>
      <c r="D348" s="22" t="s">
        <v>113</v>
      </c>
      <c r="E348" s="272" t="s">
        <v>293</v>
      </c>
      <c r="F348" s="261">
        <v>0</v>
      </c>
      <c r="G348" s="132"/>
      <c r="H348" s="266">
        <v>21680.33</v>
      </c>
      <c r="I348" s="106"/>
    </row>
    <row r="349" spans="1:9" ht="12.75" customHeight="1">
      <c r="A349" s="22"/>
      <c r="B349" s="21"/>
      <c r="C349" s="22"/>
      <c r="D349" s="22" t="s">
        <v>113</v>
      </c>
      <c r="E349" s="272" t="s">
        <v>216</v>
      </c>
      <c r="F349" s="261">
        <f>293666.01-83650.2-5268.84-30728.28+77019.76-41741.36-25663.4</f>
        <v>183633.69000000003</v>
      </c>
      <c r="G349" s="132"/>
      <c r="H349" s="266">
        <f>222367.49-83634.55-5501-30739.07+75295.13</f>
        <v>177788</v>
      </c>
      <c r="I349" s="106"/>
    </row>
    <row r="350" spans="1:9" ht="12.75" customHeight="1">
      <c r="A350" s="22"/>
      <c r="B350" s="21"/>
      <c r="C350" s="22"/>
      <c r="D350" s="22" t="s">
        <v>113</v>
      </c>
      <c r="E350" s="272" t="s">
        <v>191</v>
      </c>
      <c r="F350" s="282">
        <f>83650.2+5268.84</f>
        <v>88919.04</v>
      </c>
      <c r="G350" s="132"/>
      <c r="H350" s="177">
        <f>83634.55+5501</f>
        <v>89135.55</v>
      </c>
      <c r="I350" s="106"/>
    </row>
    <row r="351" spans="1:9" ht="12.75" customHeight="1">
      <c r="A351" s="22"/>
      <c r="B351" s="21"/>
      <c r="C351" s="22"/>
      <c r="D351" s="22" t="s">
        <v>113</v>
      </c>
      <c r="E351" s="272" t="s">
        <v>192</v>
      </c>
      <c r="F351" s="282">
        <v>30728.28</v>
      </c>
      <c r="G351" s="132"/>
      <c r="H351" s="177">
        <v>30739.07</v>
      </c>
      <c r="I351" s="106"/>
    </row>
    <row r="352" spans="1:9" ht="12.75" customHeight="1">
      <c r="A352" s="22"/>
      <c r="B352" s="21"/>
      <c r="C352" s="22"/>
      <c r="D352" s="22"/>
      <c r="E352" s="272"/>
      <c r="F352" s="261"/>
      <c r="G352" s="132"/>
      <c r="H352" s="159"/>
      <c r="I352" s="106"/>
    </row>
    <row r="353" spans="1:9" ht="12.75" customHeight="1">
      <c r="A353" s="22"/>
      <c r="B353" s="21"/>
      <c r="C353" s="278" t="s">
        <v>104</v>
      </c>
      <c r="D353" s="22"/>
      <c r="E353" s="71"/>
      <c r="F353" s="275">
        <f>SUM(F354:F361)</f>
        <v>40855.26</v>
      </c>
      <c r="G353" s="132"/>
      <c r="H353" s="276">
        <f>SUM(H354:H361)</f>
        <v>37537.48</v>
      </c>
      <c r="I353" s="106"/>
    </row>
    <row r="354" spans="1:9" ht="12.75" customHeight="1">
      <c r="A354" s="22"/>
      <c r="B354" s="21"/>
      <c r="C354" s="22"/>
      <c r="D354" t="s">
        <v>113</v>
      </c>
      <c r="E354" s="272" t="s">
        <v>318</v>
      </c>
      <c r="F354" s="282">
        <v>12961.68</v>
      </c>
      <c r="G354" s="132"/>
      <c r="H354" s="177">
        <v>12193.91</v>
      </c>
      <c r="I354" s="106"/>
    </row>
    <row r="355" spans="1:9" ht="12.75" customHeight="1">
      <c r="A355" s="22"/>
      <c r="B355" s="21"/>
      <c r="C355" s="22"/>
      <c r="D355" t="s">
        <v>113</v>
      </c>
      <c r="E355" s="272" t="s">
        <v>303</v>
      </c>
      <c r="F355" s="282">
        <v>1106.76</v>
      </c>
      <c r="G355" s="132"/>
      <c r="H355" s="177">
        <v>1840.23</v>
      </c>
      <c r="I355" s="106"/>
    </row>
    <row r="356" spans="1:9" ht="12.75" customHeight="1">
      <c r="A356" s="22"/>
      <c r="B356" s="21"/>
      <c r="C356" s="22"/>
      <c r="D356" t="s">
        <v>113</v>
      </c>
      <c r="E356" s="272" t="s">
        <v>206</v>
      </c>
      <c r="F356" s="282">
        <v>648</v>
      </c>
      <c r="G356" s="132"/>
      <c r="H356" s="177">
        <v>300</v>
      </c>
      <c r="I356" s="106"/>
    </row>
    <row r="357" spans="1:9" ht="12.75" customHeight="1">
      <c r="A357" s="22"/>
      <c r="B357" s="21"/>
      <c r="C357" s="22"/>
      <c r="D357" t="s">
        <v>113</v>
      </c>
      <c r="E357" s="272" t="s">
        <v>327</v>
      </c>
      <c r="F357" s="282">
        <v>21342.32</v>
      </c>
      <c r="G357" s="131"/>
      <c r="H357" s="177">
        <v>19103.24</v>
      </c>
      <c r="I357" s="156"/>
    </row>
    <row r="358" spans="1:9" ht="12.75" customHeight="1">
      <c r="A358" s="22"/>
      <c r="B358" s="21"/>
      <c r="C358" s="22"/>
      <c r="D358" s="22" t="s">
        <v>113</v>
      </c>
      <c r="E358" s="272" t="s">
        <v>310</v>
      </c>
      <c r="F358" s="282">
        <v>0</v>
      </c>
      <c r="G358" s="132"/>
      <c r="H358" s="177">
        <v>1797.1</v>
      </c>
      <c r="I358" s="106"/>
    </row>
    <row r="359" spans="1:9" ht="12.75" customHeight="1">
      <c r="A359" s="22"/>
      <c r="B359" s="21"/>
      <c r="C359" s="22"/>
      <c r="D359" t="s">
        <v>113</v>
      </c>
      <c r="E359" s="272" t="s">
        <v>336</v>
      </c>
      <c r="F359" s="282">
        <v>0</v>
      </c>
      <c r="G359" s="132"/>
      <c r="H359" s="177">
        <v>360</v>
      </c>
      <c r="I359" s="106"/>
    </row>
    <row r="360" spans="1:9" ht="12.75" customHeight="1">
      <c r="A360" s="22"/>
      <c r="B360" s="21"/>
      <c r="C360" s="22"/>
      <c r="D360" s="22" t="s">
        <v>113</v>
      </c>
      <c r="E360" s="272" t="s">
        <v>322</v>
      </c>
      <c r="F360" s="282">
        <v>4654.5</v>
      </c>
      <c r="G360" s="132"/>
      <c r="H360" s="177">
        <v>1943</v>
      </c>
      <c r="I360" s="106"/>
    </row>
    <row r="361" spans="1:9" ht="12.75" customHeight="1">
      <c r="A361" s="22"/>
      <c r="B361" s="21"/>
      <c r="C361" s="22"/>
      <c r="D361" s="22" t="s">
        <v>113</v>
      </c>
      <c r="E361" s="272" t="s">
        <v>338</v>
      </c>
      <c r="F361" s="282">
        <v>142</v>
      </c>
      <c r="G361" s="132"/>
      <c r="H361" s="293">
        <v>0</v>
      </c>
      <c r="I361" s="106"/>
    </row>
    <row r="362" spans="1:9" ht="12.75" customHeight="1">
      <c r="A362" s="22"/>
      <c r="B362" s="21"/>
      <c r="C362" s="22"/>
      <c r="D362" s="22"/>
      <c r="E362" s="31"/>
      <c r="F362" s="381"/>
      <c r="G362" s="132"/>
      <c r="H362" s="280"/>
      <c r="I362" s="106"/>
    </row>
    <row r="363" spans="1:9" ht="12.75" customHeight="1">
      <c r="A363" s="22"/>
      <c r="B363" s="21"/>
      <c r="C363" s="278" t="s">
        <v>105</v>
      </c>
      <c r="D363" s="22"/>
      <c r="E363" s="71"/>
      <c r="F363" s="275">
        <f>SUM(F364:F368)</f>
        <v>2932726.54</v>
      </c>
      <c r="G363" s="132"/>
      <c r="H363" s="276">
        <f>SUM(H364:H368)</f>
        <v>2939022.2099999995</v>
      </c>
      <c r="I363" s="106"/>
    </row>
    <row r="364" spans="1:12" ht="12.75" customHeight="1">
      <c r="A364" s="22"/>
      <c r="B364" s="21"/>
      <c r="D364" s="283" t="s">
        <v>106</v>
      </c>
      <c r="E364" s="84"/>
      <c r="F364" s="287">
        <f>1882856.82+36803.15+125345.58+133228+42163.54</f>
        <v>2220397.09</v>
      </c>
      <c r="G364" s="132"/>
      <c r="H364" s="394">
        <f>1944525.25+29170.77+114040.2+136928.92+13773.09</f>
        <v>2238438.23</v>
      </c>
      <c r="I364" s="106"/>
      <c r="L364" s="166"/>
    </row>
    <row r="365" spans="1:12" ht="12.75" customHeight="1">
      <c r="A365" s="22"/>
      <c r="B365" s="21"/>
      <c r="D365" s="283" t="s">
        <v>107</v>
      </c>
      <c r="E365" s="84"/>
      <c r="F365" s="287">
        <f>449510.66+25020.34+10493.67+30200.68+33307</f>
        <v>548532.35</v>
      </c>
      <c r="G365" s="132"/>
      <c r="H365" s="394">
        <f>454514.6+23530.94+8682.63+28571.63+33591.08</f>
        <v>548890.88</v>
      </c>
      <c r="I365" s="106"/>
      <c r="L365" s="166"/>
    </row>
    <row r="366" spans="1:12" ht="12.75" customHeight="1">
      <c r="A366" s="22"/>
      <c r="B366" s="21"/>
      <c r="D366" s="283" t="s">
        <v>108</v>
      </c>
      <c r="E366" s="84"/>
      <c r="F366" s="287">
        <v>163797.1</v>
      </c>
      <c r="G366" s="132"/>
      <c r="H366" s="394">
        <v>146349.03</v>
      </c>
      <c r="I366" s="106"/>
      <c r="L366" s="166"/>
    </row>
    <row r="367" spans="1:9" ht="12.75" customHeight="1">
      <c r="A367" s="22"/>
      <c r="B367" s="21"/>
      <c r="D367" s="283" t="s">
        <v>109</v>
      </c>
      <c r="E367" s="84"/>
      <c r="F367" s="287">
        <v>0</v>
      </c>
      <c r="G367" s="132"/>
      <c r="H367" s="394">
        <v>0</v>
      </c>
      <c r="I367" s="106"/>
    </row>
    <row r="368" spans="1:12" ht="12.75" customHeight="1">
      <c r="A368" s="22"/>
      <c r="B368" s="21"/>
      <c r="D368" s="283" t="s">
        <v>194</v>
      </c>
      <c r="E368" s="84"/>
      <c r="F368" s="287">
        <v>0</v>
      </c>
      <c r="G368" s="132"/>
      <c r="H368" s="394">
        <v>5344.07</v>
      </c>
      <c r="I368" s="106"/>
      <c r="L368" s="166"/>
    </row>
    <row r="369" spans="1:12" ht="12.75" customHeight="1">
      <c r="A369" s="22"/>
      <c r="B369" s="21"/>
      <c r="D369" s="46"/>
      <c r="E369" s="84"/>
      <c r="F369" s="140"/>
      <c r="G369" s="132"/>
      <c r="H369" s="164"/>
      <c r="I369" s="106"/>
      <c r="L369" s="166"/>
    </row>
    <row r="370" spans="1:9" ht="12.75" customHeight="1">
      <c r="A370" s="22"/>
      <c r="B370" s="21"/>
      <c r="C370" s="278" t="s">
        <v>110</v>
      </c>
      <c r="D370" s="22"/>
      <c r="E370" s="71"/>
      <c r="F370" s="275">
        <f>SUM(F371:F374)</f>
        <v>338463.05000000005</v>
      </c>
      <c r="G370" s="132"/>
      <c r="H370" s="276">
        <f>SUM(H371:H374)</f>
        <v>222561.81</v>
      </c>
      <c r="I370" s="106"/>
    </row>
    <row r="371" spans="1:9" ht="12.75" customHeight="1">
      <c r="A371" s="22"/>
      <c r="B371" s="21"/>
      <c r="C371" s="22"/>
      <c r="D371" s="283" t="s">
        <v>111</v>
      </c>
      <c r="E371" s="84"/>
      <c r="F371" s="284">
        <v>23998.83</v>
      </c>
      <c r="G371" s="132"/>
      <c r="H371" s="285">
        <v>23522.88</v>
      </c>
      <c r="I371" s="106"/>
    </row>
    <row r="372" spans="1:9" ht="12.75" customHeight="1">
      <c r="A372" s="22"/>
      <c r="B372" s="21"/>
      <c r="D372" s="283" t="s">
        <v>112</v>
      </c>
      <c r="E372" s="85"/>
      <c r="F372" s="284">
        <v>272505.06</v>
      </c>
      <c r="G372" s="132"/>
      <c r="H372" s="285">
        <v>199038.93</v>
      </c>
      <c r="I372" s="106"/>
    </row>
    <row r="373" spans="1:9" ht="12.75" customHeight="1">
      <c r="A373" s="22"/>
      <c r="B373" s="21"/>
      <c r="D373" s="283" t="s">
        <v>114</v>
      </c>
      <c r="E373" s="84"/>
      <c r="F373" s="284">
        <v>0</v>
      </c>
      <c r="G373" s="132"/>
      <c r="H373" s="285">
        <v>0</v>
      </c>
      <c r="I373" s="106"/>
    </row>
    <row r="374" spans="1:9" ht="12.75" customHeight="1">
      <c r="A374" s="22"/>
      <c r="B374" s="21"/>
      <c r="D374" s="283" t="s">
        <v>115</v>
      </c>
      <c r="E374" s="84"/>
      <c r="F374" s="152">
        <v>41959.16</v>
      </c>
      <c r="G374" s="132"/>
      <c r="H374" s="177">
        <v>0</v>
      </c>
      <c r="I374" s="106"/>
    </row>
    <row r="375" spans="1:9" ht="12.75" customHeight="1">
      <c r="A375" s="22"/>
      <c r="B375" s="21"/>
      <c r="D375" s="46"/>
      <c r="E375" s="85" t="s">
        <v>116</v>
      </c>
      <c r="F375" s="152"/>
      <c r="G375" s="132"/>
      <c r="H375" s="165"/>
      <c r="I375" s="106"/>
    </row>
    <row r="376" spans="1:9" ht="12.75" customHeight="1">
      <c r="A376" s="22"/>
      <c r="B376" s="21"/>
      <c r="D376" s="46"/>
      <c r="E376" s="85"/>
      <c r="F376" s="281"/>
      <c r="G376" s="132"/>
      <c r="H376" s="280"/>
      <c r="I376" s="106"/>
    </row>
    <row r="377" spans="1:9" ht="12.75" customHeight="1">
      <c r="A377" s="22"/>
      <c r="B377" s="21"/>
      <c r="C377" s="278" t="s">
        <v>117</v>
      </c>
      <c r="D377" s="22"/>
      <c r="E377" s="71"/>
      <c r="F377" s="132"/>
      <c r="G377" s="132"/>
      <c r="H377" s="106"/>
      <c r="I377" s="106"/>
    </row>
    <row r="378" spans="1:9" ht="12.75" customHeight="1">
      <c r="A378" s="22"/>
      <c r="B378" s="21"/>
      <c r="D378" s="22"/>
      <c r="E378" s="23" t="s">
        <v>118</v>
      </c>
      <c r="F378" s="268">
        <v>0</v>
      </c>
      <c r="G378" s="132"/>
      <c r="H378" s="264">
        <v>0</v>
      </c>
      <c r="I378" s="106"/>
    </row>
    <row r="379" spans="1:9" ht="12.75" customHeight="1">
      <c r="A379" s="22"/>
      <c r="B379" s="21"/>
      <c r="C379" s="22"/>
      <c r="D379"/>
      <c r="F379" s="380"/>
      <c r="G379" s="132"/>
      <c r="H379" s="280"/>
      <c r="I379" s="106"/>
    </row>
    <row r="380" spans="1:9" ht="12.75" customHeight="1">
      <c r="A380" s="22"/>
      <c r="B380" s="21"/>
      <c r="C380" s="278" t="s">
        <v>119</v>
      </c>
      <c r="D380" s="22"/>
      <c r="E380" s="71"/>
      <c r="F380" s="262">
        <v>43000</v>
      </c>
      <c r="G380" s="132"/>
      <c r="H380" s="288">
        <v>0</v>
      </c>
      <c r="I380" s="106"/>
    </row>
    <row r="381" spans="1:9" ht="12.75" customHeight="1">
      <c r="A381" s="22"/>
      <c r="B381" s="21"/>
      <c r="C381" s="22"/>
      <c r="D381" s="22"/>
      <c r="E381" s="71"/>
      <c r="F381" s="140"/>
      <c r="G381" s="132"/>
      <c r="H381" s="164"/>
      <c r="I381" s="106"/>
    </row>
    <row r="382" spans="1:9" ht="12.75" customHeight="1">
      <c r="A382" s="22"/>
      <c r="B382" s="21"/>
      <c r="C382" s="278" t="s">
        <v>120</v>
      </c>
      <c r="D382" s="22"/>
      <c r="E382" s="71"/>
      <c r="F382" s="262">
        <v>80000</v>
      </c>
      <c r="G382" s="132"/>
      <c r="H382" s="265">
        <v>92129</v>
      </c>
      <c r="I382" s="106"/>
    </row>
    <row r="383" spans="1:9" ht="12.75" customHeight="1">
      <c r="A383" s="22"/>
      <c r="B383" s="21"/>
      <c r="C383" s="22"/>
      <c r="D383" s="22"/>
      <c r="E383" s="71"/>
      <c r="F383" s="281"/>
      <c r="G383" s="132"/>
      <c r="H383" s="280"/>
      <c r="I383" s="106"/>
    </row>
    <row r="384" spans="1:9" ht="12.75" customHeight="1">
      <c r="A384" s="22"/>
      <c r="B384" s="21"/>
      <c r="C384" s="278" t="s">
        <v>121</v>
      </c>
      <c r="D384" s="278"/>
      <c r="E384" s="71"/>
      <c r="F384" s="262">
        <f>SUM(F385:F398)</f>
        <v>103609.43</v>
      </c>
      <c r="G384" s="132"/>
      <c r="H384" s="265">
        <f>SUM(H385:H398)</f>
        <v>97571.49000000002</v>
      </c>
      <c r="I384" s="106"/>
    </row>
    <row r="385" spans="1:9" ht="12.75" customHeight="1">
      <c r="A385" s="22"/>
      <c r="B385" s="21"/>
      <c r="C385" s="22"/>
      <c r="D385" t="s">
        <v>113</v>
      </c>
      <c r="E385" s="272" t="s">
        <v>318</v>
      </c>
      <c r="F385" s="282">
        <v>51619.61</v>
      </c>
      <c r="G385" s="132"/>
      <c r="H385" s="177">
        <v>46842.3</v>
      </c>
      <c r="I385" s="106"/>
    </row>
    <row r="386" spans="1:9" ht="12.75" customHeight="1">
      <c r="A386" s="22"/>
      <c r="B386" s="21"/>
      <c r="C386" s="22"/>
      <c r="D386" t="s">
        <v>113</v>
      </c>
      <c r="E386" s="272" t="s">
        <v>319</v>
      </c>
      <c r="F386" s="282">
        <v>1714.25</v>
      </c>
      <c r="G386" s="132"/>
      <c r="H386" s="177">
        <v>7533.9</v>
      </c>
      <c r="I386" s="106"/>
    </row>
    <row r="387" spans="1:9" ht="12.75" customHeight="1">
      <c r="A387" s="22"/>
      <c r="B387" s="21"/>
      <c r="C387" s="22"/>
      <c r="D387" t="s">
        <v>113</v>
      </c>
      <c r="E387" s="272" t="s">
        <v>305</v>
      </c>
      <c r="F387" s="282">
        <v>1779.74</v>
      </c>
      <c r="G387" s="132"/>
      <c r="H387" s="177">
        <v>1308</v>
      </c>
      <c r="I387" s="106"/>
    </row>
    <row r="388" spans="1:9" ht="12.75" customHeight="1">
      <c r="A388" s="22"/>
      <c r="B388" s="21"/>
      <c r="C388" s="22"/>
      <c r="D388" t="s">
        <v>113</v>
      </c>
      <c r="E388" s="272" t="s">
        <v>205</v>
      </c>
      <c r="F388" s="282">
        <v>1021.28</v>
      </c>
      <c r="G388" s="132"/>
      <c r="H388" s="177">
        <v>864.61</v>
      </c>
      <c r="I388" s="106"/>
    </row>
    <row r="389" spans="1:9" ht="12.75" customHeight="1">
      <c r="A389" s="22"/>
      <c r="B389" s="21"/>
      <c r="C389" s="22"/>
      <c r="D389" t="s">
        <v>113</v>
      </c>
      <c r="E389" s="272" t="s">
        <v>303</v>
      </c>
      <c r="F389" s="282">
        <v>2199.85</v>
      </c>
      <c r="G389" s="132"/>
      <c r="H389" s="177">
        <v>1957.26</v>
      </c>
      <c r="I389" s="106"/>
    </row>
    <row r="390" spans="1:9" ht="12.75" customHeight="1">
      <c r="A390" s="22"/>
      <c r="B390" s="21"/>
      <c r="C390" s="22"/>
      <c r="D390" t="s">
        <v>113</v>
      </c>
      <c r="E390" s="272" t="s">
        <v>206</v>
      </c>
      <c r="F390" s="282">
        <v>715.36</v>
      </c>
      <c r="G390" s="132"/>
      <c r="H390" s="177">
        <v>391.97</v>
      </c>
      <c r="I390" s="106"/>
    </row>
    <row r="391" spans="1:9" ht="12.75" customHeight="1">
      <c r="A391" s="22"/>
      <c r="B391" s="21"/>
      <c r="C391" s="22"/>
      <c r="D391" t="s">
        <v>113</v>
      </c>
      <c r="E391" s="272" t="s">
        <v>327</v>
      </c>
      <c r="F391" s="282">
        <v>6925.22</v>
      </c>
      <c r="G391" s="132"/>
      <c r="H391" s="177">
        <v>6108.86</v>
      </c>
      <c r="I391" s="106"/>
    </row>
    <row r="392" spans="1:9" ht="12.75" customHeight="1">
      <c r="A392" s="22"/>
      <c r="B392" s="21"/>
      <c r="C392" s="22"/>
      <c r="D392" t="s">
        <v>113</v>
      </c>
      <c r="E392" s="272" t="s">
        <v>214</v>
      </c>
      <c r="F392" s="282">
        <v>167.85</v>
      </c>
      <c r="G392" s="132"/>
      <c r="H392" s="177">
        <v>176.89</v>
      </c>
      <c r="I392" s="106"/>
    </row>
    <row r="393" spans="1:9" ht="12.75" customHeight="1">
      <c r="A393" s="22"/>
      <c r="B393" s="21"/>
      <c r="C393" s="22"/>
      <c r="D393" s="22" t="s">
        <v>113</v>
      </c>
      <c r="E393" s="272" t="s">
        <v>310</v>
      </c>
      <c r="F393" s="282">
        <v>934.91</v>
      </c>
      <c r="G393" s="132"/>
      <c r="H393" s="177">
        <v>1080.38</v>
      </c>
      <c r="I393" s="106"/>
    </row>
    <row r="394" spans="1:9" ht="12.75" customHeight="1">
      <c r="A394" s="22"/>
      <c r="B394" s="21"/>
      <c r="C394" s="22"/>
      <c r="D394" s="22" t="s">
        <v>113</v>
      </c>
      <c r="E394" s="272" t="s">
        <v>336</v>
      </c>
      <c r="F394" s="282">
        <v>8667.97</v>
      </c>
      <c r="G394" s="132"/>
      <c r="H394" s="177">
        <v>1618.41</v>
      </c>
      <c r="I394" s="106"/>
    </row>
    <row r="395" spans="1:9" ht="12.75" customHeight="1">
      <c r="A395" s="22"/>
      <c r="B395" s="21"/>
      <c r="C395" s="22"/>
      <c r="D395" s="22" t="s">
        <v>113</v>
      </c>
      <c r="E395" s="272" t="s">
        <v>337</v>
      </c>
      <c r="F395" s="282">
        <v>8460.12</v>
      </c>
      <c r="G395" s="132"/>
      <c r="H395" s="177">
        <v>0</v>
      </c>
      <c r="I395" s="106"/>
    </row>
    <row r="396" spans="1:9" ht="12.75" customHeight="1">
      <c r="A396" s="22"/>
      <c r="B396" s="21"/>
      <c r="C396" s="22"/>
      <c r="D396" t="s">
        <v>113</v>
      </c>
      <c r="E396" s="272" t="s">
        <v>311</v>
      </c>
      <c r="F396" s="282">
        <v>5.43</v>
      </c>
      <c r="G396" s="132"/>
      <c r="H396" s="177">
        <v>226.22</v>
      </c>
      <c r="I396" s="106"/>
    </row>
    <row r="397" spans="1:9" ht="12.75" customHeight="1">
      <c r="A397" s="22"/>
      <c r="B397" s="21"/>
      <c r="C397" s="22"/>
      <c r="D397" t="s">
        <v>113</v>
      </c>
      <c r="E397" s="272" t="s">
        <v>323</v>
      </c>
      <c r="F397" s="282">
        <v>516.51</v>
      </c>
      <c r="G397" s="132"/>
      <c r="H397" s="177">
        <v>511.53</v>
      </c>
      <c r="I397" s="106"/>
    </row>
    <row r="398" spans="1:9" ht="12.75" customHeight="1">
      <c r="A398" s="22"/>
      <c r="B398" s="21"/>
      <c r="C398" s="22"/>
      <c r="D398" s="22" t="s">
        <v>113</v>
      </c>
      <c r="E398" s="272" t="s">
        <v>216</v>
      </c>
      <c r="F398" s="282">
        <v>18881.33</v>
      </c>
      <c r="G398" s="132"/>
      <c r="H398" s="177">
        <v>28951.16</v>
      </c>
      <c r="I398" s="106"/>
    </row>
    <row r="399" spans="1:9" ht="12.75" customHeight="1">
      <c r="A399" s="22"/>
      <c r="B399" s="21"/>
      <c r="C399" s="22"/>
      <c r="D399" s="22"/>
      <c r="E399" s="23"/>
      <c r="F399" s="132" t="s">
        <v>4</v>
      </c>
      <c r="G399" s="132"/>
      <c r="H399" s="106" t="s">
        <v>4</v>
      </c>
      <c r="I399" s="106"/>
    </row>
    <row r="400" spans="1:11" ht="16.5" customHeight="1">
      <c r="A400" s="65"/>
      <c r="B400" s="277" t="s">
        <v>122</v>
      </c>
      <c r="C400" s="47"/>
      <c r="D400" s="47"/>
      <c r="E400" s="69"/>
      <c r="F400" s="132" t="s">
        <v>4</v>
      </c>
      <c r="G400" s="263">
        <f>G249+G315</f>
        <v>-123312.2799999984</v>
      </c>
      <c r="H400" s="106" t="s">
        <v>4</v>
      </c>
      <c r="I400" s="267">
        <f>I249+I315</f>
        <v>-30230.170000000857</v>
      </c>
      <c r="K400" s="166"/>
    </row>
    <row r="401" spans="1:9" ht="12.75" customHeight="1">
      <c r="A401" s="22"/>
      <c r="B401" s="26" t="s">
        <v>123</v>
      </c>
      <c r="C401" s="22"/>
      <c r="D401" s="22"/>
      <c r="E401" s="23"/>
      <c r="F401" s="132" t="s">
        <v>4</v>
      </c>
      <c r="G401" s="132"/>
      <c r="H401" s="106" t="s">
        <v>4</v>
      </c>
      <c r="I401" s="106"/>
    </row>
    <row r="402" spans="1:9" ht="12.75" customHeight="1">
      <c r="A402" s="22"/>
      <c r="B402" s="21"/>
      <c r="C402" s="22"/>
      <c r="D402" s="22"/>
      <c r="E402" s="23"/>
      <c r="F402" s="132" t="s">
        <v>4</v>
      </c>
      <c r="G402" s="132"/>
      <c r="H402" s="106" t="s">
        <v>4</v>
      </c>
      <c r="I402" s="106"/>
    </row>
    <row r="403" spans="1:13" s="8" customFormat="1" ht="17.25" customHeight="1">
      <c r="A403" s="25"/>
      <c r="B403" s="277" t="s">
        <v>124</v>
      </c>
      <c r="C403" s="25"/>
      <c r="D403" s="25"/>
      <c r="E403" s="67"/>
      <c r="F403" s="138" t="s">
        <v>4</v>
      </c>
      <c r="G403" s="263">
        <f>F404+F408+F429</f>
        <v>208357.51</v>
      </c>
      <c r="H403" s="162" t="s">
        <v>4</v>
      </c>
      <c r="I403" s="267">
        <f>H404+H408+H429</f>
        <v>331216.74</v>
      </c>
      <c r="M403" s="122"/>
    </row>
    <row r="404" spans="1:9" ht="12.75" customHeight="1">
      <c r="A404" s="22"/>
      <c r="B404" s="21"/>
      <c r="C404" s="278" t="s">
        <v>125</v>
      </c>
      <c r="D404" s="22"/>
      <c r="E404" s="71"/>
      <c r="F404" s="262">
        <f>SUM(F405:F407)</f>
        <v>246523</v>
      </c>
      <c r="G404" s="132"/>
      <c r="H404" s="265">
        <f>SUM(H405:H407)</f>
        <v>331500</v>
      </c>
      <c r="I404" s="157" t="s">
        <v>4</v>
      </c>
    </row>
    <row r="405" spans="1:9" ht="12.75" customHeight="1">
      <c r="A405" s="22"/>
      <c r="B405" s="21"/>
      <c r="C405" s="289"/>
      <c r="E405" s="23" t="s">
        <v>126</v>
      </c>
      <c r="F405" s="404">
        <v>246523</v>
      </c>
      <c r="G405" s="132"/>
      <c r="H405" s="414">
        <v>331500</v>
      </c>
      <c r="I405" s="157"/>
    </row>
    <row r="406" spans="1:9" ht="12.75" customHeight="1">
      <c r="A406" s="22"/>
      <c r="B406" s="21"/>
      <c r="C406" s="289"/>
      <c r="E406" s="23" t="s">
        <v>127</v>
      </c>
      <c r="F406" s="284">
        <v>0</v>
      </c>
      <c r="G406" s="132"/>
      <c r="H406" s="285">
        <v>0</v>
      </c>
      <c r="I406" s="157"/>
    </row>
    <row r="407" spans="1:9" ht="12.75" customHeight="1">
      <c r="A407" s="22"/>
      <c r="B407" s="21"/>
      <c r="C407" s="289"/>
      <c r="E407" s="23" t="s">
        <v>128</v>
      </c>
      <c r="F407" s="284">
        <v>0</v>
      </c>
      <c r="G407" s="132"/>
      <c r="H407" s="285">
        <v>0</v>
      </c>
      <c r="I407" s="157"/>
    </row>
    <row r="408" spans="1:9" ht="12.75" customHeight="1">
      <c r="A408" s="22"/>
      <c r="B408" s="21"/>
      <c r="C408" s="278" t="s">
        <v>129</v>
      </c>
      <c r="D408" s="22"/>
      <c r="E408" s="71"/>
      <c r="F408" s="275">
        <f>SUM(F409+F414+F416+F419)</f>
        <v>73542.74</v>
      </c>
      <c r="G408" s="132" t="s">
        <v>4</v>
      </c>
      <c r="H408" s="276">
        <f>SUM(H409+H414+H416+H419)</f>
        <v>55089.18</v>
      </c>
      <c r="I408" s="157" t="s">
        <v>4</v>
      </c>
    </row>
    <row r="409" spans="1:9" ht="12.75" customHeight="1">
      <c r="A409" s="22"/>
      <c r="B409" s="21"/>
      <c r="C409" s="289"/>
      <c r="D409" s="33" t="s">
        <v>130</v>
      </c>
      <c r="E409" s="74"/>
      <c r="F409" s="284">
        <f>SUM(F410:F412)</f>
        <v>0</v>
      </c>
      <c r="G409" s="132"/>
      <c r="H409" s="285">
        <v>0</v>
      </c>
      <c r="I409" s="157"/>
    </row>
    <row r="410" spans="1:9" ht="12.75" customHeight="1">
      <c r="A410" s="22"/>
      <c r="B410" s="21"/>
      <c r="C410" s="289"/>
      <c r="D410" s="33"/>
      <c r="E410" s="23" t="s">
        <v>126</v>
      </c>
      <c r="F410" s="282">
        <v>0</v>
      </c>
      <c r="G410" s="132"/>
      <c r="H410" s="285">
        <v>0</v>
      </c>
      <c r="I410" s="157"/>
    </row>
    <row r="411" spans="1:9" ht="12.75" customHeight="1">
      <c r="A411" s="22"/>
      <c r="B411" s="21"/>
      <c r="C411" s="289"/>
      <c r="D411" s="29"/>
      <c r="E411" s="23" t="s">
        <v>127</v>
      </c>
      <c r="F411" s="282">
        <v>0</v>
      </c>
      <c r="G411" s="132"/>
      <c r="H411" s="285">
        <v>0</v>
      </c>
      <c r="I411" s="157"/>
    </row>
    <row r="412" spans="1:9" ht="12.75" customHeight="1">
      <c r="A412" s="22"/>
      <c r="B412" s="21"/>
      <c r="C412" s="289"/>
      <c r="D412" s="29"/>
      <c r="E412" s="23" t="s">
        <v>128</v>
      </c>
      <c r="F412" s="282">
        <v>0</v>
      </c>
      <c r="G412" s="132"/>
      <c r="H412" s="286">
        <v>0</v>
      </c>
      <c r="I412" s="157"/>
    </row>
    <row r="413" spans="1:9" ht="12.75" customHeight="1">
      <c r="A413" s="22"/>
      <c r="B413" s="21"/>
      <c r="C413" s="289"/>
      <c r="D413" s="33" t="s">
        <v>131</v>
      </c>
      <c r="E413" s="74"/>
      <c r="F413" s="142" t="s">
        <v>4</v>
      </c>
      <c r="G413" s="132"/>
      <c r="H413" s="167" t="s">
        <v>4</v>
      </c>
      <c r="I413" s="157"/>
    </row>
    <row r="414" spans="1:9" ht="12.75" customHeight="1">
      <c r="A414" s="22"/>
      <c r="B414" s="21"/>
      <c r="C414" s="289"/>
      <c r="D414" s="29"/>
      <c r="E414" s="77" t="s">
        <v>132</v>
      </c>
      <c r="F414" s="144"/>
      <c r="G414" s="132"/>
      <c r="H414" s="169"/>
      <c r="I414" s="157"/>
    </row>
    <row r="415" spans="1:9" ht="12.75" customHeight="1">
      <c r="A415" s="22"/>
      <c r="B415" s="21"/>
      <c r="C415" s="289"/>
      <c r="D415" s="33" t="s">
        <v>133</v>
      </c>
      <c r="E415" s="74"/>
      <c r="F415" s="142" t="s">
        <v>4</v>
      </c>
      <c r="G415" s="132"/>
      <c r="H415" s="167" t="s">
        <v>4</v>
      </c>
      <c r="I415" s="157"/>
    </row>
    <row r="416" spans="1:9" ht="12.75" customHeight="1">
      <c r="A416" s="22"/>
      <c r="B416" s="21"/>
      <c r="C416" s="289"/>
      <c r="D416" s="33"/>
      <c r="E416" s="74" t="s">
        <v>134</v>
      </c>
      <c r="F416" s="144"/>
      <c r="G416" s="132"/>
      <c r="H416" s="169"/>
      <c r="I416" s="157"/>
    </row>
    <row r="417" spans="1:9" ht="12.75" customHeight="1">
      <c r="A417" s="22"/>
      <c r="B417" s="21"/>
      <c r="C417" s="289"/>
      <c r="D417" s="33" t="s">
        <v>135</v>
      </c>
      <c r="E417" s="74"/>
      <c r="F417" s="142" t="s">
        <v>4</v>
      </c>
      <c r="G417" s="132"/>
      <c r="H417" s="167" t="s">
        <v>4</v>
      </c>
      <c r="I417" s="157"/>
    </row>
    <row r="418" spans="1:9" ht="12.75" customHeight="1">
      <c r="A418" s="22"/>
      <c r="B418" s="21"/>
      <c r="C418" s="289"/>
      <c r="D418" s="29"/>
      <c r="E418" s="77" t="s">
        <v>136</v>
      </c>
      <c r="F418" s="143" t="s">
        <v>4</v>
      </c>
      <c r="G418" s="132"/>
      <c r="H418" s="168" t="s">
        <v>4</v>
      </c>
      <c r="I418" s="157"/>
    </row>
    <row r="419" spans="1:9" ht="12.75" customHeight="1">
      <c r="A419" s="22"/>
      <c r="B419" s="21"/>
      <c r="C419" s="289"/>
      <c r="D419" s="29"/>
      <c r="E419" s="74" t="s">
        <v>137</v>
      </c>
      <c r="F419" s="290">
        <f>SUM(F420:F423)</f>
        <v>73542.74</v>
      </c>
      <c r="G419" s="132"/>
      <c r="H419" s="291">
        <f>SUM(H420:H423)</f>
        <v>55089.18</v>
      </c>
      <c r="I419" s="157"/>
    </row>
    <row r="420" spans="1:9" ht="12.75" customHeight="1">
      <c r="A420" s="22"/>
      <c r="B420" s="21"/>
      <c r="C420" s="289"/>
      <c r="D420" s="29"/>
      <c r="E420" s="23" t="s">
        <v>126</v>
      </c>
      <c r="F420" s="145"/>
      <c r="G420" s="132"/>
      <c r="H420" s="170"/>
      <c r="I420" s="157"/>
    </row>
    <row r="421" spans="1:9" ht="12.75" customHeight="1">
      <c r="A421" s="22"/>
      <c r="B421" s="21"/>
      <c r="C421" s="289"/>
      <c r="D421" s="29"/>
      <c r="E421" s="23" t="s">
        <v>127</v>
      </c>
      <c r="F421" s="145"/>
      <c r="G421" s="132"/>
      <c r="H421" s="170"/>
      <c r="I421" s="157"/>
    </row>
    <row r="422" spans="1:9" ht="12.75" customHeight="1">
      <c r="A422" s="22"/>
      <c r="B422" s="21"/>
      <c r="C422" s="289"/>
      <c r="D422" s="29"/>
      <c r="E422" s="23" t="s">
        <v>172</v>
      </c>
      <c r="F422" s="145"/>
      <c r="G422" s="132"/>
      <c r="H422" s="170"/>
      <c r="I422" s="157"/>
    </row>
    <row r="423" spans="1:9" ht="12.75" customHeight="1">
      <c r="A423" s="22"/>
      <c r="B423" s="21"/>
      <c r="C423" s="289"/>
      <c r="D423" s="29"/>
      <c r="E423" s="23" t="s">
        <v>128</v>
      </c>
      <c r="F423" s="290">
        <f>SUM(F424:F426)</f>
        <v>73542.74</v>
      </c>
      <c r="G423" s="132"/>
      <c r="H423" s="291">
        <f>SUM(H424:H426)</f>
        <v>55089.18</v>
      </c>
      <c r="I423" s="157"/>
    </row>
    <row r="424" spans="1:9" ht="12.75" customHeight="1">
      <c r="A424" s="22"/>
      <c r="B424" s="21"/>
      <c r="C424" s="289"/>
      <c r="D424" s="29"/>
      <c r="E424" s="86" t="s">
        <v>138</v>
      </c>
      <c r="F424" s="397">
        <v>73542.74</v>
      </c>
      <c r="G424" s="131"/>
      <c r="H424" s="415">
        <v>26554.56</v>
      </c>
      <c r="I424" s="159"/>
    </row>
    <row r="425" spans="1:9" ht="12.75" customHeight="1">
      <c r="A425" s="22"/>
      <c r="B425" s="21"/>
      <c r="C425" s="289"/>
      <c r="D425" s="29"/>
      <c r="E425" s="86" t="s">
        <v>139</v>
      </c>
      <c r="F425" s="405">
        <v>0</v>
      </c>
      <c r="G425" s="131"/>
      <c r="H425" s="395">
        <v>0</v>
      </c>
      <c r="I425" s="159"/>
    </row>
    <row r="426" spans="1:9" ht="12.75" customHeight="1">
      <c r="A426" s="22"/>
      <c r="B426" s="21"/>
      <c r="C426" s="289"/>
      <c r="D426" s="29"/>
      <c r="E426" s="86" t="s">
        <v>140</v>
      </c>
      <c r="F426" s="406">
        <v>0</v>
      </c>
      <c r="G426" s="131"/>
      <c r="H426" s="396">
        <v>28534.62</v>
      </c>
      <c r="I426" s="159"/>
    </row>
    <row r="427" spans="1:9" ht="12.75" customHeight="1">
      <c r="A427" s="22"/>
      <c r="B427" s="21"/>
      <c r="C427" s="278" t="s">
        <v>141</v>
      </c>
      <c r="D427" s="22"/>
      <c r="E427" s="23"/>
      <c r="F427" s="132" t="s">
        <v>4</v>
      </c>
      <c r="G427" s="132"/>
      <c r="H427" s="157" t="s">
        <v>4</v>
      </c>
      <c r="I427" s="157"/>
    </row>
    <row r="428" spans="1:9" ht="12.75" customHeight="1">
      <c r="A428" s="22"/>
      <c r="B428" s="21"/>
      <c r="C428" s="278"/>
      <c r="D428" s="22"/>
      <c r="E428" s="23" t="s">
        <v>142</v>
      </c>
      <c r="F428" s="132" t="s">
        <v>4</v>
      </c>
      <c r="G428" s="132"/>
      <c r="H428" s="157" t="s">
        <v>4</v>
      </c>
      <c r="I428" s="157"/>
    </row>
    <row r="429" spans="1:9" ht="12.75" customHeight="1">
      <c r="A429" s="22"/>
      <c r="B429" s="21"/>
      <c r="C429" s="278"/>
      <c r="D429" s="22"/>
      <c r="E429" s="23" t="s">
        <v>173</v>
      </c>
      <c r="F429" s="275">
        <f>F430+F431+F432+F433</f>
        <v>-111708.23</v>
      </c>
      <c r="G429" s="132" t="s">
        <v>4</v>
      </c>
      <c r="H429" s="276">
        <f>H430+H431+H432+H433</f>
        <v>-55372.439999999995</v>
      </c>
      <c r="I429" s="157" t="s">
        <v>4</v>
      </c>
    </row>
    <row r="430" spans="1:9" ht="12.75" customHeight="1">
      <c r="A430" s="22"/>
      <c r="B430" s="21"/>
      <c r="C430" s="278"/>
      <c r="D430" s="22"/>
      <c r="E430" s="23" t="s">
        <v>126</v>
      </c>
      <c r="F430" s="290">
        <v>0</v>
      </c>
      <c r="G430" s="132"/>
      <c r="H430" s="291">
        <v>0</v>
      </c>
      <c r="I430" s="157"/>
    </row>
    <row r="431" spans="1:9" ht="12.75" customHeight="1">
      <c r="A431" s="22"/>
      <c r="B431" s="21"/>
      <c r="C431" s="278"/>
      <c r="D431" s="22"/>
      <c r="E431" s="23" t="s">
        <v>127</v>
      </c>
      <c r="F431" s="290">
        <v>0</v>
      </c>
      <c r="G431" s="132"/>
      <c r="H431" s="291">
        <v>0</v>
      </c>
      <c r="I431" s="157"/>
    </row>
    <row r="432" spans="1:9" ht="12.75" customHeight="1">
      <c r="A432" s="22"/>
      <c r="B432" s="21"/>
      <c r="C432" s="278"/>
      <c r="D432" s="22"/>
      <c r="E432" s="23" t="s">
        <v>172</v>
      </c>
      <c r="F432" s="290">
        <v>0</v>
      </c>
      <c r="G432" s="132"/>
      <c r="H432" s="291">
        <v>0</v>
      </c>
      <c r="I432" s="157"/>
    </row>
    <row r="433" spans="1:9" ht="12.75" customHeight="1">
      <c r="A433" s="22"/>
      <c r="B433" s="21"/>
      <c r="C433" s="278"/>
      <c r="D433" s="22"/>
      <c r="E433" s="23" t="s">
        <v>128</v>
      </c>
      <c r="F433" s="290">
        <f>SUM(F434:F438)</f>
        <v>-111708.23</v>
      </c>
      <c r="G433" s="132"/>
      <c r="H433" s="291">
        <f>SUM(H434:H438)</f>
        <v>-55372.439999999995</v>
      </c>
      <c r="I433" s="157"/>
    </row>
    <row r="434" spans="1:9" ht="12.75" customHeight="1">
      <c r="A434" s="22"/>
      <c r="B434" s="21"/>
      <c r="C434" s="278"/>
      <c r="D434" s="22"/>
      <c r="E434" s="86" t="s">
        <v>143</v>
      </c>
      <c r="F434" s="292">
        <v>-109183.8</v>
      </c>
      <c r="G434" s="131"/>
      <c r="H434" s="398">
        <v>-47309.95</v>
      </c>
      <c r="I434" s="159"/>
    </row>
    <row r="435" spans="1:9" ht="12.75" customHeight="1">
      <c r="A435" s="22"/>
      <c r="B435" s="21"/>
      <c r="C435" s="278"/>
      <c r="D435" s="22"/>
      <c r="E435" s="86" t="s">
        <v>144</v>
      </c>
      <c r="F435" s="292">
        <v>0</v>
      </c>
      <c r="G435" s="131"/>
      <c r="H435" s="398">
        <v>-27.79</v>
      </c>
      <c r="I435" s="159"/>
    </row>
    <row r="436" spans="1:9" ht="12.75" customHeight="1">
      <c r="A436" s="22"/>
      <c r="B436" s="21"/>
      <c r="C436" s="278"/>
      <c r="D436" s="22"/>
      <c r="E436" s="86" t="s">
        <v>145</v>
      </c>
      <c r="F436" s="407">
        <f>-2480.5-43.93</f>
        <v>-2524.43</v>
      </c>
      <c r="G436" s="131"/>
      <c r="H436" s="399">
        <v>-8034.7</v>
      </c>
      <c r="I436" s="159"/>
    </row>
    <row r="437" spans="1:9" ht="12.75" customHeight="1">
      <c r="A437" s="22"/>
      <c r="B437" s="21"/>
      <c r="C437" s="278"/>
      <c r="D437" s="22"/>
      <c r="E437" s="86"/>
      <c r="F437" s="146"/>
      <c r="G437" s="131"/>
      <c r="H437" s="171"/>
      <c r="I437" s="159"/>
    </row>
    <row r="438" spans="1:9" ht="12.75" customHeight="1" thickBot="1">
      <c r="A438" s="22"/>
      <c r="B438" s="21"/>
      <c r="C438" s="278" t="s">
        <v>280</v>
      </c>
      <c r="D438" s="22"/>
      <c r="E438" s="23"/>
      <c r="F438" s="268">
        <v>0</v>
      </c>
      <c r="G438" s="132"/>
      <c r="H438" s="264">
        <v>0</v>
      </c>
      <c r="I438" s="157"/>
    </row>
    <row r="439" spans="1:9" ht="12.75" customHeight="1" thickTop="1">
      <c r="A439" s="22"/>
      <c r="B439" s="21"/>
      <c r="C439" s="22"/>
      <c r="D439" s="22"/>
      <c r="E439" s="23"/>
      <c r="F439" s="147" t="s">
        <v>4</v>
      </c>
      <c r="G439" s="132"/>
      <c r="H439" s="172" t="s">
        <v>4</v>
      </c>
      <c r="I439" s="157"/>
    </row>
    <row r="440" spans="1:13" s="8" customFormat="1" ht="16.5" customHeight="1">
      <c r="A440" s="34"/>
      <c r="B440" s="389" t="s">
        <v>146</v>
      </c>
      <c r="C440" s="34"/>
      <c r="D440" s="34"/>
      <c r="E440" s="67"/>
      <c r="F440" s="138" t="s">
        <v>4</v>
      </c>
      <c r="G440" s="263">
        <f>F441+F447</f>
        <v>0</v>
      </c>
      <c r="H440" s="162" t="s">
        <v>4</v>
      </c>
      <c r="I440" s="267">
        <v>0</v>
      </c>
      <c r="M440" s="122"/>
    </row>
    <row r="441" spans="2:9" ht="12.75" customHeight="1">
      <c r="B441" s="48"/>
      <c r="C441" s="289" t="s">
        <v>147</v>
      </c>
      <c r="E441" s="71"/>
      <c r="F441" s="139">
        <f>F442+F444+F446</f>
        <v>0</v>
      </c>
      <c r="G441" s="132"/>
      <c r="H441" s="163">
        <v>0</v>
      </c>
      <c r="I441" s="157"/>
    </row>
    <row r="442" spans="2:9" ht="12.75" customHeight="1">
      <c r="B442" s="48"/>
      <c r="C442" s="289"/>
      <c r="D442" s="29" t="s">
        <v>148</v>
      </c>
      <c r="E442" s="74"/>
      <c r="F442" s="140"/>
      <c r="G442" s="132"/>
      <c r="H442" s="164"/>
      <c r="I442" s="157"/>
    </row>
    <row r="443" spans="2:9" ht="12.75" customHeight="1">
      <c r="B443" s="48"/>
      <c r="C443" s="289"/>
      <c r="D443" s="29" t="s">
        <v>149</v>
      </c>
      <c r="E443" s="74"/>
      <c r="F443" s="140" t="s">
        <v>4</v>
      </c>
      <c r="G443" s="132"/>
      <c r="H443" s="164" t="s">
        <v>4</v>
      </c>
      <c r="I443" s="157"/>
    </row>
    <row r="444" spans="2:9" ht="12.75" customHeight="1">
      <c r="B444" s="48"/>
      <c r="C444" s="289"/>
      <c r="D444" s="29" t="s">
        <v>4</v>
      </c>
      <c r="E444" s="74" t="s">
        <v>150</v>
      </c>
      <c r="F444" s="140"/>
      <c r="G444" s="132"/>
      <c r="H444" s="164"/>
      <c r="I444" s="157"/>
    </row>
    <row r="445" spans="2:9" ht="12.75" customHeight="1">
      <c r="B445" s="48"/>
      <c r="C445" s="289"/>
      <c r="D445" s="29" t="s">
        <v>151</v>
      </c>
      <c r="E445" s="74"/>
      <c r="F445" s="140" t="s">
        <v>4</v>
      </c>
      <c r="G445" s="132"/>
      <c r="H445" s="164" t="s">
        <v>4</v>
      </c>
      <c r="I445" s="157"/>
    </row>
    <row r="446" spans="2:9" ht="12.75" customHeight="1">
      <c r="B446" s="48"/>
      <c r="C446" s="289"/>
      <c r="D446" s="29"/>
      <c r="E446" s="74" t="s">
        <v>134</v>
      </c>
      <c r="F446" s="141"/>
      <c r="G446" s="132"/>
      <c r="H446" s="165"/>
      <c r="I446" s="157"/>
    </row>
    <row r="447" spans="2:9" ht="12.75" customHeight="1">
      <c r="B447" s="48"/>
      <c r="C447" s="289" t="s">
        <v>152</v>
      </c>
      <c r="E447" s="71"/>
      <c r="F447" s="137">
        <f>F448+F450+F452</f>
        <v>0</v>
      </c>
      <c r="G447" s="132"/>
      <c r="H447" s="158">
        <v>0</v>
      </c>
      <c r="I447" s="157"/>
    </row>
    <row r="448" spans="2:9" ht="12.75" customHeight="1">
      <c r="B448" s="48"/>
      <c r="C448" s="289"/>
      <c r="D448" s="29" t="s">
        <v>148</v>
      </c>
      <c r="E448" s="74"/>
      <c r="F448" s="131"/>
      <c r="G448" s="132"/>
      <c r="H448" s="159"/>
      <c r="I448" s="157"/>
    </row>
    <row r="449" spans="2:9" ht="12.75" customHeight="1">
      <c r="B449" s="48"/>
      <c r="C449" s="289"/>
      <c r="D449" s="29" t="s">
        <v>153</v>
      </c>
      <c r="E449" s="74"/>
      <c r="F449" s="131" t="s">
        <v>4</v>
      </c>
      <c r="G449" s="132"/>
      <c r="H449" s="159" t="s">
        <v>4</v>
      </c>
      <c r="I449" s="157"/>
    </row>
    <row r="450" spans="2:9" ht="12.75" customHeight="1">
      <c r="B450" s="48"/>
      <c r="C450" s="289"/>
      <c r="D450" s="29" t="s">
        <v>4</v>
      </c>
      <c r="E450" s="74" t="s">
        <v>150</v>
      </c>
      <c r="F450" s="131"/>
      <c r="G450" s="132"/>
      <c r="H450" s="159"/>
      <c r="I450" s="157"/>
    </row>
    <row r="451" spans="2:9" ht="12.75" customHeight="1">
      <c r="B451" s="48"/>
      <c r="C451" s="289"/>
      <c r="D451" s="29" t="s">
        <v>151</v>
      </c>
      <c r="E451" s="74"/>
      <c r="F451" s="131" t="s">
        <v>4</v>
      </c>
      <c r="G451" s="132"/>
      <c r="H451" s="159" t="s">
        <v>4</v>
      </c>
      <c r="I451" s="157"/>
    </row>
    <row r="452" spans="2:9" ht="12.75" customHeight="1" thickBot="1">
      <c r="B452" s="48"/>
      <c r="D452" s="29"/>
      <c r="E452" s="74" t="s">
        <v>134</v>
      </c>
      <c r="F452" s="148"/>
      <c r="G452" s="132"/>
      <c r="H452" s="173"/>
      <c r="I452" s="157"/>
    </row>
    <row r="453" spans="2:9" ht="12.75" customHeight="1" thickTop="1">
      <c r="B453" s="48"/>
      <c r="E453" s="71"/>
      <c r="F453" s="132" t="s">
        <v>4</v>
      </c>
      <c r="G453" s="132"/>
      <c r="H453" s="157" t="s">
        <v>4</v>
      </c>
      <c r="I453" s="157"/>
    </row>
    <row r="454" spans="1:13" s="8" customFormat="1" ht="16.5" customHeight="1">
      <c r="A454" s="34"/>
      <c r="B454" s="388" t="s">
        <v>154</v>
      </c>
      <c r="C454" s="34"/>
      <c r="D454" s="34"/>
      <c r="E454" s="67"/>
      <c r="F454" s="138" t="s">
        <v>4</v>
      </c>
      <c r="G454" s="263">
        <f>F457+F464</f>
        <v>93488.22</v>
      </c>
      <c r="H454" s="162" t="s">
        <v>4</v>
      </c>
      <c r="I454" s="267">
        <f>H457+H464</f>
        <v>89551.09000000001</v>
      </c>
      <c r="M454" s="122"/>
    </row>
    <row r="455" spans="2:9" ht="12.75" customHeight="1">
      <c r="B455" s="48"/>
      <c r="C455" s="289" t="s">
        <v>155</v>
      </c>
      <c r="E455" s="71"/>
      <c r="F455" s="142" t="s">
        <v>4</v>
      </c>
      <c r="G455" s="132"/>
      <c r="H455" s="167" t="s">
        <v>4</v>
      </c>
      <c r="I455" s="157"/>
    </row>
    <row r="456" spans="2:9" ht="12.75" customHeight="1">
      <c r="B456" s="48"/>
      <c r="E456" s="71" t="s">
        <v>156</v>
      </c>
      <c r="F456" s="143" t="s">
        <v>4</v>
      </c>
      <c r="G456" s="132"/>
      <c r="H456" s="168" t="s">
        <v>4</v>
      </c>
      <c r="I456" s="157"/>
    </row>
    <row r="457" spans="2:9" ht="12.75" customHeight="1">
      <c r="B457" s="48"/>
      <c r="E457" s="71" t="s">
        <v>157</v>
      </c>
      <c r="F457" s="268">
        <f>SUM(F458:F460)</f>
        <v>169871.16</v>
      </c>
      <c r="G457" s="132"/>
      <c r="H457" s="264">
        <f>SUM(H458:H460)</f>
        <v>101420.85</v>
      </c>
      <c r="I457" s="157"/>
    </row>
    <row r="458" spans="2:9" ht="12.75" customHeight="1">
      <c r="B458" s="48"/>
      <c r="E458" s="71" t="s">
        <v>174</v>
      </c>
      <c r="F458" s="152">
        <f>453.32-453.32</f>
        <v>0</v>
      </c>
      <c r="G458" s="132"/>
      <c r="H458" s="293">
        <v>0</v>
      </c>
      <c r="I458" s="157"/>
    </row>
    <row r="459" spans="2:9" ht="12.75" customHeight="1">
      <c r="B459" s="48"/>
      <c r="E459" s="71" t="s">
        <v>175</v>
      </c>
      <c r="F459" s="152">
        <v>169581.77</v>
      </c>
      <c r="G459" s="149"/>
      <c r="H459" s="177">
        <v>101420.85</v>
      </c>
      <c r="I459" s="174"/>
    </row>
    <row r="460" spans="2:9" ht="12.75" customHeight="1" thickBot="1">
      <c r="B460" s="48"/>
      <c r="E460" s="71" t="s">
        <v>176</v>
      </c>
      <c r="F460" s="295">
        <v>289.39</v>
      </c>
      <c r="G460" s="132"/>
      <c r="H460" s="294">
        <v>0</v>
      </c>
      <c r="I460" s="157"/>
    </row>
    <row r="461" spans="2:9" ht="12.75" customHeight="1" thickTop="1">
      <c r="B461" s="48"/>
      <c r="C461" s="289" t="s">
        <v>158</v>
      </c>
      <c r="E461" s="71"/>
      <c r="F461" s="132" t="s">
        <v>4</v>
      </c>
      <c r="G461" s="132"/>
      <c r="H461" s="157" t="s">
        <v>4</v>
      </c>
      <c r="I461" s="157"/>
    </row>
    <row r="462" spans="2:9" ht="12.75" customHeight="1">
      <c r="B462" s="48"/>
      <c r="E462" s="71" t="s">
        <v>159</v>
      </c>
      <c r="F462" s="132" t="s">
        <v>4</v>
      </c>
      <c r="G462" s="132"/>
      <c r="H462" s="157" t="s">
        <v>4</v>
      </c>
      <c r="I462" s="157"/>
    </row>
    <row r="463" spans="2:9" ht="12.75" customHeight="1">
      <c r="B463" s="48"/>
      <c r="E463" s="71" t="s">
        <v>160</v>
      </c>
      <c r="F463" s="132" t="s">
        <v>4</v>
      </c>
      <c r="G463" s="132"/>
      <c r="H463" s="157" t="s">
        <v>4</v>
      </c>
      <c r="I463" s="157"/>
    </row>
    <row r="464" spans="2:9" ht="12.75" customHeight="1">
      <c r="B464" s="48"/>
      <c r="E464" s="71" t="s">
        <v>161</v>
      </c>
      <c r="F464" s="268">
        <f>SUM(F465:F466)</f>
        <v>-76382.94</v>
      </c>
      <c r="G464" s="150"/>
      <c r="H464" s="264">
        <f>SUM(H465:H466)</f>
        <v>-11869.76</v>
      </c>
      <c r="I464" s="175"/>
    </row>
    <row r="465" spans="2:9" ht="12.75" customHeight="1">
      <c r="B465" s="48"/>
      <c r="E465" s="71" t="s">
        <v>177</v>
      </c>
      <c r="F465" s="152">
        <v>0</v>
      </c>
      <c r="G465" s="132"/>
      <c r="H465" s="177">
        <v>0</v>
      </c>
      <c r="I465" s="157"/>
    </row>
    <row r="466" spans="2:9" ht="12.75" customHeight="1">
      <c r="B466" s="48"/>
      <c r="E466" s="71" t="s">
        <v>178</v>
      </c>
      <c r="F466" s="152">
        <v>-76382.94</v>
      </c>
      <c r="G466" s="132"/>
      <c r="H466" s="177">
        <v>-11869.76</v>
      </c>
      <c r="I466" s="157"/>
    </row>
    <row r="467" spans="2:9" ht="12.75" customHeight="1" thickBot="1">
      <c r="B467" s="48"/>
      <c r="E467" s="71" t="s">
        <v>176</v>
      </c>
      <c r="F467" s="296">
        <v>0</v>
      </c>
      <c r="G467" s="132"/>
      <c r="H467" s="177"/>
      <c r="I467" s="157"/>
    </row>
    <row r="468" spans="2:9" ht="12.75" customHeight="1" thickTop="1">
      <c r="B468" s="48"/>
      <c r="E468" s="71"/>
      <c r="F468" s="147" t="s">
        <v>4</v>
      </c>
      <c r="G468" s="132"/>
      <c r="H468" s="172" t="s">
        <v>4</v>
      </c>
      <c r="I468" s="157"/>
    </row>
    <row r="469" spans="1:9" ht="17.25" customHeight="1">
      <c r="A469" s="1"/>
      <c r="B469" s="389" t="s">
        <v>162</v>
      </c>
      <c r="E469" s="71"/>
      <c r="F469" s="151" t="s">
        <v>4</v>
      </c>
      <c r="G469" s="263">
        <f>G400+G403+G440+G454</f>
        <v>178533.4500000016</v>
      </c>
      <c r="H469" s="176" t="s">
        <v>4</v>
      </c>
      <c r="I469" s="267">
        <f>I400+I403+I440+I454</f>
        <v>390537.65999999916</v>
      </c>
    </row>
    <row r="470" spans="1:9" ht="12.75" customHeight="1">
      <c r="A470" s="1"/>
      <c r="B470" s="48"/>
      <c r="E470" s="71"/>
      <c r="F470" s="132" t="s">
        <v>4</v>
      </c>
      <c r="G470" s="132"/>
      <c r="H470" s="157" t="s">
        <v>4</v>
      </c>
      <c r="I470" s="157"/>
    </row>
    <row r="471" spans="1:9" ht="12.75" customHeight="1">
      <c r="A471" s="1"/>
      <c r="B471" s="48"/>
      <c r="C471" s="18" t="s">
        <v>281</v>
      </c>
      <c r="E471" s="71"/>
      <c r="F471" s="132" t="s">
        <v>4</v>
      </c>
      <c r="G471" s="297">
        <f>SUM(F473:F474)</f>
        <v>174803</v>
      </c>
      <c r="H471" s="157" t="s">
        <v>4</v>
      </c>
      <c r="I471" s="298">
        <f>SUM(H473+H474)</f>
        <v>377117.66</v>
      </c>
    </row>
    <row r="472" spans="1:9" ht="12.75" customHeight="1">
      <c r="A472" s="1"/>
      <c r="B472" s="48"/>
      <c r="E472" s="71" t="s">
        <v>282</v>
      </c>
      <c r="F472" s="132"/>
      <c r="G472" s="152"/>
      <c r="H472" s="157"/>
      <c r="I472" s="177"/>
    </row>
    <row r="473" spans="1:9" ht="12.75" customHeight="1">
      <c r="A473" s="1"/>
      <c r="B473" s="48"/>
      <c r="D473" s="18" t="s">
        <v>113</v>
      </c>
      <c r="E473" s="71" t="s">
        <v>163</v>
      </c>
      <c r="F473" s="408">
        <v>121973</v>
      </c>
      <c r="G473" s="152"/>
      <c r="H473" s="416">
        <v>117732.39</v>
      </c>
      <c r="I473" s="177"/>
    </row>
    <row r="474" spans="1:9" ht="15.75" customHeight="1" thickBot="1">
      <c r="A474" s="1"/>
      <c r="B474" s="48"/>
      <c r="D474" s="18" t="s">
        <v>113</v>
      </c>
      <c r="E474" s="71" t="s">
        <v>283</v>
      </c>
      <c r="F474" s="409">
        <v>52830</v>
      </c>
      <c r="G474" s="152"/>
      <c r="H474" s="417">
        <v>259385.27</v>
      </c>
      <c r="I474" s="177"/>
    </row>
    <row r="475" spans="1:9" ht="12.75" customHeight="1" thickTop="1">
      <c r="A475" s="1"/>
      <c r="B475" s="48"/>
      <c r="E475" s="71"/>
      <c r="F475" s="132" t="s">
        <v>4</v>
      </c>
      <c r="G475" s="152"/>
      <c r="H475" s="157" t="s">
        <v>4</v>
      </c>
      <c r="I475" s="177"/>
    </row>
    <row r="476" spans="1:12" ht="15.75" customHeight="1">
      <c r="A476" s="1"/>
      <c r="B476" s="48"/>
      <c r="C476" s="386" t="s">
        <v>326</v>
      </c>
      <c r="E476" s="71"/>
      <c r="F476" s="132" t="s">
        <v>4</v>
      </c>
      <c r="G476" s="263">
        <f>G469-G471</f>
        <v>3730.4500000016124</v>
      </c>
      <c r="H476" s="176" t="s">
        <v>4</v>
      </c>
      <c r="I476" s="267">
        <f>I469-I471</f>
        <v>13419.999999999185</v>
      </c>
      <c r="L476" s="166"/>
    </row>
    <row r="477" spans="1:9" ht="12.75" customHeight="1" thickBot="1">
      <c r="A477" s="1"/>
      <c r="B477" s="49"/>
      <c r="C477" s="50"/>
      <c r="D477" s="50"/>
      <c r="E477" s="51"/>
      <c r="F477" s="153" t="s">
        <v>4</v>
      </c>
      <c r="G477" s="154"/>
      <c r="H477" s="178" t="s">
        <v>4</v>
      </c>
      <c r="I477" s="179"/>
    </row>
    <row r="478" ht="12" customHeight="1" thickTop="1">
      <c r="F478" s="16" t="s">
        <v>4</v>
      </c>
    </row>
    <row r="479" ht="12.75">
      <c r="G479" s="237"/>
    </row>
    <row r="480" ht="12.75">
      <c r="G480" s="237"/>
    </row>
  </sheetData>
  <sheetProtection password="C052"/>
  <mergeCells count="2">
    <mergeCell ref="F246:G246"/>
    <mergeCell ref="H246:I246"/>
  </mergeCells>
  <printOptions horizontalCentered="1"/>
  <pageMargins left="0" right="0" top="0.11811023622047245" bottom="0.5118110236220472" header="0" footer="0"/>
  <pageSetup fitToHeight="0" fitToWidth="1" horizontalDpi="600" verticalDpi="600" orientation="portrait" paperSize="9" scale="94" r:id="rId1"/>
  <rowBreaks count="7" manualBreakCount="7">
    <brk id="65" min="1" max="8" man="1"/>
    <brk id="132" min="1" max="8" man="1"/>
    <brk id="194" min="1" max="8" man="1"/>
    <brk id="242" min="1" max="8" man="1"/>
    <brk id="305" min="1" max="8" man="1"/>
    <brk id="361" min="1" max="8" man="1"/>
    <brk id="425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G123"/>
  <sheetViews>
    <sheetView zoomScale="90" zoomScaleNormal="90" workbookViewId="0" topLeftCell="A1">
      <pane ySplit="3" topLeftCell="BM49" activePane="bottomLeft" state="frozen"/>
      <selection pane="topLeft" activeCell="A1" sqref="A1"/>
      <selection pane="bottomLeft" activeCell="D56" sqref="D56"/>
    </sheetView>
  </sheetViews>
  <sheetFormatPr defaultColWidth="9.00390625" defaultRowHeight="12"/>
  <cols>
    <col min="2" max="2" width="14.625" style="0" customWidth="1"/>
    <col min="3" max="3" width="17.875" style="203" customWidth="1"/>
    <col min="4" max="4" width="20.375" style="206" customWidth="1"/>
    <col min="5" max="5" width="18.00390625" style="0" customWidth="1"/>
    <col min="6" max="6" width="17.125" style="0" customWidth="1"/>
  </cols>
  <sheetData>
    <row r="3" spans="3:4" ht="12">
      <c r="C3" s="205">
        <v>2702165</v>
      </c>
      <c r="D3" s="204">
        <v>36159</v>
      </c>
    </row>
    <row r="4" ht="25.5" customHeight="1"/>
    <row r="5" spans="3:4" ht="12">
      <c r="C5" s="203">
        <v>1861930</v>
      </c>
      <c r="D5" s="206" t="s">
        <v>218</v>
      </c>
    </row>
    <row r="6" spans="3:4" ht="12">
      <c r="C6" s="203">
        <v>-614029</v>
      </c>
      <c r="D6" s="206" t="s">
        <v>219</v>
      </c>
    </row>
    <row r="7" spans="3:4" ht="12">
      <c r="C7" s="203">
        <v>1454264</v>
      </c>
      <c r="D7" s="206" t="s">
        <v>220</v>
      </c>
    </row>
    <row r="9" ht="12">
      <c r="C9" s="205">
        <f>SUM(C5:C8)</f>
        <v>2702165</v>
      </c>
    </row>
    <row r="10" ht="24.75" customHeight="1"/>
    <row r="11" spans="3:4" ht="12">
      <c r="C11" s="203">
        <v>105594</v>
      </c>
      <c r="D11" s="206" t="s">
        <v>228</v>
      </c>
    </row>
    <row r="12" spans="3:4" ht="12">
      <c r="C12" s="203">
        <v>29582</v>
      </c>
      <c r="D12" s="206" t="s">
        <v>229</v>
      </c>
    </row>
    <row r="13" spans="3:4" ht="12">
      <c r="C13" s="203">
        <v>191477</v>
      </c>
      <c r="D13" s="206" t="s">
        <v>230</v>
      </c>
    </row>
    <row r="14" spans="3:4" ht="12">
      <c r="C14" s="203">
        <v>865530</v>
      </c>
      <c r="D14" s="206" t="s">
        <v>231</v>
      </c>
    </row>
    <row r="16" ht="12">
      <c r="C16" s="205">
        <f>SUM(C11:C15)</f>
        <v>1192183</v>
      </c>
    </row>
    <row r="18" spans="3:4" ht="12">
      <c r="C18" s="203">
        <v>253064</v>
      </c>
      <c r="D18" s="206" t="s">
        <v>221</v>
      </c>
    </row>
    <row r="19" spans="3:4" ht="12">
      <c r="C19" s="203">
        <v>115686</v>
      </c>
      <c r="D19" s="206" t="s">
        <v>222</v>
      </c>
    </row>
    <row r="20" spans="3:4" ht="12">
      <c r="C20" s="203">
        <v>113582</v>
      </c>
      <c r="D20" s="206" t="s">
        <v>223</v>
      </c>
    </row>
    <row r="21" spans="3:4" ht="12">
      <c r="C21" s="203">
        <v>49580</v>
      </c>
      <c r="D21" s="206" t="s">
        <v>222</v>
      </c>
    </row>
    <row r="22" spans="3:4" ht="12">
      <c r="C22" s="203">
        <v>80035</v>
      </c>
      <c r="D22" s="206" t="s">
        <v>223</v>
      </c>
    </row>
    <row r="24" spans="3:4" ht="12">
      <c r="C24" s="205">
        <f>SUM(C18:C23)</f>
        <v>611947</v>
      </c>
      <c r="D24" s="210"/>
    </row>
    <row r="25" ht="12">
      <c r="D25" s="207"/>
    </row>
    <row r="26" spans="3:4" ht="12">
      <c r="C26" s="212">
        <f>C16+C24</f>
        <v>1804130</v>
      </c>
      <c r="D26" s="207" t="s">
        <v>232</v>
      </c>
    </row>
    <row r="27" ht="12">
      <c r="D27" s="207"/>
    </row>
    <row r="28" spans="3:4" ht="12">
      <c r="C28" s="209">
        <v>57799</v>
      </c>
      <c r="D28" s="206" t="s">
        <v>227</v>
      </c>
    </row>
    <row r="30" spans="3:4" ht="12">
      <c r="C30" s="211">
        <f>SUM(C26:C28)</f>
        <v>1861929</v>
      </c>
      <c r="D30" s="206" t="s">
        <v>233</v>
      </c>
    </row>
    <row r="34" spans="3:4" ht="12">
      <c r="C34" s="203">
        <v>-269731</v>
      </c>
      <c r="D34" s="206" t="s">
        <v>225</v>
      </c>
    </row>
    <row r="35" spans="3:4" ht="12">
      <c r="C35" s="203">
        <v>-344297.39</v>
      </c>
      <c r="D35" s="206" t="s">
        <v>226</v>
      </c>
    </row>
    <row r="37" spans="3:4" ht="12">
      <c r="C37" s="208">
        <f>167848.49+160898.23+111575.73+309874.14</f>
        <v>750196.59</v>
      </c>
      <c r="D37" s="206" t="s">
        <v>224</v>
      </c>
    </row>
    <row r="38" spans="3:5" ht="12">
      <c r="C38" s="203">
        <v>-290644.94</v>
      </c>
      <c r="D38" s="206" t="s">
        <v>225</v>
      </c>
      <c r="E38" s="203">
        <f>C34+C38</f>
        <v>-560375.94</v>
      </c>
    </row>
    <row r="39" spans="3:5" ht="12">
      <c r="C39" s="203">
        <v>-226444</v>
      </c>
      <c r="D39" s="206" t="s">
        <v>226</v>
      </c>
      <c r="E39" s="203">
        <f>C35+C39</f>
        <v>-570741.39</v>
      </c>
    </row>
    <row r="40" spans="3:5" ht="12">
      <c r="C40" s="209"/>
      <c r="D40" s="215"/>
      <c r="E40" s="216"/>
    </row>
    <row r="42" spans="3:5" ht="12">
      <c r="C42" s="203">
        <v>2364488808</v>
      </c>
      <c r="D42" s="213">
        <f>C42/1936.27</f>
        <v>1221156.5577114762</v>
      </c>
      <c r="E42" s="206" t="s">
        <v>240</v>
      </c>
    </row>
    <row r="43" spans="3:5" ht="12">
      <c r="C43" s="209"/>
      <c r="D43" s="215"/>
      <c r="E43" s="216"/>
    </row>
    <row r="44" spans="3:5" ht="12">
      <c r="C44" s="203">
        <v>438456582</v>
      </c>
      <c r="D44" s="214">
        <f>C44/1936.27</f>
        <v>226443.92672509517</v>
      </c>
      <c r="E44" t="s">
        <v>235</v>
      </c>
    </row>
    <row r="45" spans="3:5" ht="12">
      <c r="C45" s="203">
        <v>325000000</v>
      </c>
      <c r="D45" s="214">
        <f>C45/1936.27</f>
        <v>167848.4922040831</v>
      </c>
      <c r="E45" t="s">
        <v>236</v>
      </c>
    </row>
    <row r="46" spans="3:5" ht="12">
      <c r="C46" s="203">
        <v>398038271</v>
      </c>
      <c r="D46" s="214">
        <f>C46/1936.27</f>
        <v>205569.61115960067</v>
      </c>
      <c r="E46" t="s">
        <v>237</v>
      </c>
    </row>
    <row r="47" spans="3:5" ht="12">
      <c r="C47" s="203">
        <v>14067250</v>
      </c>
      <c r="D47" s="219">
        <f>C47/1936.27</f>
        <v>7265.128313716579</v>
      </c>
      <c r="E47" t="s">
        <v>235</v>
      </c>
    </row>
    <row r="48" ht="12">
      <c r="D48" s="214"/>
    </row>
    <row r="49" spans="3:5" ht="12">
      <c r="C49" s="203">
        <v>45594000</v>
      </c>
      <c r="D49" s="214">
        <f>C49/1936.27</f>
        <v>23547.335857086047</v>
      </c>
      <c r="E49" t="s">
        <v>238</v>
      </c>
    </row>
    <row r="50" spans="3:5" ht="12">
      <c r="C50" s="203">
        <v>96453932</v>
      </c>
      <c r="D50" s="219">
        <f>C50/1936.27</f>
        <v>49814.298625708194</v>
      </c>
      <c r="E50" t="s">
        <v>239</v>
      </c>
    </row>
    <row r="51" spans="3:5" ht="12">
      <c r="C51" s="203">
        <v>476679000</v>
      </c>
      <c r="D51" s="214">
        <f>C51/1936.27</f>
        <v>246184.15820107734</v>
      </c>
      <c r="E51" t="s">
        <v>238</v>
      </c>
    </row>
    <row r="52" spans="3:5" ht="12">
      <c r="C52" s="203">
        <v>570198773</v>
      </c>
      <c r="D52" s="219">
        <f>C52/1936.27</f>
        <v>294483.09016821004</v>
      </c>
      <c r="E52" t="s">
        <v>239</v>
      </c>
    </row>
    <row r="53" ht="12">
      <c r="D53" s="214"/>
    </row>
    <row r="54" spans="4:5" ht="12">
      <c r="D54" s="213">
        <f>SUM(D44:D52)</f>
        <v>1221156.0412545772</v>
      </c>
      <c r="E54" s="206" t="s">
        <v>241</v>
      </c>
    </row>
    <row r="55" ht="12">
      <c r="D55" s="214"/>
    </row>
    <row r="56" spans="3:5" ht="12">
      <c r="C56" s="203">
        <v>325000000</v>
      </c>
      <c r="D56" s="214">
        <f>C56/1936.27</f>
        <v>167848.4922040831</v>
      </c>
      <c r="E56" t="s">
        <v>242</v>
      </c>
    </row>
    <row r="57" spans="2:5" ht="12">
      <c r="B57" s="218">
        <f>SUM(D56:D59)</f>
        <v>750196.5908680091</v>
      </c>
      <c r="C57" s="203">
        <v>311542415</v>
      </c>
      <c r="D57" s="219">
        <f>C57/1936.27</f>
        <v>160898.2295857499</v>
      </c>
      <c r="E57" t="s">
        <v>243</v>
      </c>
    </row>
    <row r="58" spans="3:5" ht="12">
      <c r="C58" s="203">
        <v>216040738</v>
      </c>
      <c r="D58" s="214">
        <f>C58/1936.27</f>
        <v>111575.72962448419</v>
      </c>
      <c r="E58" t="s">
        <v>244</v>
      </c>
    </row>
    <row r="59" spans="3:6" ht="12">
      <c r="C59" s="203">
        <v>600000000</v>
      </c>
      <c r="D59" s="219">
        <f>C59/1936.27</f>
        <v>309874.1394536919</v>
      </c>
      <c r="E59" t="s">
        <v>245</v>
      </c>
      <c r="F59" s="220">
        <f>D47+D50+D52+D57+D59</f>
        <v>822334.8861470766</v>
      </c>
    </row>
    <row r="60" ht="12">
      <c r="D60" s="214"/>
    </row>
    <row r="61" ht="12">
      <c r="D61" s="213">
        <f>SUM(D54:D59)</f>
        <v>1971352.6321225865</v>
      </c>
    </row>
    <row r="62" ht="12">
      <c r="D62" s="214"/>
    </row>
    <row r="63" spans="4:5" ht="12">
      <c r="D63" s="214">
        <v>-290644.64</v>
      </c>
      <c r="E63" t="s">
        <v>246</v>
      </c>
    </row>
    <row r="64" spans="3:5" ht="12">
      <c r="C64" s="203">
        <f>SUM(D63:D64)</f>
        <v>-560376.13</v>
      </c>
      <c r="D64" s="214">
        <v>-269731.49</v>
      </c>
      <c r="E64" t="s">
        <v>246</v>
      </c>
    </row>
    <row r="65" spans="2:4" ht="12">
      <c r="B65" s="203">
        <f>SUM(C64:C67)</f>
        <v>-1131117.96</v>
      </c>
      <c r="D65" s="214"/>
    </row>
    <row r="66" spans="4:5" ht="12">
      <c r="D66" s="214">
        <v>-226444.44</v>
      </c>
      <c r="E66" t="s">
        <v>234</v>
      </c>
    </row>
    <row r="67" spans="3:5" ht="12">
      <c r="C67" s="203">
        <f>SUM(D66:D67)</f>
        <v>-570741.8300000001</v>
      </c>
      <c r="D67" s="214">
        <v>-344297.39</v>
      </c>
      <c r="E67" t="s">
        <v>234</v>
      </c>
    </row>
    <row r="68" spans="4:6" ht="12">
      <c r="D68" s="214"/>
      <c r="F68">
        <v>-614028.88</v>
      </c>
    </row>
    <row r="69" spans="4:7" ht="12">
      <c r="D69" s="213">
        <f>SUM(D61:D67)</f>
        <v>840234.6721225864</v>
      </c>
      <c r="F69">
        <v>1454264.07</v>
      </c>
      <c r="G69" t="s">
        <v>247</v>
      </c>
    </row>
    <row r="70" spans="4:6" ht="12">
      <c r="D70" s="214"/>
      <c r="F70" s="217">
        <f>SUM(F68:F69)</f>
        <v>840235.1900000001</v>
      </c>
    </row>
    <row r="71" ht="12">
      <c r="D71" s="214"/>
    </row>
    <row r="72" ht="12">
      <c r="D72" s="214"/>
    </row>
    <row r="73" ht="12">
      <c r="D73" s="214"/>
    </row>
    <row r="74" ht="12">
      <c r="D74" s="214"/>
    </row>
    <row r="75" ht="12">
      <c r="D75" s="214"/>
    </row>
    <row r="76" ht="12">
      <c r="D76" s="214"/>
    </row>
    <row r="77" ht="12">
      <c r="D77" s="214"/>
    </row>
    <row r="78" ht="12">
      <c r="D78" s="214"/>
    </row>
    <row r="79" ht="12">
      <c r="D79" s="214"/>
    </row>
    <row r="80" ht="12">
      <c r="D80" s="214"/>
    </row>
    <row r="81" ht="12">
      <c r="D81" s="214"/>
    </row>
    <row r="82" ht="12">
      <c r="D82" s="214"/>
    </row>
    <row r="83" ht="12">
      <c r="D83" s="214"/>
    </row>
    <row r="84" ht="12">
      <c r="D84" s="214"/>
    </row>
    <row r="85" ht="12">
      <c r="D85" s="214"/>
    </row>
    <row r="86" ht="12">
      <c r="D86" s="214"/>
    </row>
    <row r="87" ht="12">
      <c r="D87" s="214"/>
    </row>
    <row r="88" ht="12">
      <c r="D88" s="214"/>
    </row>
    <row r="89" ht="12">
      <c r="D89" s="214"/>
    </row>
    <row r="90" ht="12">
      <c r="D90" s="214"/>
    </row>
    <row r="91" ht="12">
      <c r="D91" s="214"/>
    </row>
    <row r="92" ht="12">
      <c r="D92" s="214"/>
    </row>
    <row r="93" ht="12">
      <c r="D93" s="214"/>
    </row>
    <row r="94" ht="12">
      <c r="D94" s="214"/>
    </row>
    <row r="95" ht="12">
      <c r="D95" s="214"/>
    </row>
    <row r="96" ht="12">
      <c r="D96" s="214"/>
    </row>
    <row r="97" ht="12">
      <c r="D97" s="214"/>
    </row>
    <row r="98" ht="12">
      <c r="D98" s="214"/>
    </row>
    <row r="99" ht="12">
      <c r="D99" s="214"/>
    </row>
    <row r="100" ht="12">
      <c r="D100" s="214"/>
    </row>
    <row r="101" ht="12">
      <c r="D101" s="214"/>
    </row>
    <row r="102" ht="12">
      <c r="D102" s="214"/>
    </row>
    <row r="103" ht="12">
      <c r="D103" s="214"/>
    </row>
    <row r="104" ht="12">
      <c r="D104" s="214"/>
    </row>
    <row r="105" ht="12">
      <c r="D105" s="214"/>
    </row>
    <row r="106" ht="12">
      <c r="D106" s="214"/>
    </row>
    <row r="107" ht="12">
      <c r="D107" s="214"/>
    </row>
    <row r="108" ht="12">
      <c r="D108" s="214"/>
    </row>
    <row r="109" ht="12">
      <c r="D109" s="214"/>
    </row>
    <row r="110" ht="12">
      <c r="D110" s="214"/>
    </row>
    <row r="111" ht="12">
      <c r="D111" s="214"/>
    </row>
    <row r="112" ht="12">
      <c r="D112" s="214"/>
    </row>
    <row r="113" ht="12">
      <c r="D113" s="214"/>
    </row>
    <row r="114" ht="12">
      <c r="D114" s="214"/>
    </row>
    <row r="115" ht="12">
      <c r="D115" s="214"/>
    </row>
    <row r="116" ht="12">
      <c r="D116" s="214"/>
    </row>
    <row r="117" ht="12">
      <c r="D117" s="214"/>
    </row>
    <row r="118" ht="12">
      <c r="D118" s="214"/>
    </row>
    <row r="119" ht="12">
      <c r="D119" s="214"/>
    </row>
    <row r="120" ht="12">
      <c r="D120" s="214"/>
    </row>
    <row r="121" ht="12">
      <c r="D121" s="214"/>
    </row>
    <row r="122" ht="12">
      <c r="D122" s="214"/>
    </row>
    <row r="123" ht="12">
      <c r="D123" s="21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lstorchi</cp:lastModifiedBy>
  <cp:lastPrinted>2009-03-30T14:44:50Z</cp:lastPrinted>
  <dcterms:created xsi:type="dcterms:W3CDTF">1997-08-28T16:58:31Z</dcterms:created>
  <dcterms:modified xsi:type="dcterms:W3CDTF">2009-09-29T08:55:09Z</dcterms:modified>
  <cp:category/>
  <cp:version/>
  <cp:contentType/>
  <cp:contentStatus/>
</cp:coreProperties>
</file>