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895" windowHeight="6960" tabRatio="737" activeTab="0"/>
  </bookViews>
  <sheets>
    <sheet name="RSA I.D'ESTE" sheetId="1" r:id="rId1"/>
    <sheet name="RSA L.BIANCHI" sheetId="2" r:id="rId2"/>
    <sheet name="Fisioterapia" sheetId="3" r:id="rId3"/>
    <sheet name="Ristorazione" sheetId="4" r:id="rId4"/>
    <sheet name="SAD" sheetId="5" r:id="rId5"/>
    <sheet name="CDI" sheetId="6" r:id="rId6"/>
    <sheet name="Area Integr.Sociale" sheetId="7" r:id="rId7"/>
    <sheet name="TRASPORTI" sheetId="8" r:id="rId8"/>
    <sheet name="AREA MINORI" sheetId="9" r:id="rId9"/>
    <sheet name="Informa Giovani" sheetId="10" r:id="rId10"/>
    <sheet name="Servizio Affidi" sheetId="11" r:id="rId11"/>
    <sheet name="C.A.H." sheetId="12" r:id="rId12"/>
    <sheet name="COMUNI" sheetId="13" r:id="rId13"/>
  </sheets>
  <definedNames>
    <definedName name="_xlnm.Print_Area" localSheetId="6">'Area Integr.Sociale'!$A$1:$G$113</definedName>
    <definedName name="_xlnm.Print_Area" localSheetId="8">'AREA MINORI'!$A$1:$G$111</definedName>
    <definedName name="_xlnm.Print_Area" localSheetId="11">'C.A.H.'!$A$1:$H$107</definedName>
    <definedName name="_xlnm.Print_Area" localSheetId="5">'CDI'!$A$1:$G$105</definedName>
    <definedName name="_xlnm.Print_Area" localSheetId="12">'COMUNI'!$A$1:$H$132</definedName>
    <definedName name="_xlnm.Print_Area" localSheetId="2">'Fisioterapia'!$A$1:$H$106</definedName>
    <definedName name="_xlnm.Print_Area" localSheetId="9">'Informa Giovani'!$A$1:$H$99</definedName>
    <definedName name="_xlnm.Print_Area" localSheetId="3">'Ristorazione'!$A$1:$G$101</definedName>
    <definedName name="_xlnm.Print_Area" localSheetId="0">'RSA I.D''ESTE'!$A$1:$H$136</definedName>
    <definedName name="_xlnm.Print_Area" localSheetId="1">'RSA L.BIANCHI'!$A$1:$I$121</definedName>
    <definedName name="_xlnm.Print_Area" localSheetId="4">'SAD'!$A$1:$H$115</definedName>
    <definedName name="_xlnm.Print_Area" localSheetId="10">'Servizio Affidi'!$A$1:$H$97</definedName>
    <definedName name="_xlnm.Print_Area" localSheetId="7">'TRASPORTI'!$A$1:$H$97</definedName>
  </definedNames>
  <calcPr fullCalcOnLoad="1"/>
</workbook>
</file>

<file path=xl/sharedStrings.xml><?xml version="1.0" encoding="utf-8"?>
<sst xmlns="http://schemas.openxmlformats.org/spreadsheetml/2006/main" count="2920" uniqueCount="228">
  <si>
    <t xml:space="preserve"> </t>
  </si>
  <si>
    <t>CONTO ECONOMICO</t>
  </si>
  <si>
    <t>DESCRIZIONE</t>
  </si>
  <si>
    <t>PARZIALI</t>
  </si>
  <si>
    <t>TOTALI</t>
  </si>
  <si>
    <t>A) Valore della produzione:</t>
  </si>
  <si>
    <t xml:space="preserve">1)  </t>
  </si>
  <si>
    <t>ricavi delle vendite e delle prestazioni;</t>
  </si>
  <si>
    <t>2)</t>
  </si>
  <si>
    <t>variazioni delle rimanenze di prodotti in</t>
  </si>
  <si>
    <t>corso di lavorazione, semilavorati e finiti;</t>
  </si>
  <si>
    <t>3)</t>
  </si>
  <si>
    <t>variazione dei lavori in corso su ordinazione;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</si>
  <si>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</si>
  <si>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</si>
  <si>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</si>
  <si>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</si>
  <si>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</si>
  <si>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</si>
  <si>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</si>
  <si>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</si>
  <si>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</si>
  <si>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</si>
  <si>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</si>
  <si>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</si>
  <si>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</si>
  <si>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e - altri costi;  contributi associativi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</si>
  <si>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</si>
  <si>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</si>
  <si>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</si>
  <si>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</si>
  <si>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</si>
  <si>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</si>
  <si>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</si>
  <si>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</si>
  <si>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</si>
  <si>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</si>
  <si>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</si>
  <si>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</si>
  <si>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</si>
  <si>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</si>
  <si>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contributi A.S.L.</t>
  </si>
  <si>
    <t>* acquisto farmaci</t>
  </si>
  <si>
    <t>rivalsa rette</t>
  </si>
  <si>
    <t>altri proventi vari</t>
  </si>
  <si>
    <t>* materiali di pulizia</t>
  </si>
  <si>
    <t>* teleriscaldamento</t>
  </si>
  <si>
    <t>* abbonamenti testi, riviste e quot.</t>
  </si>
  <si>
    <t>* carburanti e lubrificanti</t>
  </si>
  <si>
    <t>15) Proventi da partecipazioni</t>
  </si>
  <si>
    <t>16) Altri proventi finanziari</t>
  </si>
  <si>
    <t>17) Interessi ed altri oneri finanziari</t>
  </si>
  <si>
    <t>C) Proventi e oneri finanziari</t>
  </si>
  <si>
    <t>20) Proventi straordinari</t>
  </si>
  <si>
    <t>21) Oneri straordinari</t>
  </si>
  <si>
    <t>UTILE (PERDITA) del SERVIZIO</t>
  </si>
  <si>
    <t>* acquisto mat. medico per assist. farm. san.</t>
  </si>
  <si>
    <t>* acquisto materiali di consumo vari</t>
  </si>
  <si>
    <t>* locazione sollevatori</t>
  </si>
  <si>
    <t>* acquisto generi alimentari</t>
  </si>
  <si>
    <t>SERVIZIO TRASPORTI</t>
  </si>
  <si>
    <t>* imposta di bollo</t>
  </si>
  <si>
    <t>* altre imposte e tasse</t>
  </si>
  <si>
    <t>AREA MINORI</t>
  </si>
  <si>
    <t>R.S.A. ISABELLA D'ESTE</t>
  </si>
  <si>
    <t>* acquisto presidi sanitari</t>
  </si>
  <si>
    <t>* abbuoni e arrotondamenti passivi</t>
  </si>
  <si>
    <t>* tassa circolazione automezzi</t>
  </si>
  <si>
    <t>R.S.A. LUIGI BIANCHI</t>
  </si>
  <si>
    <t>RISTORAZIONE</t>
  </si>
  <si>
    <t>* Collaborazioni Coordinate a Progetto</t>
  </si>
  <si>
    <t>* tariffa rifiuti speciali</t>
  </si>
  <si>
    <t>FISIOTERAPIA</t>
  </si>
  <si>
    <t>contributo in c/capitale</t>
  </si>
  <si>
    <t>* tassa igiene ambientale</t>
  </si>
  <si>
    <t xml:space="preserve"> D) Rettifiche di valore di attività finanziarie</t>
  </si>
  <si>
    <t xml:space="preserve"> E) Proventi e oneri straordinari</t>
  </si>
  <si>
    <t>* Trasporti ospiti con ambulanza</t>
  </si>
  <si>
    <t>* Energia elettrica</t>
  </si>
  <si>
    <t>* Acqua e gas</t>
  </si>
  <si>
    <t>* Manutenzioni e riparazioni varie</t>
  </si>
  <si>
    <t>* Spese di formazione e aggiornamento</t>
  </si>
  <si>
    <t>* Spese parco auto (manutenz., assicuraz.)</t>
  </si>
  <si>
    <t>* Spese telefonia fissa</t>
  </si>
  <si>
    <t>* Spese postali e di affrancatura</t>
  </si>
  <si>
    <t xml:space="preserve">* Assicurazioni </t>
  </si>
  <si>
    <t>* Prestazioni occasionali non sanitarie</t>
  </si>
  <si>
    <t>* Prestazioni occasionali sanitarie</t>
  </si>
  <si>
    <t>* Rimborso spese ospiti</t>
  </si>
  <si>
    <t>* Spese di vigilianza</t>
  </si>
  <si>
    <t>* Appalto lavanderia biancheria piana e vestiario dip.</t>
  </si>
  <si>
    <t>* Appalto servizio di pulizia</t>
  </si>
  <si>
    <t>* Compensi medici RSA</t>
  </si>
  <si>
    <t>* Compensi podologa/pedicure</t>
  </si>
  <si>
    <t>* Compensi infermiera professionale</t>
  </si>
  <si>
    <t>* Compensi terapisti della riabilitazione</t>
  </si>
  <si>
    <t>* Compensi medici specialistici</t>
  </si>
  <si>
    <t>* Appalto servizio assistenza geriatrica e pulizia RSA/SAD</t>
  </si>
  <si>
    <t>* Acquisto pasti da CdR Ristorazione</t>
  </si>
  <si>
    <t>* Servizio religioso</t>
  </si>
  <si>
    <t>* Imposta di bollo</t>
  </si>
  <si>
    <t>* Altre imposte e tasse</t>
  </si>
  <si>
    <t>* Tassa igiene ambientale</t>
  </si>
  <si>
    <t>* Abbonamenti testi, riviste e quot.</t>
  </si>
  <si>
    <t xml:space="preserve">TOTALE PERDITA </t>
  </si>
  <si>
    <t>Proventi fisioterapia</t>
  </si>
  <si>
    <t>Erogazione pasti ad altri CdR</t>
  </si>
  <si>
    <t>* Acquisto generi alimentari</t>
  </si>
  <si>
    <t>* Acquisto materiali di consumo vari</t>
  </si>
  <si>
    <t>* Teleriscaldamento</t>
  </si>
  <si>
    <t>* Incarichi Agenzia Interinali di lavoro</t>
  </si>
  <si>
    <t xml:space="preserve">Ricavi Comuni in percentuale da ripartire </t>
  </si>
  <si>
    <t xml:space="preserve">Costi Comuni in percentuale da ripartire </t>
  </si>
  <si>
    <t>S.A.D e VOUCHER</t>
  </si>
  <si>
    <t>Tariffe SAD</t>
  </si>
  <si>
    <t>Prestazioni domiciliari voucher</t>
  </si>
  <si>
    <t>Contributi Regione</t>
  </si>
  <si>
    <t>* Acquisto materiale medico per assistenza farmaceutica</t>
  </si>
  <si>
    <t>* Cancelleria</t>
  </si>
  <si>
    <t>* Carburanti e lubrificanti</t>
  </si>
  <si>
    <t>* Spese parco auto (manutenzioni,assicuraz.)</t>
  </si>
  <si>
    <t xml:space="preserve">* Spese telefonia fissa </t>
  </si>
  <si>
    <t>* Spese trasferte e rimborsi chilometrici</t>
  </si>
  <si>
    <t>* Compensi terapisti alla riabilitazione</t>
  </si>
  <si>
    <t>* Confezionamento e consegna pasti</t>
  </si>
  <si>
    <t>* Appalto servizio assistenza domiciliare integrata socio-sanit.</t>
  </si>
  <si>
    <t>* Locazione sollevatori</t>
  </si>
  <si>
    <t>* Imposte di bollo</t>
  </si>
  <si>
    <t>* Costi indeducibili</t>
  </si>
  <si>
    <t>* Tasse circolazione autovetture</t>
  </si>
  <si>
    <t>CENTRO DIURNO INTEGRATO</t>
  </si>
  <si>
    <t>Tariffe CDI</t>
  </si>
  <si>
    <t>Contributi A.S.L.</t>
  </si>
  <si>
    <t>* Spese manutenzioni varie</t>
  </si>
  <si>
    <t>* Spese per soggiorni estivi e attività socio-ricreative animazione</t>
  </si>
  <si>
    <t>* Noleggio strutture e attrezzature</t>
  </si>
  <si>
    <t>Proventi Agenzia di Locazione Temporanea</t>
  </si>
  <si>
    <t>Proventi Pensionato Sociale</t>
  </si>
  <si>
    <t>Contributo Piano di Zona</t>
  </si>
  <si>
    <t>* Assicurazioni</t>
  </si>
  <si>
    <t>* Inps e Inail Collaborazioni Coordinate a Progetto</t>
  </si>
  <si>
    <t>* Affitti e locazioni</t>
  </si>
  <si>
    <t>* Spese condominiali</t>
  </si>
  <si>
    <t>* Imposta di registro</t>
  </si>
  <si>
    <t>AREA INTEGRAZIONE SOCIALE</t>
  </si>
  <si>
    <t>Proventi Trasporto utenti</t>
  </si>
  <si>
    <t>* Acquisto cancelleria</t>
  </si>
  <si>
    <t>* Spese parco auto (manutenzioni, assicurazioni)</t>
  </si>
  <si>
    <t>* Tassa circolazione autovetture</t>
  </si>
  <si>
    <t>Proventi Servizio assistenza domiciliare minori</t>
  </si>
  <si>
    <t>Proventi Centro Aggregazione Giovanile</t>
  </si>
  <si>
    <t>* Acquisto materiale di consumo</t>
  </si>
  <si>
    <t>* Spese per manutenzioni varie</t>
  </si>
  <si>
    <t>* Appalto assistenza C.A.G.</t>
  </si>
  <si>
    <t>* Appalto assistenza Servizio Domiciliare Minori</t>
  </si>
  <si>
    <t>* Abbonamenti a testi e riviste</t>
  </si>
  <si>
    <t>Proventi Informa Giovani</t>
  </si>
  <si>
    <t>SERVIZIO AFFIDI</t>
  </si>
  <si>
    <t>* Contributo Piano di Zona</t>
  </si>
  <si>
    <t>COMUNITA' ALLOGGIO HANDICAP</t>
  </si>
  <si>
    <t>TOTALE UTILE</t>
  </si>
  <si>
    <t xml:space="preserve">* </t>
  </si>
  <si>
    <t>Rette comunità alloggio handicap</t>
  </si>
  <si>
    <t>* Contributi A.S.L.</t>
  </si>
  <si>
    <t>* Altri proventi</t>
  </si>
  <si>
    <t>* Appalto assistenza comunità alloggio handicap</t>
  </si>
  <si>
    <t>COMUNI</t>
  </si>
  <si>
    <t>* Affitti attivi Farmacia Due Pini</t>
  </si>
  <si>
    <t>* Proventi Contratto di Servizio Farmacie Mantovane S.r.l.</t>
  </si>
  <si>
    <t>* Proventi pubblicitari</t>
  </si>
  <si>
    <t>* Proventi rimborso dipendenti</t>
  </si>
  <si>
    <t xml:space="preserve">* Compenso agli Amministratori </t>
  </si>
  <si>
    <t>* Inps e Inal Amministratori</t>
  </si>
  <si>
    <t>* Spese telefonia fissa e mobile</t>
  </si>
  <si>
    <t>* Spese per trasferte e rimborsi chilometrici</t>
  </si>
  <si>
    <t>* Spese di rappresentanza</t>
  </si>
  <si>
    <t>* Spese di marketing e pubblicità</t>
  </si>
  <si>
    <t>* Consulenze amministrative, fiscali e lavoro</t>
  </si>
  <si>
    <t>* Consulenze tecniche</t>
  </si>
  <si>
    <t>* Assistenza informatica</t>
  </si>
  <si>
    <t>* Compenso ai revisori</t>
  </si>
  <si>
    <t>* Tassa concessione governative</t>
  </si>
  <si>
    <t>* Imposta Comunale Immobili - ICI</t>
  </si>
  <si>
    <t>* Sicurezza 626/94</t>
  </si>
  <si>
    <t>* Contributi ad associazioni</t>
  </si>
  <si>
    <t>RISULTATO PRIMA DELLE IMPOSTE</t>
  </si>
  <si>
    <t>22) imposte sul reddito dell'esercizio correnti, differite e anticipate</t>
  </si>
  <si>
    <t xml:space="preserve">      * IRAP</t>
  </si>
  <si>
    <t xml:space="preserve">      * IRES</t>
  </si>
  <si>
    <t>BILANCIO DELL'ESERCIZIO CHIUSO AL 31 DICEMBRE 2007</t>
  </si>
  <si>
    <t>premio qualità A.S.L. 2006</t>
  </si>
  <si>
    <t>* Spese gara d'ppalto</t>
  </si>
  <si>
    <t>* Spese viaggi, trasferte,pedaggi autostradali e rimb. km.</t>
  </si>
  <si>
    <t>* sicurezza 626/94</t>
  </si>
  <si>
    <t>* Spese formazione</t>
  </si>
  <si>
    <t>* cancelleria</t>
  </si>
  <si>
    <t>* energia elettrica</t>
  </si>
  <si>
    <t>* acqua e gas</t>
  </si>
  <si>
    <t xml:space="preserve">* Sicurezza 626/94 </t>
  </si>
  <si>
    <t>* Spese viaggi e trasferte</t>
  </si>
  <si>
    <t>* Abbonamenti e riviste</t>
  </si>
  <si>
    <t>Contributo Fondazione Cariverona Progetto Alzheimer</t>
  </si>
  <si>
    <t xml:space="preserve">* Appalto servizio assistenza geriatrica e pulizia </t>
  </si>
  <si>
    <t>* Servizio assistenza geriatrica Alzheimer</t>
  </si>
  <si>
    <t>* Trasporti</t>
  </si>
  <si>
    <t>Proventi vari per servizi</t>
  </si>
  <si>
    <t>Contributo Ente Proprietario</t>
  </si>
  <si>
    <t>* Appalto lavanderia biancheria piana e vestiario personale dip.</t>
  </si>
  <si>
    <t>* Appalto gestione notturna dormirìtorio</t>
  </si>
  <si>
    <t xml:space="preserve">* Noleggio strutture e attrezzature </t>
  </si>
  <si>
    <t>INFORMA GIOVANI E SPORTELLO IMMIGRATI</t>
  </si>
  <si>
    <t>Proventi Sportello Immigrati</t>
  </si>
  <si>
    <t>* Spese servizio informa giovani e assistenza informatica</t>
  </si>
  <si>
    <t>* Compenso Assistente Sociale e Psicologo</t>
  </si>
  <si>
    <t>* Inps e Inail Collaborazioni a Progetto</t>
  </si>
  <si>
    <t>* costi indeducibili</t>
  </si>
  <si>
    <t>* abbonamenti e riviste</t>
  </si>
  <si>
    <t>* Spese viaggi, trasferte e pedaggi autostradali</t>
  </si>
  <si>
    <t>* Contributo Ente Proprietario</t>
  </si>
  <si>
    <t>* Altri proventi vari</t>
  </si>
  <si>
    <t>* Spese canone e aggiornamenti softweare</t>
  </si>
  <si>
    <t>* Spese rilegature bilanci</t>
  </si>
  <si>
    <t>* Spese gare d'appalto</t>
  </si>
  <si>
    <t>* Spese lavanderia divise personale dipendente</t>
  </si>
  <si>
    <t>* Tassa di circolazione automezzi</t>
  </si>
  <si>
    <t>* interessi di mora e sanzioni</t>
  </si>
  <si>
    <t xml:space="preserve">* IVA indetraibile pro - rata </t>
  </si>
  <si>
    <t>* Altre spese per automezzi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</si>
</sst>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[$€]\ #,##0.00;[Red]&quot;-&quot;[$€]\ #,##0.00"/>
    <numFmt numFmtId="181" formatCode="#,##0.00;[Red]#,##0.00"/>
    <numFmt numFmtId="182" formatCode="#,##0.00_ ;\-#,##0.00\ "/>
  </numFmts>
  <fonts count="26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sz val="8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sz val="11"/>
      <color indexed="8"/>
      <name val="Geneva"/>
      <family val="0"/>
    </font>
    <font>
      <sz val="12"/>
      <color indexed="8"/>
      <name val="Geneva"/>
      <family val="0"/>
    </font>
    <font>
      <b/>
      <sz val="20"/>
      <color indexed="8"/>
      <name val="Geneva"/>
      <family val="0"/>
    </font>
    <font>
      <sz val="20"/>
      <name val="Geneva"/>
      <family val="0"/>
    </font>
    <font>
      <b/>
      <sz val="14"/>
      <color indexed="8"/>
      <name val="Geneva"/>
      <family val="0"/>
    </font>
    <font>
      <sz val="14"/>
      <name val="Geneva"/>
      <family val="0"/>
    </font>
    <font>
      <sz val="11"/>
      <name val="Geneva"/>
      <family val="0"/>
    </font>
    <font>
      <sz val="10"/>
      <color indexed="8"/>
      <name val="Geneva"/>
      <family val="0"/>
    </font>
    <font>
      <b/>
      <sz val="14"/>
      <name val="Geneva"/>
      <family val="0"/>
    </font>
    <font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3" fontId="14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3" fontId="14" fillId="2" borderId="2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 horizontal="center"/>
      <protection locked="0"/>
    </xf>
    <xf numFmtId="3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3" fontId="14" fillId="2" borderId="7" xfId="0" applyNumberFormat="1" applyFont="1" applyFill="1" applyBorder="1" applyAlignment="1" applyProtection="1">
      <alignment horizontal="center"/>
      <protection locked="0"/>
    </xf>
    <xf numFmtId="3" fontId="5" fillId="2" borderId="8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3" fontId="15" fillId="2" borderId="0" xfId="0" applyNumberFormat="1" applyFont="1" applyFill="1" applyBorder="1" applyAlignment="1" applyProtection="1">
      <alignment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3" fontId="15" fillId="2" borderId="12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3" fontId="9" fillId="2" borderId="12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/>
    </xf>
    <xf numFmtId="0" fontId="0" fillId="2" borderId="13" xfId="0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3" fontId="0" fillId="2" borderId="13" xfId="0" applyNumberForma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8" fillId="2" borderId="13" xfId="0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3" fontId="12" fillId="2" borderId="17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 locked="0"/>
    </xf>
    <xf numFmtId="3" fontId="12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4" fontId="12" fillId="2" borderId="12" xfId="0" applyNumberFormat="1" applyFont="1" applyFill="1" applyBorder="1" applyAlignment="1" applyProtection="1">
      <alignment/>
      <protection locked="0"/>
    </xf>
    <xf numFmtId="4" fontId="13" fillId="2" borderId="12" xfId="0" applyNumberFormat="1" applyFont="1" applyFill="1" applyBorder="1" applyAlignment="1" applyProtection="1">
      <alignment/>
      <protection locked="0"/>
    </xf>
    <xf numFmtId="4" fontId="11" fillId="2" borderId="18" xfId="0" applyNumberFormat="1" applyFont="1" applyFill="1" applyBorder="1" applyAlignment="1" applyProtection="1">
      <alignment/>
      <protection locked="0"/>
    </xf>
    <xf numFmtId="4" fontId="11" fillId="2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4" fontId="17" fillId="2" borderId="12" xfId="0" applyNumberFormat="1" applyFont="1" applyFill="1" applyBorder="1" applyAlignment="1" applyProtection="1">
      <alignment/>
      <protection/>
    </xf>
    <xf numFmtId="4" fontId="17" fillId="2" borderId="18" xfId="0" applyNumberFormat="1" applyFont="1" applyFill="1" applyBorder="1" applyAlignment="1" applyProtection="1">
      <alignment/>
      <protection/>
    </xf>
    <xf numFmtId="4" fontId="17" fillId="2" borderId="12" xfId="0" applyNumberFormat="1" applyFont="1" applyFill="1" applyBorder="1" applyAlignment="1" applyProtection="1">
      <alignment/>
      <protection locked="0"/>
    </xf>
    <xf numFmtId="4" fontId="12" fillId="0" borderId="18" xfId="0" applyNumberFormat="1" applyFont="1" applyFill="1" applyBorder="1" applyAlignment="1" applyProtection="1">
      <alignment/>
      <protection locked="0"/>
    </xf>
    <xf numFmtId="4" fontId="16" fillId="2" borderId="12" xfId="0" applyNumberFormat="1" applyFont="1" applyFill="1" applyBorder="1" applyAlignment="1" applyProtection="1">
      <alignment/>
      <protection locked="0"/>
    </xf>
    <xf numFmtId="4" fontId="14" fillId="2" borderId="12" xfId="0" applyNumberFormat="1" applyFont="1" applyFill="1" applyBorder="1" applyAlignment="1" applyProtection="1">
      <alignment/>
      <protection locked="0"/>
    </xf>
    <xf numFmtId="4" fontId="0" fillId="2" borderId="0" xfId="0" applyNumberFormat="1" applyFill="1" applyBorder="1" applyAlignment="1">
      <alignment/>
    </xf>
    <xf numFmtId="4" fontId="17" fillId="0" borderId="12" xfId="0" applyNumberFormat="1" applyFont="1" applyFill="1" applyBorder="1" applyAlignment="1" applyProtection="1">
      <alignment/>
      <protection locked="0"/>
    </xf>
    <xf numFmtId="3" fontId="14" fillId="2" borderId="19" xfId="0" applyNumberFormat="1" applyFont="1" applyFill="1" applyBorder="1" applyAlignment="1" applyProtection="1">
      <alignment horizontal="center"/>
      <protection locked="0"/>
    </xf>
    <xf numFmtId="3" fontId="5" fillId="2" borderId="19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22" fillId="2" borderId="0" xfId="0" applyFont="1" applyFill="1" applyBorder="1" applyAlignment="1" applyProtection="1">
      <alignment horizontal="left"/>
      <protection locked="0"/>
    </xf>
    <xf numFmtId="4" fontId="23" fillId="2" borderId="11" xfId="0" applyNumberFormat="1" applyFont="1" applyFill="1" applyBorder="1" applyAlignment="1" applyProtection="1">
      <alignment/>
      <protection/>
    </xf>
    <xf numFmtId="4" fontId="23" fillId="2" borderId="12" xfId="0" applyNumberFormat="1" applyFont="1" applyFill="1" applyBorder="1" applyAlignment="1" applyProtection="1">
      <alignment/>
      <protection locked="0"/>
    </xf>
    <xf numFmtId="4" fontId="23" fillId="2" borderId="12" xfId="0" applyNumberFormat="1" applyFont="1" applyFill="1" applyBorder="1" applyAlignment="1" applyProtection="1">
      <alignment/>
      <protection/>
    </xf>
    <xf numFmtId="4" fontId="23" fillId="0" borderId="12" xfId="0" applyNumberFormat="1" applyFont="1" applyFill="1" applyBorder="1" applyAlignment="1" applyProtection="1">
      <alignment/>
      <protection locked="0"/>
    </xf>
    <xf numFmtId="4" fontId="24" fillId="2" borderId="12" xfId="0" applyNumberFormat="1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 locked="0"/>
    </xf>
    <xf numFmtId="4" fontId="23" fillId="2" borderId="18" xfId="0" applyNumberFormat="1" applyFont="1" applyFill="1" applyBorder="1" applyAlignment="1" applyProtection="1">
      <alignment/>
      <protection/>
    </xf>
    <xf numFmtId="4" fontId="23" fillId="2" borderId="18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23" fillId="0" borderId="18" xfId="0" applyNumberFormat="1" applyFont="1" applyFill="1" applyBorder="1" applyAlignment="1" applyProtection="1">
      <alignment/>
      <protection locked="0"/>
    </xf>
    <xf numFmtId="4" fontId="23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4" fontId="23" fillId="2" borderId="0" xfId="0" applyNumberFormat="1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" fontId="24" fillId="2" borderId="13" xfId="0" applyNumberFormat="1" applyFont="1" applyFill="1" applyBorder="1" applyAlignment="1" applyProtection="1">
      <alignment/>
      <protection/>
    </xf>
    <xf numFmtId="3" fontId="24" fillId="2" borderId="13" xfId="0" applyNumberFormat="1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horizontal="left"/>
      <protection locked="0"/>
    </xf>
    <xf numFmtId="4" fontId="24" fillId="2" borderId="13" xfId="0" applyNumberFormat="1" applyFont="1" applyFill="1" applyBorder="1" applyAlignment="1" applyProtection="1">
      <alignment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4" fontId="24" fillId="2" borderId="0" xfId="0" applyNumberFormat="1" applyFont="1" applyFill="1" applyBorder="1" applyAlignment="1" applyProtection="1">
      <alignment/>
      <protection locked="0"/>
    </xf>
    <xf numFmtId="4" fontId="4" fillId="2" borderId="13" xfId="0" applyNumberFormat="1" applyFont="1" applyFill="1" applyBorder="1" applyAlignment="1" applyProtection="1">
      <alignment/>
      <protection locked="0"/>
    </xf>
    <xf numFmtId="4" fontId="4" fillId="2" borderId="12" xfId="0" applyNumberFormat="1" applyFont="1" applyFill="1" applyBorder="1" applyAlignment="1" applyProtection="1">
      <alignment/>
      <protection locked="0"/>
    </xf>
    <xf numFmtId="4" fontId="5" fillId="2" borderId="0" xfId="0" applyNumberFormat="1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4" fontId="23" fillId="2" borderId="20" xfId="0" applyNumberFormat="1" applyFont="1" applyFill="1" applyBorder="1" applyAlignment="1" applyProtection="1">
      <alignment/>
      <protection locked="0"/>
    </xf>
    <xf numFmtId="4" fontId="23" fillId="0" borderId="20" xfId="0" applyNumberFormat="1" applyFont="1" applyFill="1" applyBorder="1" applyAlignment="1" applyProtection="1">
      <alignment/>
      <protection locked="0"/>
    </xf>
    <xf numFmtId="4" fontId="11" fillId="2" borderId="12" xfId="0" applyNumberFormat="1" applyFont="1" applyFill="1" applyBorder="1" applyAlignment="1" applyProtection="1">
      <alignment/>
      <protection locked="0"/>
    </xf>
    <xf numFmtId="4" fontId="23" fillId="0" borderId="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/>
      <protection locked="0"/>
    </xf>
    <xf numFmtId="4" fontId="25" fillId="2" borderId="13" xfId="0" applyNumberFormat="1" applyFont="1" applyFill="1" applyBorder="1" applyAlignment="1" applyProtection="1">
      <alignment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/>
    </xf>
    <xf numFmtId="0" fontId="19" fillId="2" borderId="5" xfId="0" applyFont="1" applyFill="1" applyBorder="1" applyAlignment="1">
      <alignment/>
    </xf>
    <xf numFmtId="3" fontId="20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14" fillId="2" borderId="9" xfId="0" applyNumberFormat="1" applyFont="1" applyFill="1" applyBorder="1" applyAlignment="1" applyProtection="1">
      <alignment horizontal="center"/>
      <protection locked="0"/>
    </xf>
    <xf numFmtId="0" fontId="14" fillId="2" borderId="21" xfId="0" applyNumberFormat="1" applyFont="1" applyFill="1" applyBorder="1" applyAlignment="1" applyProtection="1">
      <alignment horizontal="center"/>
      <protection locked="0"/>
    </xf>
  </cellXfs>
  <cellStyles count="5">
    <cellStyle name="Normal" xfId="0"/>
    <cellStyle name="Euro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4">
      <selection activeCell="B18" sqref="B18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49.12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64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3564405.72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1694959.26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43</v>
      </c>
      <c r="F21" s="80">
        <f>1570716.18+124243.08</f>
        <v>1694959.26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f>14880.81-17283.26</f>
        <v>-2402.449999999999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SUM(F28:F31)</f>
        <v>1871848.9100000001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41</v>
      </c>
      <c r="F28" s="80">
        <v>1726044.06</v>
      </c>
      <c r="G28" s="34"/>
    </row>
    <row r="29" spans="1:7" ht="12.75" customHeight="1">
      <c r="A29" s="21"/>
      <c r="B29" s="28"/>
      <c r="C29" s="76"/>
      <c r="D29" s="78" t="s">
        <v>30</v>
      </c>
      <c r="E29" s="77" t="s">
        <v>190</v>
      </c>
      <c r="F29" s="80">
        <v>67047.49</v>
      </c>
      <c r="G29" s="34"/>
    </row>
    <row r="30" spans="1:7" ht="12.75" customHeight="1">
      <c r="A30" s="21"/>
      <c r="B30" s="28"/>
      <c r="C30" s="76"/>
      <c r="D30" s="78" t="s">
        <v>30</v>
      </c>
      <c r="E30" s="77" t="s">
        <v>44</v>
      </c>
      <c r="F30" s="80">
        <f>2040+2468.19+224.68+2724.05+3785.27+104.17</f>
        <v>11346.36</v>
      </c>
      <c r="G30" s="34"/>
    </row>
    <row r="31" spans="1:7" ht="12.75" customHeight="1">
      <c r="A31" s="21"/>
      <c r="B31" s="28"/>
      <c r="C31" s="76"/>
      <c r="D31" s="76" t="s">
        <v>30</v>
      </c>
      <c r="E31" s="76" t="s">
        <v>73</v>
      </c>
      <c r="F31" s="83">
        <v>67411</v>
      </c>
      <c r="G31" s="33"/>
    </row>
    <row r="32" spans="1:7" ht="12.75" customHeight="1">
      <c r="A32" s="21"/>
      <c r="B32" s="28"/>
      <c r="C32" s="21"/>
      <c r="D32" s="21"/>
      <c r="E32" s="21"/>
      <c r="F32" s="59"/>
      <c r="G32" s="33"/>
    </row>
    <row r="33" spans="1:7" s="37" customFormat="1" ht="15.75" customHeight="1">
      <c r="A33" s="35"/>
      <c r="B33" s="75" t="s">
        <v>16</v>
      </c>
      <c r="C33" s="35"/>
      <c r="D33" s="35"/>
      <c r="E33" s="36"/>
      <c r="F33" s="60"/>
      <c r="G33" s="84">
        <f>-(F35+F47+F75+F79+F86+F94+F96+F98+F100)</f>
        <v>-3843436.0500000003</v>
      </c>
    </row>
    <row r="34" spans="1:7" ht="12.75" customHeight="1">
      <c r="A34" s="21"/>
      <c r="B34" s="28"/>
      <c r="C34" s="79" t="s">
        <v>17</v>
      </c>
      <c r="D34" s="21"/>
      <c r="F34" s="59" t="s">
        <v>0</v>
      </c>
      <c r="G34" s="33"/>
    </row>
    <row r="35" spans="1:7" ht="12.75" customHeight="1">
      <c r="A35" s="21"/>
      <c r="B35" s="28"/>
      <c r="D35" s="79" t="s">
        <v>18</v>
      </c>
      <c r="E35" s="38"/>
      <c r="F35" s="65">
        <f>SUM(F36:F45)</f>
        <v>330922.17</v>
      </c>
      <c r="G35" s="33"/>
    </row>
    <row r="36" spans="1:7" ht="12.75" customHeight="1">
      <c r="A36" s="21"/>
      <c r="B36" s="28"/>
      <c r="D36" s="21"/>
      <c r="E36" s="85" t="s">
        <v>59</v>
      </c>
      <c r="F36" s="86">
        <v>1118.21</v>
      </c>
      <c r="G36" s="33"/>
    </row>
    <row r="37" spans="1:7" ht="12.75" customHeight="1">
      <c r="A37" s="21"/>
      <c r="B37" s="28"/>
      <c r="D37" s="21"/>
      <c r="E37" s="85" t="s">
        <v>56</v>
      </c>
      <c r="F37" s="87">
        <v>33831.47</v>
      </c>
      <c r="G37" s="33"/>
    </row>
    <row r="38" spans="1:7" ht="12.75" customHeight="1">
      <c r="A38" s="21"/>
      <c r="B38" s="28"/>
      <c r="D38" s="21"/>
      <c r="E38" s="85" t="s">
        <v>42</v>
      </c>
      <c r="F38" s="87">
        <v>52529.51</v>
      </c>
      <c r="G38" s="33"/>
    </row>
    <row r="39" spans="1:7" ht="12.75" customHeight="1">
      <c r="A39" s="21"/>
      <c r="B39" s="28"/>
      <c r="D39" s="21"/>
      <c r="E39" s="85" t="s">
        <v>65</v>
      </c>
      <c r="F39" s="87">
        <v>57399.96</v>
      </c>
      <c r="G39" s="33"/>
    </row>
    <row r="40" spans="1:7" ht="12.75" customHeight="1">
      <c r="A40" s="21"/>
      <c r="B40" s="28"/>
      <c r="D40" s="21"/>
      <c r="E40" s="85" t="s">
        <v>57</v>
      </c>
      <c r="F40" s="87">
        <f>699.58+13099.3</f>
        <v>13798.88</v>
      </c>
      <c r="G40" s="33"/>
    </row>
    <row r="41" spans="1:7" ht="12.75" customHeight="1">
      <c r="A41" s="21"/>
      <c r="B41" s="28"/>
      <c r="D41" s="21"/>
      <c r="E41" s="88" t="s">
        <v>45</v>
      </c>
      <c r="F41" s="89">
        <f>2586.25+41344.39+5440.94+1306.48+14564.21</f>
        <v>65242.270000000004</v>
      </c>
      <c r="G41" s="33"/>
    </row>
    <row r="42" spans="1:7" ht="12.75" customHeight="1">
      <c r="A42" s="21"/>
      <c r="B42" s="28"/>
      <c r="D42" s="21"/>
      <c r="E42" s="85" t="s">
        <v>66</v>
      </c>
      <c r="F42" s="87">
        <v>276.62</v>
      </c>
      <c r="G42" s="33"/>
    </row>
    <row r="43" spans="1:7" ht="12.75" customHeight="1">
      <c r="A43" s="21"/>
      <c r="B43" s="28"/>
      <c r="D43" s="21"/>
      <c r="E43" s="85" t="s">
        <v>48</v>
      </c>
      <c r="F43" s="87">
        <v>2361.9</v>
      </c>
      <c r="G43" s="33"/>
    </row>
    <row r="44" spans="1:7" ht="12.75" customHeight="1">
      <c r="A44" s="21"/>
      <c r="B44" s="28"/>
      <c r="C44" s="21"/>
      <c r="D44" s="21"/>
      <c r="E44" s="85" t="s">
        <v>46</v>
      </c>
      <c r="F44" s="87">
        <v>104363.35</v>
      </c>
      <c r="G44" s="33"/>
    </row>
    <row r="45" spans="1:7" ht="12.75" customHeight="1">
      <c r="A45" s="21"/>
      <c r="B45" s="28"/>
      <c r="D45" s="21"/>
      <c r="E45" s="85"/>
      <c r="F45" s="83"/>
      <c r="G45" s="33"/>
    </row>
    <row r="46" spans="1:7" ht="12.75" customHeight="1">
      <c r="A46" s="21"/>
      <c r="B46" s="28"/>
      <c r="D46" s="21"/>
      <c r="E46" s="38"/>
      <c r="F46" s="62"/>
      <c r="G46" s="33"/>
    </row>
    <row r="47" spans="1:7" ht="12.75" customHeight="1">
      <c r="A47" s="21"/>
      <c r="B47" s="28"/>
      <c r="C47" s="79" t="s">
        <v>19</v>
      </c>
      <c r="D47" s="21"/>
      <c r="E47" s="38"/>
      <c r="F47" s="65">
        <f>SUM(F48:F73)</f>
        <v>1864964.7</v>
      </c>
      <c r="G47" s="33"/>
    </row>
    <row r="48" spans="1:7" ht="12.75" customHeight="1">
      <c r="A48" s="21"/>
      <c r="B48" s="28"/>
      <c r="C48" s="21"/>
      <c r="D48" s="21"/>
      <c r="E48" s="85" t="s">
        <v>77</v>
      </c>
      <c r="F48" s="86">
        <v>12546</v>
      </c>
      <c r="G48" s="33"/>
    </row>
    <row r="49" spans="1:7" ht="12.75" customHeight="1">
      <c r="A49" s="21"/>
      <c r="B49" s="28"/>
      <c r="C49" s="21"/>
      <c r="D49" s="21"/>
      <c r="E49" s="85" t="s">
        <v>78</v>
      </c>
      <c r="F49" s="87">
        <v>72556.19</v>
      </c>
      <c r="G49" s="33"/>
    </row>
    <row r="50" spans="1:7" ht="12.75" customHeight="1">
      <c r="A50" s="21"/>
      <c r="B50" s="28"/>
      <c r="C50" s="21"/>
      <c r="D50" s="21"/>
      <c r="E50" s="85" t="s">
        <v>79</v>
      </c>
      <c r="F50" s="87">
        <f>15426.07+2633.83</f>
        <v>18059.9</v>
      </c>
      <c r="G50" s="33"/>
    </row>
    <row r="51" spans="1:7" ht="12.75" customHeight="1">
      <c r="A51" s="21"/>
      <c r="B51" s="28"/>
      <c r="C51" s="21"/>
      <c r="D51" s="21"/>
      <c r="E51" s="85" t="s">
        <v>80</v>
      </c>
      <c r="F51" s="87">
        <f>35054.84+16887.82</f>
        <v>51942.659999999996</v>
      </c>
      <c r="G51" s="33"/>
    </row>
    <row r="52" spans="1:7" ht="12.75" customHeight="1">
      <c r="A52" s="21"/>
      <c r="B52" s="28"/>
      <c r="C52" s="21"/>
      <c r="D52" s="21"/>
      <c r="E52" s="85" t="s">
        <v>81</v>
      </c>
      <c r="F52" s="87">
        <v>4032</v>
      </c>
      <c r="G52" s="33"/>
    </row>
    <row r="53" spans="1:7" ht="12.75" customHeight="1">
      <c r="A53" s="21"/>
      <c r="B53" s="28"/>
      <c r="C53" s="21"/>
      <c r="D53" s="21"/>
      <c r="E53" s="85" t="s">
        <v>82</v>
      </c>
      <c r="F53" s="87">
        <f>6030.46+410.84</f>
        <v>6441.3</v>
      </c>
      <c r="G53" s="33"/>
    </row>
    <row r="54" spans="1:7" ht="12.75" customHeight="1">
      <c r="A54" s="21"/>
      <c r="B54" s="28"/>
      <c r="C54" s="21"/>
      <c r="D54" s="21"/>
      <c r="E54" s="85" t="s">
        <v>83</v>
      </c>
      <c r="F54" s="87">
        <v>6686.52</v>
      </c>
      <c r="G54" s="33"/>
    </row>
    <row r="55" spans="1:7" ht="12.75" customHeight="1">
      <c r="A55" s="21"/>
      <c r="B55" s="28"/>
      <c r="C55" s="21"/>
      <c r="D55" s="21"/>
      <c r="E55" s="85" t="s">
        <v>84</v>
      </c>
      <c r="F55" s="87">
        <v>479.72</v>
      </c>
      <c r="G55" s="33"/>
    </row>
    <row r="56" spans="1:7" ht="12.75" customHeight="1">
      <c r="A56" s="21"/>
      <c r="B56" s="28"/>
      <c r="C56" s="21"/>
      <c r="D56" s="21"/>
      <c r="E56" s="85" t="s">
        <v>85</v>
      </c>
      <c r="F56" s="87">
        <f>5200.84+3308+430</f>
        <v>8938.84</v>
      </c>
      <c r="G56" s="33"/>
    </row>
    <row r="57" spans="1:7" ht="12.75" customHeight="1">
      <c r="A57" s="21"/>
      <c r="B57" s="28"/>
      <c r="C57" s="21"/>
      <c r="D57" s="21"/>
      <c r="E57" s="85" t="s">
        <v>86</v>
      </c>
      <c r="F57" s="87">
        <v>2835</v>
      </c>
      <c r="G57" s="33"/>
    </row>
    <row r="58" spans="1:7" ht="12.75" customHeight="1">
      <c r="A58" s="21"/>
      <c r="B58" s="28"/>
      <c r="C58" s="21"/>
      <c r="D58" s="21"/>
      <c r="E58" s="85" t="s">
        <v>191</v>
      </c>
      <c r="F58" s="87">
        <v>3004.11</v>
      </c>
      <c r="G58" s="33"/>
    </row>
    <row r="59" spans="1:7" ht="12.75" customHeight="1">
      <c r="A59" s="21"/>
      <c r="B59" s="28"/>
      <c r="C59" s="21"/>
      <c r="D59" s="21"/>
      <c r="E59" s="85" t="s">
        <v>87</v>
      </c>
      <c r="F59" s="87">
        <v>1520</v>
      </c>
      <c r="G59" s="33"/>
    </row>
    <row r="60" spans="1:7" ht="12.75" customHeight="1">
      <c r="A60" s="21"/>
      <c r="B60" s="28"/>
      <c r="C60" s="21"/>
      <c r="D60" s="21"/>
      <c r="E60" s="85" t="s">
        <v>88</v>
      </c>
      <c r="F60" s="87">
        <v>116.67</v>
      </c>
      <c r="G60" s="33"/>
    </row>
    <row r="61" spans="1:7" ht="12.75" customHeight="1">
      <c r="A61" s="21"/>
      <c r="B61" s="28"/>
      <c r="C61" s="21"/>
      <c r="D61" s="21"/>
      <c r="E61" s="85" t="s">
        <v>192</v>
      </c>
      <c r="F61" s="87">
        <f>76.4+87.06+65.45</f>
        <v>228.91000000000003</v>
      </c>
      <c r="G61" s="33"/>
    </row>
    <row r="62" spans="1:7" ht="12.75" customHeight="1">
      <c r="A62" s="21"/>
      <c r="B62" s="28"/>
      <c r="C62" s="21"/>
      <c r="D62" s="21"/>
      <c r="E62" s="85" t="s">
        <v>89</v>
      </c>
      <c r="F62" s="87">
        <v>900</v>
      </c>
      <c r="G62" s="33"/>
    </row>
    <row r="63" spans="1:7" ht="12.75" customHeight="1">
      <c r="A63" s="21"/>
      <c r="B63" s="28"/>
      <c r="C63" s="21"/>
      <c r="D63" s="21"/>
      <c r="E63" s="85" t="s">
        <v>90</v>
      </c>
      <c r="F63" s="87">
        <f>33219.17+1646.25</f>
        <v>34865.42</v>
      </c>
      <c r="G63" s="33"/>
    </row>
    <row r="64" spans="1:7" ht="12.75" customHeight="1">
      <c r="A64" s="21"/>
      <c r="B64" s="28"/>
      <c r="C64" s="21"/>
      <c r="D64" s="21"/>
      <c r="E64" s="85" t="s">
        <v>91</v>
      </c>
      <c r="F64" s="87">
        <v>171507.05</v>
      </c>
      <c r="G64" s="33"/>
    </row>
    <row r="65" spans="1:7" ht="12.75" customHeight="1">
      <c r="A65" s="21"/>
      <c r="B65" s="28"/>
      <c r="C65" s="21"/>
      <c r="D65" s="21"/>
      <c r="E65" s="85" t="s">
        <v>92</v>
      </c>
      <c r="F65" s="87">
        <v>99120.65</v>
      </c>
      <c r="G65" s="33"/>
    </row>
    <row r="66" spans="1:7" ht="12.75" customHeight="1">
      <c r="A66" s="21"/>
      <c r="B66" s="28"/>
      <c r="C66" s="21"/>
      <c r="D66" s="21"/>
      <c r="E66" s="85" t="s">
        <v>93</v>
      </c>
      <c r="F66" s="87">
        <v>12026.64</v>
      </c>
      <c r="G66" s="33"/>
    </row>
    <row r="67" spans="1:7" ht="12.75" customHeight="1">
      <c r="A67" s="21"/>
      <c r="B67" s="28"/>
      <c r="C67" s="21"/>
      <c r="D67" s="21"/>
      <c r="E67" s="85" t="s">
        <v>94</v>
      </c>
      <c r="F67" s="89">
        <v>38517.75</v>
      </c>
      <c r="G67" s="33"/>
    </row>
    <row r="68" spans="1:7" ht="12.75" customHeight="1">
      <c r="A68" s="21"/>
      <c r="B68" s="28"/>
      <c r="C68" s="21"/>
      <c r="D68" s="21"/>
      <c r="E68" s="85" t="s">
        <v>95</v>
      </c>
      <c r="F68" s="87">
        <v>12604.96</v>
      </c>
      <c r="G68" s="33"/>
    </row>
    <row r="69" spans="1:7" s="1" customFormat="1" ht="12.75" customHeight="1">
      <c r="A69" s="56"/>
      <c r="B69" s="57"/>
      <c r="C69" s="63"/>
      <c r="D69" s="63"/>
      <c r="E69" s="88" t="s">
        <v>96</v>
      </c>
      <c r="F69" s="90">
        <f>2505+18544.98</f>
        <v>21049.98</v>
      </c>
      <c r="G69" s="58"/>
    </row>
    <row r="70" spans="1:7" ht="12.75" customHeight="1">
      <c r="A70" s="21"/>
      <c r="B70" s="28"/>
      <c r="C70" s="21"/>
      <c r="D70" s="21"/>
      <c r="E70" s="85" t="s">
        <v>98</v>
      </c>
      <c r="F70" s="87">
        <v>402111.91</v>
      </c>
      <c r="G70" s="33"/>
    </row>
    <row r="71" spans="1:7" ht="13.5" customHeight="1">
      <c r="A71" s="21"/>
      <c r="B71" s="28"/>
      <c r="C71" s="21"/>
      <c r="D71" s="21"/>
      <c r="E71" s="85" t="s">
        <v>97</v>
      </c>
      <c r="F71" s="87">
        <v>881471.88</v>
      </c>
      <c r="G71" s="33"/>
    </row>
    <row r="72" spans="1:7" ht="12.75" customHeight="1">
      <c r="A72" s="21"/>
      <c r="B72" s="28"/>
      <c r="C72" s="21"/>
      <c r="D72" s="21"/>
      <c r="E72" s="85" t="s">
        <v>99</v>
      </c>
      <c r="F72" s="87">
        <v>1400.64</v>
      </c>
      <c r="G72" s="33"/>
    </row>
    <row r="73" spans="1:7" ht="12.75" customHeight="1">
      <c r="A73" s="21"/>
      <c r="B73" s="28"/>
      <c r="C73" s="21"/>
      <c r="D73" s="21"/>
      <c r="E73" s="85"/>
      <c r="F73" s="90"/>
      <c r="G73" s="61"/>
    </row>
    <row r="74" spans="1:7" ht="12.75" customHeight="1">
      <c r="A74" s="21"/>
      <c r="B74" s="28"/>
      <c r="C74" s="21"/>
      <c r="D74" s="21"/>
      <c r="E74" s="39"/>
      <c r="F74" s="62"/>
      <c r="G74" s="62"/>
    </row>
    <row r="75" spans="1:7" ht="12.75" customHeight="1">
      <c r="A75" s="21"/>
      <c r="B75" s="28"/>
      <c r="C75" s="79" t="s">
        <v>20</v>
      </c>
      <c r="D75" s="21"/>
      <c r="E75" s="38"/>
      <c r="F75" s="64">
        <f>SUM(F76:F77)</f>
        <v>12193.91</v>
      </c>
      <c r="G75" s="33"/>
    </row>
    <row r="76" spans="1:7" ht="12.75" customHeight="1">
      <c r="A76" s="21"/>
      <c r="B76" s="28"/>
      <c r="C76" s="21"/>
      <c r="D76" s="21"/>
      <c r="E76" s="39" t="s">
        <v>58</v>
      </c>
      <c r="F76" s="87">
        <v>12193.91</v>
      </c>
      <c r="G76" s="33"/>
    </row>
    <row r="77" spans="1:7" ht="12.75" customHeight="1">
      <c r="A77" s="21"/>
      <c r="B77" s="28"/>
      <c r="C77" s="21"/>
      <c r="D77" s="21"/>
      <c r="E77" s="39"/>
      <c r="F77" s="67"/>
      <c r="G77" s="33"/>
    </row>
    <row r="78" spans="1:7" ht="12.75" customHeight="1">
      <c r="A78" s="21"/>
      <c r="B78" s="28"/>
      <c r="C78" s="21"/>
      <c r="D78" s="21"/>
      <c r="E78" s="39"/>
      <c r="F78" s="61"/>
      <c r="G78" s="33"/>
    </row>
    <row r="79" spans="1:7" ht="12.75" customHeight="1">
      <c r="A79" s="21"/>
      <c r="B79" s="28"/>
      <c r="C79" s="79" t="s">
        <v>21</v>
      </c>
      <c r="D79" s="21"/>
      <c r="E79" s="38"/>
      <c r="F79" s="65">
        <f>SUM(F80:F84)</f>
        <v>1465186.1</v>
      </c>
      <c r="G79" s="33"/>
    </row>
    <row r="80" spans="1:7" ht="12.75" customHeight="1">
      <c r="A80" s="21"/>
      <c r="B80" s="28"/>
      <c r="D80" s="92" t="s">
        <v>22</v>
      </c>
      <c r="E80" s="41"/>
      <c r="F80" s="90">
        <f>1046867.46+14271.86+33623.65+57403.89+13773.09</f>
        <v>1165939.95</v>
      </c>
      <c r="G80" s="33"/>
    </row>
    <row r="81" spans="1:7" ht="12.75" customHeight="1">
      <c r="A81" s="21"/>
      <c r="B81" s="28"/>
      <c r="D81" s="92" t="s">
        <v>23</v>
      </c>
      <c r="E81" s="41"/>
      <c r="F81" s="87">
        <f>213367.31+5976.44+4254.51+8312.45+13996.12</f>
        <v>245906.83000000002</v>
      </c>
      <c r="G81" s="33"/>
    </row>
    <row r="82" spans="1:7" ht="12.75" customHeight="1">
      <c r="A82" s="21"/>
      <c r="B82" s="28"/>
      <c r="D82" s="92" t="s">
        <v>24</v>
      </c>
      <c r="E82" s="41"/>
      <c r="F82" s="87">
        <v>48772.82</v>
      </c>
      <c r="G82" s="33"/>
    </row>
    <row r="83" spans="1:7" ht="12.75" customHeight="1">
      <c r="A83" s="21"/>
      <c r="B83" s="28"/>
      <c r="D83" s="92" t="s">
        <v>25</v>
      </c>
      <c r="E83" s="41"/>
      <c r="F83" s="87">
        <v>0</v>
      </c>
      <c r="G83" s="33"/>
    </row>
    <row r="84" spans="1:7" ht="12.75" customHeight="1">
      <c r="A84" s="21"/>
      <c r="B84" s="28"/>
      <c r="D84" s="92" t="s">
        <v>26</v>
      </c>
      <c r="E84" s="41"/>
      <c r="F84" s="87">
        <v>4566.5</v>
      </c>
      <c r="G84" s="33"/>
    </row>
    <row r="85" spans="1:7" ht="12.75" customHeight="1">
      <c r="A85" s="21"/>
      <c r="B85" s="28"/>
      <c r="D85" s="40"/>
      <c r="E85" s="41"/>
      <c r="F85" s="61"/>
      <c r="G85" s="33"/>
    </row>
    <row r="86" spans="1:7" ht="12.75" customHeight="1">
      <c r="A86" s="21"/>
      <c r="B86" s="28"/>
      <c r="C86" s="79" t="s">
        <v>27</v>
      </c>
      <c r="D86" s="21"/>
      <c r="E86" s="38"/>
      <c r="F86" s="65">
        <f>SUM(F87:F91)</f>
        <v>123326.87</v>
      </c>
      <c r="G86" s="33"/>
    </row>
    <row r="87" spans="1:7" ht="12.75" customHeight="1">
      <c r="A87" s="21"/>
      <c r="B87" s="28"/>
      <c r="C87" s="21"/>
      <c r="D87" s="92" t="s">
        <v>28</v>
      </c>
      <c r="E87" s="41"/>
      <c r="F87" s="90">
        <v>862</v>
      </c>
      <c r="G87" s="33"/>
    </row>
    <row r="88" spans="1:7" ht="12.75" customHeight="1">
      <c r="A88" s="21"/>
      <c r="B88" s="28"/>
      <c r="D88" s="92" t="s">
        <v>29</v>
      </c>
      <c r="E88" s="42"/>
      <c r="F88" s="87">
        <v>122464.87</v>
      </c>
      <c r="G88" s="33"/>
    </row>
    <row r="89" spans="1:7" ht="12.75" customHeight="1">
      <c r="A89" s="21"/>
      <c r="B89" s="28"/>
      <c r="D89" s="92" t="s">
        <v>31</v>
      </c>
      <c r="E89" s="41"/>
      <c r="F89" s="87">
        <v>0</v>
      </c>
      <c r="G89" s="33"/>
    </row>
    <row r="90" spans="1:7" ht="12.75" customHeight="1">
      <c r="A90" s="21"/>
      <c r="B90" s="28"/>
      <c r="D90" s="92" t="s">
        <v>32</v>
      </c>
      <c r="E90" s="41"/>
      <c r="F90" s="87"/>
      <c r="G90" s="33"/>
    </row>
    <row r="91" spans="1:7" ht="12.75" customHeight="1">
      <c r="A91" s="21"/>
      <c r="B91" s="28"/>
      <c r="D91" s="40"/>
      <c r="E91" s="93" t="s">
        <v>33</v>
      </c>
      <c r="F91" s="87">
        <v>0</v>
      </c>
      <c r="G91" s="33"/>
    </row>
    <row r="92" spans="1:7" ht="12.75" customHeight="1">
      <c r="A92" s="21"/>
      <c r="B92" s="28"/>
      <c r="D92" s="40"/>
      <c r="E92" s="42"/>
      <c r="F92" s="62"/>
      <c r="G92" s="33"/>
    </row>
    <row r="93" spans="1:7" ht="12.75" customHeight="1">
      <c r="A93" s="21"/>
      <c r="B93" s="28"/>
      <c r="C93" s="79" t="s">
        <v>34</v>
      </c>
      <c r="D93" s="21"/>
      <c r="E93" s="38"/>
      <c r="F93" s="59"/>
      <c r="G93" s="33"/>
    </row>
    <row r="94" spans="1:7" ht="12.75" customHeight="1">
      <c r="A94" s="21"/>
      <c r="B94" s="28"/>
      <c r="D94" s="21"/>
      <c r="E94" s="94" t="s">
        <v>35</v>
      </c>
      <c r="F94" s="66">
        <v>0</v>
      </c>
      <c r="G94" s="33"/>
    </row>
    <row r="95" spans="1:7" ht="12.75" customHeight="1">
      <c r="A95" s="21"/>
      <c r="B95" s="28"/>
      <c r="D95" s="21"/>
      <c r="E95" s="43"/>
      <c r="F95" s="59"/>
      <c r="G95" s="33"/>
    </row>
    <row r="96" spans="1:7" ht="12.75" customHeight="1">
      <c r="A96" s="21"/>
      <c r="B96" s="28"/>
      <c r="C96" s="79" t="s">
        <v>36</v>
      </c>
      <c r="D96" s="21"/>
      <c r="E96" s="38"/>
      <c r="F96" s="66">
        <v>0</v>
      </c>
      <c r="G96" s="33"/>
    </row>
    <row r="97" spans="1:7" ht="12.75" customHeight="1">
      <c r="A97" s="21"/>
      <c r="B97" s="28"/>
      <c r="C97" s="21"/>
      <c r="D97" s="21"/>
      <c r="E97" s="38"/>
      <c r="F97" s="59"/>
      <c r="G97" s="33"/>
    </row>
    <row r="98" spans="1:7" ht="12.75" customHeight="1">
      <c r="A98" s="21"/>
      <c r="B98" s="28"/>
      <c r="C98" s="79" t="s">
        <v>37</v>
      </c>
      <c r="D98" s="21"/>
      <c r="E98" s="38"/>
      <c r="F98" s="66">
        <v>0</v>
      </c>
      <c r="G98" s="33"/>
    </row>
    <row r="99" spans="1:7" ht="12.75" customHeight="1">
      <c r="A99" s="21"/>
      <c r="B99" s="28"/>
      <c r="C99" s="21"/>
      <c r="D99" s="21"/>
      <c r="E99" s="38"/>
      <c r="F99" s="59"/>
      <c r="G99" s="33"/>
    </row>
    <row r="100" spans="1:7" ht="12.75" customHeight="1">
      <c r="A100" s="21"/>
      <c r="B100" s="28"/>
      <c r="C100" s="79" t="s">
        <v>38</v>
      </c>
      <c r="D100" s="21"/>
      <c r="E100" s="38"/>
      <c r="F100" s="66">
        <f>SUM(F101:F107)</f>
        <v>46842.299999999996</v>
      </c>
      <c r="G100" s="33"/>
    </row>
    <row r="101" spans="1:7" ht="12.75" customHeight="1">
      <c r="A101" s="21"/>
      <c r="B101" s="28"/>
      <c r="C101" s="21"/>
      <c r="D101" s="21"/>
      <c r="E101" s="85" t="s">
        <v>61</v>
      </c>
      <c r="F101" s="96">
        <v>2905.19</v>
      </c>
      <c r="G101" s="33"/>
    </row>
    <row r="102" spans="1:7" ht="12.75" customHeight="1">
      <c r="A102" s="21"/>
      <c r="B102" s="28"/>
      <c r="C102" s="21"/>
      <c r="D102" s="21"/>
      <c r="E102" s="85" t="s">
        <v>62</v>
      </c>
      <c r="F102" s="96">
        <v>2895.83</v>
      </c>
      <c r="G102" s="33"/>
    </row>
    <row r="103" spans="1:7" ht="12.75" customHeight="1">
      <c r="A103" s="21"/>
      <c r="B103" s="28"/>
      <c r="C103" s="21"/>
      <c r="D103" s="21"/>
      <c r="E103" s="95" t="s">
        <v>71</v>
      </c>
      <c r="F103" s="96">
        <v>9187.65</v>
      </c>
      <c r="G103" s="33"/>
    </row>
    <row r="104" spans="1:7" ht="12.75" customHeight="1">
      <c r="A104" s="21"/>
      <c r="B104" s="28"/>
      <c r="C104" s="21"/>
      <c r="D104" s="21"/>
      <c r="E104" s="85" t="s">
        <v>74</v>
      </c>
      <c r="F104" s="96">
        <v>24516.17</v>
      </c>
      <c r="G104" s="33"/>
    </row>
    <row r="105" spans="1:7" ht="12.75" customHeight="1">
      <c r="A105" s="21"/>
      <c r="B105" s="28"/>
      <c r="C105" s="21"/>
      <c r="D105" s="21"/>
      <c r="E105" s="85" t="s">
        <v>47</v>
      </c>
      <c r="F105" s="96">
        <v>1286.4</v>
      </c>
      <c r="G105" s="33"/>
    </row>
    <row r="106" spans="1:7" ht="12.75" customHeight="1">
      <c r="A106" s="21"/>
      <c r="B106" s="28"/>
      <c r="C106" s="21"/>
      <c r="D106" s="21"/>
      <c r="E106" s="85" t="s">
        <v>193</v>
      </c>
      <c r="F106" s="96">
        <v>5400.86</v>
      </c>
      <c r="G106" s="33"/>
    </row>
    <row r="107" spans="1:7" ht="13.5" customHeight="1">
      <c r="A107" s="21"/>
      <c r="B107" s="28"/>
      <c r="C107" s="21"/>
      <c r="D107" s="21"/>
      <c r="E107" s="85" t="s">
        <v>67</v>
      </c>
      <c r="F107" s="87">
        <v>650.2</v>
      </c>
      <c r="G107" s="33"/>
    </row>
    <row r="108" spans="1:7" ht="12.75" customHeight="1">
      <c r="A108" s="21"/>
      <c r="B108" s="28"/>
      <c r="C108" s="21"/>
      <c r="D108" s="21"/>
      <c r="E108" s="43"/>
      <c r="F108" s="59" t="s">
        <v>0</v>
      </c>
      <c r="G108" s="33"/>
    </row>
    <row r="109" spans="1:9" ht="16.5" customHeight="1">
      <c r="A109" s="44"/>
      <c r="B109" s="75" t="s">
        <v>39</v>
      </c>
      <c r="C109" s="45"/>
      <c r="D109" s="45"/>
      <c r="E109" s="39"/>
      <c r="F109" s="59" t="s">
        <v>0</v>
      </c>
      <c r="G109" s="98">
        <f>SUM(G19:G107)</f>
        <v>-279030.3300000001</v>
      </c>
      <c r="I109" s="70"/>
    </row>
    <row r="110" spans="1:7" ht="12.75" customHeight="1">
      <c r="A110" s="21"/>
      <c r="B110" s="97" t="s">
        <v>40</v>
      </c>
      <c r="C110" s="21"/>
      <c r="D110" s="21"/>
      <c r="E110" s="43"/>
      <c r="F110" s="59" t="s">
        <v>0</v>
      </c>
      <c r="G110" s="46"/>
    </row>
    <row r="111" spans="2:7" ht="12" customHeight="1">
      <c r="B111" s="47"/>
      <c r="E111" s="38"/>
      <c r="F111" s="59" t="s">
        <v>0</v>
      </c>
      <c r="G111" s="46"/>
    </row>
    <row r="112" spans="2:7" ht="16.5" customHeight="1">
      <c r="B112" s="75" t="s">
        <v>52</v>
      </c>
      <c r="C112" s="35"/>
      <c r="D112" s="35"/>
      <c r="E112" s="48"/>
      <c r="F112" s="60"/>
      <c r="G112" s="98">
        <f>SUM(F114:F116)</f>
        <v>-18.09</v>
      </c>
    </row>
    <row r="113" spans="2:7" ht="12">
      <c r="B113" s="47"/>
      <c r="E113" s="38"/>
      <c r="F113" s="59"/>
      <c r="G113" s="46"/>
    </row>
    <row r="114" spans="2:7" ht="15">
      <c r="B114" s="28"/>
      <c r="C114" s="79" t="s">
        <v>49</v>
      </c>
      <c r="D114" s="21"/>
      <c r="E114" s="38"/>
      <c r="F114" s="64">
        <v>0</v>
      </c>
      <c r="G114" s="46"/>
    </row>
    <row r="115" spans="2:7" ht="15">
      <c r="B115" s="47"/>
      <c r="C115" s="79" t="s">
        <v>50</v>
      </c>
      <c r="E115" s="38"/>
      <c r="F115" s="71">
        <v>0</v>
      </c>
      <c r="G115" s="46"/>
    </row>
    <row r="116" spans="2:7" ht="15">
      <c r="B116" s="47"/>
      <c r="C116" s="79" t="s">
        <v>51</v>
      </c>
      <c r="E116" s="38"/>
      <c r="F116" s="66">
        <v>-18.09</v>
      </c>
      <c r="G116" s="46"/>
    </row>
    <row r="117" spans="2:7" ht="12">
      <c r="B117" s="47"/>
      <c r="E117" s="38"/>
      <c r="F117" s="59"/>
      <c r="G117" s="46"/>
    </row>
    <row r="118" spans="2:7" ht="18">
      <c r="B118" s="75" t="s">
        <v>75</v>
      </c>
      <c r="C118" s="35"/>
      <c r="D118" s="35"/>
      <c r="E118" s="48"/>
      <c r="F118" s="69">
        <v>0</v>
      </c>
      <c r="G118" s="99">
        <v>0</v>
      </c>
    </row>
    <row r="119" spans="2:7" ht="12">
      <c r="B119" s="47"/>
      <c r="E119" s="38"/>
      <c r="F119" s="59"/>
      <c r="G119" s="46"/>
    </row>
    <row r="120" spans="2:7" ht="18">
      <c r="B120" s="75" t="s">
        <v>76</v>
      </c>
      <c r="C120" s="35"/>
      <c r="D120" s="35"/>
      <c r="E120" s="48"/>
      <c r="F120" s="60"/>
      <c r="G120" s="98">
        <f>F122+F123</f>
        <v>-3033.71</v>
      </c>
    </row>
    <row r="121" spans="2:7" ht="12">
      <c r="B121" s="47"/>
      <c r="E121" s="38"/>
      <c r="F121" s="59"/>
      <c r="G121" s="46"/>
    </row>
    <row r="122" spans="2:7" ht="14.25">
      <c r="B122" s="47"/>
      <c r="C122" s="79" t="s">
        <v>53</v>
      </c>
      <c r="E122" s="38"/>
      <c r="F122" s="68">
        <v>882.6</v>
      </c>
      <c r="G122" s="46"/>
    </row>
    <row r="123" spans="2:7" ht="14.25">
      <c r="B123" s="47"/>
      <c r="C123" s="79" t="s">
        <v>54</v>
      </c>
      <c r="E123" s="38"/>
      <c r="F123" s="68">
        <v>-3916.31</v>
      </c>
      <c r="G123" s="46"/>
    </row>
    <row r="124" spans="2:7" ht="12">
      <c r="B124" s="47"/>
      <c r="E124" s="38"/>
      <c r="F124" s="59"/>
      <c r="G124" s="46"/>
    </row>
    <row r="125" spans="2:7" ht="12">
      <c r="B125" s="47"/>
      <c r="E125" s="38"/>
      <c r="F125" s="59"/>
      <c r="G125" s="46"/>
    </row>
    <row r="126" spans="2:9" ht="18">
      <c r="B126" s="31"/>
      <c r="E126" s="100" t="s">
        <v>55</v>
      </c>
      <c r="F126" s="59"/>
      <c r="G126" s="101">
        <f>G109+G112+G118+G120</f>
        <v>-282082.1300000001</v>
      </c>
      <c r="I126" s="70"/>
    </row>
    <row r="127" spans="2:7" ht="12">
      <c r="B127" s="49"/>
      <c r="C127" s="50"/>
      <c r="D127" s="50"/>
      <c r="E127" s="51"/>
      <c r="F127" s="52"/>
      <c r="G127" s="53"/>
    </row>
    <row r="131" spans="5:7" ht="15.75">
      <c r="E131" s="103" t="s">
        <v>111</v>
      </c>
      <c r="G131" s="107">
        <f>828267.98*49.11/100</f>
        <v>406762.404978</v>
      </c>
    </row>
    <row r="133" spans="5:7" ht="15.75">
      <c r="E133" s="103" t="s">
        <v>112</v>
      </c>
      <c r="G133" s="107">
        <f>-952694.23*49.11/100+0.21</f>
        <v>-467867.92635299993</v>
      </c>
    </row>
    <row r="135" spans="5:7" ht="18">
      <c r="E135" s="103" t="s">
        <v>104</v>
      </c>
      <c r="G135" s="104">
        <f>SUM(G126:G133)</f>
        <v>-343187.6513750001</v>
      </c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85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9"/>
  <sheetViews>
    <sheetView workbookViewId="0" topLeftCell="A1">
      <selection activeCell="G4" sqref="G4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210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F20+F24+F25+F26+F28</f>
        <v>180833.33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SUM(F21:F22)</f>
        <v>180833.33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156</v>
      </c>
      <c r="F21" s="80">
        <v>140833.33</v>
      </c>
      <c r="G21" s="32"/>
    </row>
    <row r="22" spans="1:7" ht="12.75" customHeight="1">
      <c r="A22" s="21"/>
      <c r="B22" s="28"/>
      <c r="C22" s="76"/>
      <c r="D22" s="76" t="s">
        <v>30</v>
      </c>
      <c r="E22" s="77" t="s">
        <v>211</v>
      </c>
      <c r="F22" s="80">
        <v>40000</v>
      </c>
      <c r="G22" s="32"/>
    </row>
    <row r="23" spans="1:7" ht="12.75" customHeight="1">
      <c r="A23" s="21"/>
      <c r="B23" s="28"/>
      <c r="C23" s="76" t="s">
        <v>8</v>
      </c>
      <c r="D23" s="76" t="s">
        <v>9</v>
      </c>
      <c r="E23" s="77"/>
      <c r="F23" s="81"/>
      <c r="G23" s="32"/>
    </row>
    <row r="24" spans="1:7" ht="12.75" customHeight="1">
      <c r="A24" s="21"/>
      <c r="B24" s="28"/>
      <c r="C24" s="76"/>
      <c r="D24" s="76" t="s">
        <v>10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11</v>
      </c>
      <c r="D25" s="76" t="s">
        <v>12</v>
      </c>
      <c r="E25" s="77"/>
      <c r="F25" s="81">
        <v>0</v>
      </c>
      <c r="G25" s="32"/>
    </row>
    <row r="26" spans="1:7" ht="12.75" customHeight="1">
      <c r="A26" s="21"/>
      <c r="B26" s="28"/>
      <c r="C26" s="76" t="s">
        <v>13</v>
      </c>
      <c r="D26" s="76"/>
      <c r="E26" s="77"/>
      <c r="F26" s="81">
        <v>0</v>
      </c>
      <c r="G26" s="32"/>
    </row>
    <row r="27" spans="1:7" ht="12.75" customHeight="1">
      <c r="A27" s="21"/>
      <c r="B27" s="28"/>
      <c r="C27" s="76" t="s">
        <v>14</v>
      </c>
      <c r="D27" s="76"/>
      <c r="E27" s="77"/>
      <c r="F27" s="81" t="s">
        <v>0</v>
      </c>
      <c r="G27" s="33"/>
    </row>
    <row r="28" spans="1:7" ht="12.75" customHeight="1">
      <c r="A28" s="21"/>
      <c r="B28" s="28"/>
      <c r="C28" s="76"/>
      <c r="D28" s="76" t="s">
        <v>15</v>
      </c>
      <c r="E28" s="77"/>
      <c r="F28" s="64">
        <v>0</v>
      </c>
      <c r="G28" s="33"/>
    </row>
    <row r="29" spans="1:7" ht="12.75" customHeight="1">
      <c r="A29" s="21"/>
      <c r="B29" s="28"/>
      <c r="C29" s="21"/>
      <c r="D29" s="21"/>
      <c r="E29" s="21"/>
      <c r="F29" s="59"/>
      <c r="G29" s="33"/>
    </row>
    <row r="30" spans="1:7" s="37" customFormat="1" ht="15.75" customHeight="1">
      <c r="A30" s="35"/>
      <c r="B30" s="75" t="s">
        <v>16</v>
      </c>
      <c r="C30" s="35"/>
      <c r="D30" s="35"/>
      <c r="E30" s="36"/>
      <c r="F30" s="60"/>
      <c r="G30" s="84">
        <f>-(F32+F37+F45+F48+F55+F63+F65+F67+F69)</f>
        <v>-141797.21</v>
      </c>
    </row>
    <row r="31" spans="1:7" ht="12.75" customHeight="1">
      <c r="A31" s="21"/>
      <c r="B31" s="28"/>
      <c r="C31" s="79" t="s">
        <v>17</v>
      </c>
      <c r="D31" s="21"/>
      <c r="F31" s="59" t="s">
        <v>0</v>
      </c>
      <c r="G31" s="33"/>
    </row>
    <row r="32" spans="1:7" ht="12.75" customHeight="1">
      <c r="A32" s="21"/>
      <c r="B32" s="28"/>
      <c r="D32" s="79" t="s">
        <v>18</v>
      </c>
      <c r="E32" s="38"/>
      <c r="F32" s="65">
        <f>SUM(F33:F35)</f>
        <v>237.31</v>
      </c>
      <c r="G32" s="33"/>
    </row>
    <row r="33" spans="1:7" ht="12.75" customHeight="1">
      <c r="A33" s="21"/>
      <c r="B33" s="28"/>
      <c r="D33" s="21"/>
      <c r="E33" s="85" t="s">
        <v>151</v>
      </c>
      <c r="F33" s="87">
        <f>117.99+105.32</f>
        <v>223.31</v>
      </c>
      <c r="G33" s="33"/>
    </row>
    <row r="34" spans="1:7" ht="12.75" customHeight="1">
      <c r="A34" s="21"/>
      <c r="B34" s="28"/>
      <c r="D34" s="21"/>
      <c r="E34" s="85" t="s">
        <v>118</v>
      </c>
      <c r="F34" s="96">
        <v>14</v>
      </c>
      <c r="G34" s="33"/>
    </row>
    <row r="35" spans="1:7" ht="12.75" customHeight="1">
      <c r="A35" s="21"/>
      <c r="B35" s="28"/>
      <c r="D35" s="21"/>
      <c r="E35" s="85"/>
      <c r="F35" s="83"/>
      <c r="G35" s="33"/>
    </row>
    <row r="36" spans="1:7" ht="12.75" customHeight="1">
      <c r="A36" s="21"/>
      <c r="B36" s="28"/>
      <c r="D36" s="21"/>
      <c r="E36" s="38"/>
      <c r="F36" s="62"/>
      <c r="G36" s="33"/>
    </row>
    <row r="37" spans="1:7" ht="12.75" customHeight="1">
      <c r="A37" s="21"/>
      <c r="B37" s="28"/>
      <c r="C37" s="79" t="s">
        <v>19</v>
      </c>
      <c r="D37" s="21"/>
      <c r="E37" s="38"/>
      <c r="F37" s="65">
        <f>SUM(F38:F43)</f>
        <v>84454.29</v>
      </c>
      <c r="G37" s="33"/>
    </row>
    <row r="38" spans="1:256" ht="12.75" customHeight="1">
      <c r="A38" s="77"/>
      <c r="B38" s="108"/>
      <c r="C38" s="77"/>
      <c r="D38" s="77"/>
      <c r="E38" s="85" t="s">
        <v>84</v>
      </c>
      <c r="F38" s="106">
        <v>35.6</v>
      </c>
      <c r="G38" s="85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256" ht="12.75" customHeight="1">
      <c r="A39" s="77"/>
      <c r="B39" s="108"/>
      <c r="C39" s="77"/>
      <c r="D39" s="77"/>
      <c r="E39" s="85" t="s">
        <v>122</v>
      </c>
      <c r="F39" s="81">
        <v>96.21</v>
      </c>
      <c r="G39" s="85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  <row r="40" spans="1:256" ht="12.75" customHeight="1">
      <c r="A40" s="77"/>
      <c r="B40" s="108"/>
      <c r="C40" s="77"/>
      <c r="D40" s="77"/>
      <c r="E40" s="85" t="s">
        <v>86</v>
      </c>
      <c r="F40" s="106">
        <f>402.8+1070</f>
        <v>1472.8</v>
      </c>
      <c r="G40" s="85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75" customHeight="1">
      <c r="A41" s="77"/>
      <c r="B41" s="108"/>
      <c r="C41" s="77"/>
      <c r="D41" s="77"/>
      <c r="E41" s="85" t="s">
        <v>212</v>
      </c>
      <c r="F41" s="106">
        <v>16435.32</v>
      </c>
      <c r="G41" s="85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7" ht="12.75" customHeight="1">
      <c r="A42" s="21"/>
      <c r="B42" s="28"/>
      <c r="C42" s="21"/>
      <c r="D42" s="21"/>
      <c r="E42" s="85" t="s">
        <v>70</v>
      </c>
      <c r="F42" s="96">
        <v>57345.71</v>
      </c>
      <c r="G42" s="33"/>
    </row>
    <row r="43" spans="1:7" ht="12.75" customHeight="1">
      <c r="A43" s="21"/>
      <c r="B43" s="28"/>
      <c r="C43" s="21"/>
      <c r="D43" s="21"/>
      <c r="E43" s="85" t="s">
        <v>140</v>
      </c>
      <c r="F43" s="96">
        <v>9068.65</v>
      </c>
      <c r="G43" s="33"/>
    </row>
    <row r="44" spans="1:7" ht="12.75" customHeight="1">
      <c r="A44" s="21"/>
      <c r="B44" s="28"/>
      <c r="C44" s="21"/>
      <c r="D44" s="21"/>
      <c r="E44" s="39"/>
      <c r="F44" s="62"/>
      <c r="G44" s="111"/>
    </row>
    <row r="45" spans="1:7" ht="12.75" customHeight="1">
      <c r="A45" s="21"/>
      <c r="B45" s="28"/>
      <c r="C45" s="79" t="s">
        <v>20</v>
      </c>
      <c r="D45" s="21"/>
      <c r="E45" s="38"/>
      <c r="F45" s="64">
        <f>SUM(F46)</f>
        <v>360</v>
      </c>
      <c r="G45" s="33"/>
    </row>
    <row r="46" spans="1:7" ht="12.75" customHeight="1">
      <c r="A46" s="21"/>
      <c r="B46" s="28"/>
      <c r="C46" s="79"/>
      <c r="D46" s="21"/>
      <c r="E46" s="38" t="s">
        <v>141</v>
      </c>
      <c r="F46" s="91">
        <v>360</v>
      </c>
      <c r="G46" s="33"/>
    </row>
    <row r="47" spans="1:7" ht="12.75" customHeight="1">
      <c r="A47" s="21"/>
      <c r="B47" s="28"/>
      <c r="C47" s="21"/>
      <c r="D47" s="21"/>
      <c r="E47" s="39"/>
      <c r="F47" s="61"/>
      <c r="G47" s="33"/>
    </row>
    <row r="48" spans="1:7" ht="12.75" customHeight="1">
      <c r="A48" s="21"/>
      <c r="B48" s="28"/>
      <c r="C48" s="79" t="s">
        <v>21</v>
      </c>
      <c r="D48" s="21"/>
      <c r="E48" s="38"/>
      <c r="F48" s="65">
        <f>SUM(F49:F53)</f>
        <v>51000</v>
      </c>
      <c r="G48" s="33"/>
    </row>
    <row r="49" spans="1:7" ht="12.75" customHeight="1">
      <c r="A49" s="21"/>
      <c r="B49" s="28"/>
      <c r="D49" s="92" t="s">
        <v>22</v>
      </c>
      <c r="E49" s="41"/>
      <c r="F49" s="90">
        <v>38000</v>
      </c>
      <c r="G49" s="33"/>
    </row>
    <row r="50" spans="1:7" ht="12.75" customHeight="1">
      <c r="A50" s="21"/>
      <c r="B50" s="28"/>
      <c r="D50" s="92" t="s">
        <v>23</v>
      </c>
      <c r="E50" s="41"/>
      <c r="F50" s="87">
        <v>13000</v>
      </c>
      <c r="G50" s="33"/>
    </row>
    <row r="51" spans="1:7" ht="12.75" customHeight="1">
      <c r="A51" s="21"/>
      <c r="B51" s="28"/>
      <c r="D51" s="92" t="s">
        <v>24</v>
      </c>
      <c r="E51" s="41"/>
      <c r="F51" s="87">
        <v>0</v>
      </c>
      <c r="G51" s="33"/>
    </row>
    <row r="52" spans="1:7" ht="12.75" customHeight="1">
      <c r="A52" s="21"/>
      <c r="B52" s="28"/>
      <c r="D52" s="92" t="s">
        <v>25</v>
      </c>
      <c r="E52" s="41"/>
      <c r="F52" s="87">
        <v>0</v>
      </c>
      <c r="G52" s="33"/>
    </row>
    <row r="53" spans="1:7" ht="12.75" customHeight="1">
      <c r="A53" s="21"/>
      <c r="B53" s="28"/>
      <c r="D53" s="92" t="s">
        <v>26</v>
      </c>
      <c r="E53" s="41"/>
      <c r="F53" s="87">
        <v>0</v>
      </c>
      <c r="G53" s="33"/>
    </row>
    <row r="54" spans="1:7" ht="12.75" customHeight="1">
      <c r="A54" s="21"/>
      <c r="B54" s="28"/>
      <c r="D54" s="40"/>
      <c r="E54" s="41"/>
      <c r="F54" s="61"/>
      <c r="G54" s="33"/>
    </row>
    <row r="55" spans="1:7" ht="12.75" customHeight="1">
      <c r="A55" s="21"/>
      <c r="B55" s="28"/>
      <c r="C55" s="79" t="s">
        <v>27</v>
      </c>
      <c r="D55" s="21"/>
      <c r="E55" s="38"/>
      <c r="F55" s="65">
        <f>SUM(F56:F60)</f>
        <v>4127.2</v>
      </c>
      <c r="G55" s="33"/>
    </row>
    <row r="56" spans="1:7" ht="12.75" customHeight="1">
      <c r="A56" s="21"/>
      <c r="B56" s="28"/>
      <c r="C56" s="21"/>
      <c r="D56" s="92" t="s">
        <v>28</v>
      </c>
      <c r="E56" s="41"/>
      <c r="F56" s="90">
        <v>2190.24</v>
      </c>
      <c r="G56" s="33"/>
    </row>
    <row r="57" spans="1:7" ht="12.75" customHeight="1">
      <c r="A57" s="21"/>
      <c r="B57" s="28"/>
      <c r="D57" s="92" t="s">
        <v>29</v>
      </c>
      <c r="E57" s="42"/>
      <c r="F57" s="87">
        <v>1936.96</v>
      </c>
      <c r="G57" s="33"/>
    </row>
    <row r="58" spans="1:7" ht="12.75" customHeight="1">
      <c r="A58" s="21"/>
      <c r="B58" s="28"/>
      <c r="D58" s="92" t="s">
        <v>31</v>
      </c>
      <c r="E58" s="41"/>
      <c r="F58" s="87">
        <v>0</v>
      </c>
      <c r="G58" s="33"/>
    </row>
    <row r="59" spans="1:7" ht="12.75" customHeight="1">
      <c r="A59" s="21"/>
      <c r="B59" s="28"/>
      <c r="D59" s="92" t="s">
        <v>32</v>
      </c>
      <c r="E59" s="41"/>
      <c r="F59" s="87"/>
      <c r="G59" s="33"/>
    </row>
    <row r="60" spans="1:7" ht="12.75" customHeight="1">
      <c r="A60" s="21"/>
      <c r="B60" s="28"/>
      <c r="D60" s="40"/>
      <c r="E60" s="93" t="s">
        <v>33</v>
      </c>
      <c r="F60" s="87">
        <v>0</v>
      </c>
      <c r="G60" s="33"/>
    </row>
    <row r="61" spans="1:7" ht="12.75" customHeight="1">
      <c r="A61" s="21"/>
      <c r="B61" s="28"/>
      <c r="D61" s="40"/>
      <c r="E61" s="42"/>
      <c r="F61" s="62"/>
      <c r="G61" s="33"/>
    </row>
    <row r="62" spans="1:7" ht="12.75" customHeight="1">
      <c r="A62" s="21"/>
      <c r="B62" s="28"/>
      <c r="C62" s="79" t="s">
        <v>34</v>
      </c>
      <c r="D62" s="21"/>
      <c r="E62" s="38"/>
      <c r="F62" s="59"/>
      <c r="G62" s="33"/>
    </row>
    <row r="63" spans="1:7" ht="12.75" customHeight="1">
      <c r="A63" s="21"/>
      <c r="B63" s="28"/>
      <c r="D63" s="21"/>
      <c r="E63" s="94" t="s">
        <v>35</v>
      </c>
      <c r="F63" s="66">
        <v>0</v>
      </c>
      <c r="G63" s="33"/>
    </row>
    <row r="64" spans="1:7" ht="12.75" customHeight="1">
      <c r="A64" s="21"/>
      <c r="B64" s="28"/>
      <c r="D64" s="21"/>
      <c r="E64" s="43"/>
      <c r="F64" s="59"/>
      <c r="G64" s="33"/>
    </row>
    <row r="65" spans="1:7" ht="12.75" customHeight="1">
      <c r="A65" s="21"/>
      <c r="B65" s="28"/>
      <c r="C65" s="79" t="s">
        <v>36</v>
      </c>
      <c r="D65" s="21"/>
      <c r="E65" s="38"/>
      <c r="F65" s="66">
        <v>0</v>
      </c>
      <c r="G65" s="33"/>
    </row>
    <row r="66" spans="1:7" ht="12.75" customHeight="1">
      <c r="A66" s="21"/>
      <c r="B66" s="28"/>
      <c r="C66" s="21"/>
      <c r="D66" s="21"/>
      <c r="E66" s="38"/>
      <c r="F66" s="59"/>
      <c r="G66" s="33"/>
    </row>
    <row r="67" spans="1:7" ht="12.75" customHeight="1">
      <c r="A67" s="21"/>
      <c r="B67" s="28"/>
      <c r="C67" s="79" t="s">
        <v>37</v>
      </c>
      <c r="D67" s="21"/>
      <c r="E67" s="38"/>
      <c r="F67" s="66">
        <v>0</v>
      </c>
      <c r="G67" s="33"/>
    </row>
    <row r="68" spans="1:7" ht="12.75" customHeight="1">
      <c r="A68" s="21"/>
      <c r="B68" s="28"/>
      <c r="C68" s="21"/>
      <c r="D68" s="21"/>
      <c r="E68" s="38"/>
      <c r="F68" s="59"/>
      <c r="G68" s="33"/>
    </row>
    <row r="69" spans="1:7" ht="12.75" customHeight="1">
      <c r="A69" s="21"/>
      <c r="B69" s="28"/>
      <c r="C69" s="79" t="s">
        <v>38</v>
      </c>
      <c r="D69" s="21"/>
      <c r="E69" s="38"/>
      <c r="F69" s="66">
        <f>SUM(F70:F70)</f>
        <v>1618.41</v>
      </c>
      <c r="G69" s="33"/>
    </row>
    <row r="70" spans="1:7" ht="12.75" customHeight="1">
      <c r="A70" s="21"/>
      <c r="B70" s="28"/>
      <c r="C70" s="79"/>
      <c r="D70" s="21"/>
      <c r="E70" s="85" t="s">
        <v>155</v>
      </c>
      <c r="F70" s="81">
        <v>1618.41</v>
      </c>
      <c r="G70" s="33"/>
    </row>
    <row r="71" spans="1:7" ht="12.75" customHeight="1">
      <c r="A71" s="21"/>
      <c r="B71" s="28"/>
      <c r="C71" s="21"/>
      <c r="D71" s="21"/>
      <c r="E71" s="43"/>
      <c r="F71" s="59" t="s">
        <v>0</v>
      </c>
      <c r="G71" s="33"/>
    </row>
    <row r="72" spans="1:9" ht="16.5" customHeight="1">
      <c r="A72" s="44"/>
      <c r="B72" s="75" t="s">
        <v>39</v>
      </c>
      <c r="C72" s="45"/>
      <c r="D72" s="45"/>
      <c r="E72" s="39"/>
      <c r="F72" s="59" t="s">
        <v>0</v>
      </c>
      <c r="G72" s="98">
        <f>SUM(G19:G69)</f>
        <v>39036.119999999995</v>
      </c>
      <c r="I72" s="70"/>
    </row>
    <row r="73" spans="1:7" ht="12.75" customHeight="1">
      <c r="A73" s="21"/>
      <c r="B73" s="97" t="s">
        <v>40</v>
      </c>
      <c r="C73" s="21"/>
      <c r="D73" s="21"/>
      <c r="E73" s="43"/>
      <c r="F73" s="59" t="s">
        <v>0</v>
      </c>
      <c r="G73" s="46"/>
    </row>
    <row r="74" spans="2:7" ht="12" customHeight="1">
      <c r="B74" s="47"/>
      <c r="E74" s="38"/>
      <c r="F74" s="59" t="s">
        <v>0</v>
      </c>
      <c r="G74" s="46"/>
    </row>
    <row r="75" spans="2:7" ht="16.5" customHeight="1">
      <c r="B75" s="75" t="s">
        <v>52</v>
      </c>
      <c r="C75" s="35"/>
      <c r="D75" s="35"/>
      <c r="E75" s="48"/>
      <c r="F75" s="60"/>
      <c r="G75" s="98">
        <f>SUM(F77:F79)</f>
        <v>0</v>
      </c>
    </row>
    <row r="76" spans="2:7" ht="12">
      <c r="B76" s="47"/>
      <c r="E76" s="38"/>
      <c r="F76" s="59"/>
      <c r="G76" s="46"/>
    </row>
    <row r="77" spans="2:7" ht="15">
      <c r="B77" s="28"/>
      <c r="C77" s="79" t="s">
        <v>49</v>
      </c>
      <c r="D77" s="21"/>
      <c r="E77" s="38"/>
      <c r="F77" s="64">
        <v>0</v>
      </c>
      <c r="G77" s="46"/>
    </row>
    <row r="78" spans="2:7" ht="15">
      <c r="B78" s="47"/>
      <c r="C78" s="79" t="s">
        <v>50</v>
      </c>
      <c r="E78" s="38"/>
      <c r="F78" s="71">
        <v>0</v>
      </c>
      <c r="G78" s="46"/>
    </row>
    <row r="79" spans="2:7" ht="15">
      <c r="B79" s="47"/>
      <c r="C79" s="79" t="s">
        <v>51</v>
      </c>
      <c r="E79" s="38"/>
      <c r="F79" s="66">
        <v>0</v>
      </c>
      <c r="G79" s="46"/>
    </row>
    <row r="80" spans="2:7" ht="12">
      <c r="B80" s="47"/>
      <c r="E80" s="38"/>
      <c r="F80" s="59"/>
      <c r="G80" s="46"/>
    </row>
    <row r="81" spans="2:7" ht="18">
      <c r="B81" s="75" t="s">
        <v>75</v>
      </c>
      <c r="C81" s="35"/>
      <c r="D81" s="35"/>
      <c r="E81" s="48"/>
      <c r="F81" s="69">
        <v>0</v>
      </c>
      <c r="G81" s="99">
        <v>0</v>
      </c>
    </row>
    <row r="82" spans="2:7" ht="12">
      <c r="B82" s="47"/>
      <c r="E82" s="38"/>
      <c r="F82" s="59"/>
      <c r="G82" s="46"/>
    </row>
    <row r="83" spans="2:7" ht="18">
      <c r="B83" s="75" t="s">
        <v>76</v>
      </c>
      <c r="C83" s="35"/>
      <c r="D83" s="35"/>
      <c r="E83" s="48"/>
      <c r="F83" s="60"/>
      <c r="G83" s="98">
        <f>F85-F86</f>
        <v>0</v>
      </c>
    </row>
    <row r="84" spans="2:7" ht="12">
      <c r="B84" s="47"/>
      <c r="E84" s="38"/>
      <c r="F84" s="59"/>
      <c r="G84" s="46"/>
    </row>
    <row r="85" spans="2:7" ht="14.25">
      <c r="B85" s="47"/>
      <c r="C85" s="79" t="s">
        <v>53</v>
      </c>
      <c r="E85" s="38"/>
      <c r="F85" s="68">
        <v>0</v>
      </c>
      <c r="G85" s="46"/>
    </row>
    <row r="86" spans="2:7" ht="14.25">
      <c r="B86" s="47"/>
      <c r="C86" s="79" t="s">
        <v>54</v>
      </c>
      <c r="E86" s="38"/>
      <c r="F86" s="68">
        <v>0</v>
      </c>
      <c r="G86" s="46"/>
    </row>
    <row r="87" spans="2:7" ht="12">
      <c r="B87" s="47"/>
      <c r="E87" s="38"/>
      <c r="F87" s="59"/>
      <c r="G87" s="46"/>
    </row>
    <row r="88" spans="2:7" ht="12">
      <c r="B88" s="47"/>
      <c r="E88" s="38"/>
      <c r="F88" s="59"/>
      <c r="G88" s="46"/>
    </row>
    <row r="89" spans="2:9" ht="18">
      <c r="B89" s="31"/>
      <c r="E89" s="100" t="s">
        <v>55</v>
      </c>
      <c r="F89" s="59"/>
      <c r="G89" s="101">
        <f>G72+G75+G81+G83</f>
        <v>39036.119999999995</v>
      </c>
      <c r="I89" s="70"/>
    </row>
    <row r="90" spans="2:7" ht="12">
      <c r="B90" s="49"/>
      <c r="C90" s="50"/>
      <c r="D90" s="50"/>
      <c r="E90" s="51"/>
      <c r="F90" s="52"/>
      <c r="G90" s="53"/>
    </row>
    <row r="95" spans="5:7" ht="15.75">
      <c r="E95" s="103" t="s">
        <v>111</v>
      </c>
      <c r="G95" s="107">
        <f>828267.98*1.81/100</f>
        <v>14991.650438</v>
      </c>
    </row>
    <row r="97" spans="5:7" ht="15.75">
      <c r="E97" s="103" t="s">
        <v>112</v>
      </c>
      <c r="G97" s="107">
        <f>-952694.23*1.81/100-1.67</f>
        <v>-17245.435563</v>
      </c>
    </row>
    <row r="99" spans="5:7" ht="18">
      <c r="E99" s="103" t="s">
        <v>160</v>
      </c>
      <c r="G99" s="104">
        <f>G89+G95+G97</f>
        <v>36782.33487499999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7"/>
  <sheetViews>
    <sheetView workbookViewId="0" topLeftCell="A1">
      <selection activeCell="G2" sqref="G2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157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F20+F22+F23+F24+F26</f>
        <v>94900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v>0</v>
      </c>
      <c r="G20" s="32"/>
    </row>
    <row r="21" spans="1:7" ht="12.75" customHeight="1">
      <c r="A21" s="21"/>
      <c r="B21" s="28"/>
      <c r="C21" s="76" t="s">
        <v>8</v>
      </c>
      <c r="D21" s="76" t="s">
        <v>9</v>
      </c>
      <c r="E21" s="77"/>
      <c r="F21" s="81"/>
      <c r="G21" s="32"/>
    </row>
    <row r="22" spans="1:7" ht="12.75" customHeight="1">
      <c r="A22" s="21"/>
      <c r="B22" s="28"/>
      <c r="C22" s="76"/>
      <c r="D22" s="76" t="s">
        <v>10</v>
      </c>
      <c r="E22" s="77"/>
      <c r="F22" s="81">
        <v>0</v>
      </c>
      <c r="G22" s="32"/>
    </row>
    <row r="23" spans="1:7" ht="12.75" customHeight="1">
      <c r="A23" s="21"/>
      <c r="B23" s="28"/>
      <c r="C23" s="76" t="s">
        <v>11</v>
      </c>
      <c r="D23" s="76" t="s">
        <v>12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13</v>
      </c>
      <c r="D24" s="76"/>
      <c r="E24" s="77"/>
      <c r="F24" s="81">
        <v>0</v>
      </c>
      <c r="G24" s="32"/>
    </row>
    <row r="25" spans="1:7" ht="12.75" customHeight="1">
      <c r="A25" s="21"/>
      <c r="B25" s="28"/>
      <c r="C25" s="76" t="s">
        <v>14</v>
      </c>
      <c r="D25" s="76"/>
      <c r="E25" s="77"/>
      <c r="F25" s="81" t="s">
        <v>0</v>
      </c>
      <c r="G25" s="33"/>
    </row>
    <row r="26" spans="1:7" ht="12.75" customHeight="1">
      <c r="A26" s="21"/>
      <c r="B26" s="28"/>
      <c r="C26" s="76"/>
      <c r="D26" s="76" t="s">
        <v>15</v>
      </c>
      <c r="E26" s="77"/>
      <c r="F26" s="64">
        <f>SUM(F27)</f>
        <v>94900</v>
      </c>
      <c r="G26" s="33"/>
    </row>
    <row r="27" spans="1:7" ht="12.75" customHeight="1">
      <c r="A27" s="21"/>
      <c r="B27" s="28"/>
      <c r="C27" s="76"/>
      <c r="D27" s="76" t="s">
        <v>158</v>
      </c>
      <c r="E27" s="77"/>
      <c r="F27" s="82">
        <v>94900</v>
      </c>
      <c r="G27" s="33"/>
    </row>
    <row r="28" spans="1:7" ht="12.75" customHeight="1">
      <c r="A28" s="21"/>
      <c r="B28" s="28"/>
      <c r="C28" s="21"/>
      <c r="D28" s="21"/>
      <c r="E28" s="21"/>
      <c r="F28" s="59"/>
      <c r="G28" s="33"/>
    </row>
    <row r="29" spans="1:7" s="37" customFormat="1" ht="15.75" customHeight="1">
      <c r="A29" s="35"/>
      <c r="B29" s="75" t="s">
        <v>16</v>
      </c>
      <c r="C29" s="35"/>
      <c r="D29" s="35"/>
      <c r="E29" s="36"/>
      <c r="F29" s="60"/>
      <c r="G29" s="84">
        <f>-(F31+F35+F42+F44+F51+F59+F61+F63+F65)</f>
        <v>-92029.33</v>
      </c>
    </row>
    <row r="30" spans="1:7" ht="12.75" customHeight="1">
      <c r="A30" s="21"/>
      <c r="B30" s="28"/>
      <c r="C30" s="79" t="s">
        <v>17</v>
      </c>
      <c r="D30" s="21"/>
      <c r="F30" s="59" t="s">
        <v>0</v>
      </c>
      <c r="G30" s="33"/>
    </row>
    <row r="31" spans="1:7" ht="12.75" customHeight="1">
      <c r="A31" s="21"/>
      <c r="B31" s="28"/>
      <c r="D31" s="79" t="s">
        <v>18</v>
      </c>
      <c r="E31" s="38"/>
      <c r="F31" s="65">
        <f>SUM(F32:F32)</f>
        <v>18.73</v>
      </c>
      <c r="G31" s="33"/>
    </row>
    <row r="32" spans="1:7" ht="12.75" customHeight="1">
      <c r="A32" s="21"/>
      <c r="B32" s="28"/>
      <c r="D32" s="79"/>
      <c r="E32" s="38" t="s">
        <v>118</v>
      </c>
      <c r="F32" s="91">
        <v>18.73</v>
      </c>
      <c r="G32" s="33"/>
    </row>
    <row r="33" spans="1:7" ht="12.75" customHeight="1">
      <c r="A33" s="21"/>
      <c r="B33" s="28"/>
      <c r="D33" s="21"/>
      <c r="E33" s="85"/>
      <c r="F33" s="83"/>
      <c r="G33" s="33"/>
    </row>
    <row r="34" spans="1:7" ht="12.75" customHeight="1">
      <c r="A34" s="21"/>
      <c r="B34" s="28"/>
      <c r="D34" s="21"/>
      <c r="E34" s="38"/>
      <c r="F34" s="62"/>
      <c r="G34" s="33"/>
    </row>
    <row r="35" spans="1:7" ht="12.75" customHeight="1">
      <c r="A35" s="21"/>
      <c r="B35" s="28"/>
      <c r="C35" s="79" t="s">
        <v>19</v>
      </c>
      <c r="D35" s="21"/>
      <c r="E35" s="38"/>
      <c r="F35" s="65">
        <f>SUM(F36:F40)</f>
        <v>40630.79</v>
      </c>
      <c r="G35" s="33"/>
    </row>
    <row r="36" spans="1:256" ht="12.75" customHeight="1">
      <c r="A36" s="77"/>
      <c r="B36" s="108"/>
      <c r="C36" s="77"/>
      <c r="D36" s="77"/>
      <c r="E36" s="85" t="s">
        <v>194</v>
      </c>
      <c r="F36" s="106">
        <v>2702</v>
      </c>
      <c r="G36" s="85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</row>
    <row r="37" spans="1:256" ht="12.75" customHeight="1">
      <c r="A37" s="77"/>
      <c r="B37" s="108"/>
      <c r="C37" s="77"/>
      <c r="D37" s="77"/>
      <c r="E37" s="85" t="s">
        <v>84</v>
      </c>
      <c r="F37" s="115">
        <v>24</v>
      </c>
      <c r="G37" s="85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256" ht="12.75" customHeight="1">
      <c r="A38" s="77"/>
      <c r="B38" s="108"/>
      <c r="C38" s="77"/>
      <c r="D38" s="77"/>
      <c r="E38" s="85" t="s">
        <v>213</v>
      </c>
      <c r="F38" s="115">
        <v>36404.79</v>
      </c>
      <c r="G38" s="85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256" ht="12.75" customHeight="1">
      <c r="A39" s="77"/>
      <c r="B39" s="108"/>
      <c r="C39" s="77"/>
      <c r="D39" s="77"/>
      <c r="E39" s="85" t="s">
        <v>70</v>
      </c>
      <c r="F39" s="115">
        <v>1000</v>
      </c>
      <c r="G39" s="85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  <row r="40" spans="1:256" ht="12.75" customHeight="1">
      <c r="A40" s="77"/>
      <c r="B40" s="108"/>
      <c r="C40" s="77"/>
      <c r="D40" s="77"/>
      <c r="E40" s="85" t="s">
        <v>214</v>
      </c>
      <c r="F40" s="115">
        <v>500</v>
      </c>
      <c r="G40" s="85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7" ht="12.75" customHeight="1">
      <c r="A41" s="21"/>
      <c r="B41" s="28"/>
      <c r="C41" s="21"/>
      <c r="D41" s="21"/>
      <c r="E41" s="39"/>
      <c r="F41" s="62"/>
      <c r="G41" s="111"/>
    </row>
    <row r="42" spans="1:7" ht="12.75" customHeight="1">
      <c r="A42" s="21"/>
      <c r="B42" s="28"/>
      <c r="C42" s="79" t="s">
        <v>20</v>
      </c>
      <c r="D42" s="21"/>
      <c r="E42" s="38"/>
      <c r="F42" s="64">
        <v>0</v>
      </c>
      <c r="G42" s="33"/>
    </row>
    <row r="43" spans="1:7" ht="12.75" customHeight="1">
      <c r="A43" s="21"/>
      <c r="B43" s="28"/>
      <c r="C43" s="21"/>
      <c r="D43" s="21"/>
      <c r="E43" s="39"/>
      <c r="F43" s="61"/>
      <c r="G43" s="33"/>
    </row>
    <row r="44" spans="1:7" ht="12.75" customHeight="1">
      <c r="A44" s="21"/>
      <c r="B44" s="28"/>
      <c r="C44" s="79" t="s">
        <v>21</v>
      </c>
      <c r="D44" s="21"/>
      <c r="E44" s="38"/>
      <c r="F44" s="65">
        <f>SUM(F45:F49)</f>
        <v>51000</v>
      </c>
      <c r="G44" s="33"/>
    </row>
    <row r="45" spans="1:7" ht="12.75" customHeight="1">
      <c r="A45" s="21"/>
      <c r="B45" s="28"/>
      <c r="D45" s="92" t="s">
        <v>22</v>
      </c>
      <c r="E45" s="41"/>
      <c r="F45" s="90">
        <v>45635</v>
      </c>
      <c r="G45" s="33"/>
    </row>
    <row r="46" spans="1:7" ht="12.75" customHeight="1">
      <c r="A46" s="21"/>
      <c r="B46" s="28"/>
      <c r="D46" s="92" t="s">
        <v>23</v>
      </c>
      <c r="E46" s="41"/>
      <c r="F46" s="87">
        <v>4000</v>
      </c>
      <c r="G46" s="33"/>
    </row>
    <row r="47" spans="1:7" ht="12.75" customHeight="1">
      <c r="A47" s="21"/>
      <c r="B47" s="28"/>
      <c r="D47" s="92" t="s">
        <v>24</v>
      </c>
      <c r="E47" s="41"/>
      <c r="F47" s="87">
        <v>1365</v>
      </c>
      <c r="G47" s="33"/>
    </row>
    <row r="48" spans="1:7" ht="12.75" customHeight="1">
      <c r="A48" s="21"/>
      <c r="B48" s="28"/>
      <c r="D48" s="92" t="s">
        <v>25</v>
      </c>
      <c r="E48" s="41"/>
      <c r="F48" s="87">
        <v>0</v>
      </c>
      <c r="G48" s="33"/>
    </row>
    <row r="49" spans="1:7" ht="12.75" customHeight="1">
      <c r="A49" s="21"/>
      <c r="B49" s="28"/>
      <c r="D49" s="92" t="s">
        <v>26</v>
      </c>
      <c r="E49" s="41"/>
      <c r="F49" s="87">
        <v>0</v>
      </c>
      <c r="G49" s="33"/>
    </row>
    <row r="50" spans="1:7" ht="12.75" customHeight="1">
      <c r="A50" s="21"/>
      <c r="B50" s="28"/>
      <c r="D50" s="40"/>
      <c r="E50" s="41"/>
      <c r="F50" s="61"/>
      <c r="G50" s="33"/>
    </row>
    <row r="51" spans="1:7" ht="12.75" customHeight="1">
      <c r="A51" s="21"/>
      <c r="B51" s="28"/>
      <c r="C51" s="79" t="s">
        <v>27</v>
      </c>
      <c r="D51" s="21"/>
      <c r="E51" s="38"/>
      <c r="F51" s="65">
        <f>SUM(F52:F56)</f>
        <v>153.59</v>
      </c>
      <c r="G51" s="33"/>
    </row>
    <row r="52" spans="1:7" ht="12.75" customHeight="1">
      <c r="A52" s="21"/>
      <c r="B52" s="28"/>
      <c r="C52" s="21"/>
      <c r="D52" s="92" t="s">
        <v>28</v>
      </c>
      <c r="E52" s="41"/>
      <c r="F52" s="90">
        <v>0</v>
      </c>
      <c r="G52" s="33"/>
    </row>
    <row r="53" spans="1:7" ht="12.75" customHeight="1">
      <c r="A53" s="21"/>
      <c r="B53" s="28"/>
      <c r="D53" s="92" t="s">
        <v>29</v>
      </c>
      <c r="E53" s="42"/>
      <c r="F53" s="87">
        <v>153.59</v>
      </c>
      <c r="G53" s="33"/>
    </row>
    <row r="54" spans="1:7" ht="12.75" customHeight="1">
      <c r="A54" s="21"/>
      <c r="B54" s="28"/>
      <c r="D54" s="92" t="s">
        <v>31</v>
      </c>
      <c r="E54" s="41"/>
      <c r="F54" s="87">
        <v>0</v>
      </c>
      <c r="G54" s="33"/>
    </row>
    <row r="55" spans="1:7" ht="12.75" customHeight="1">
      <c r="A55" s="21"/>
      <c r="B55" s="28"/>
      <c r="D55" s="92" t="s">
        <v>32</v>
      </c>
      <c r="E55" s="41"/>
      <c r="F55" s="87"/>
      <c r="G55" s="33"/>
    </row>
    <row r="56" spans="1:7" ht="12.75" customHeight="1">
      <c r="A56" s="21"/>
      <c r="B56" s="28"/>
      <c r="D56" s="40"/>
      <c r="E56" s="93" t="s">
        <v>33</v>
      </c>
      <c r="F56" s="87">
        <v>0</v>
      </c>
      <c r="G56" s="33"/>
    </row>
    <row r="57" spans="1:7" ht="12.75" customHeight="1">
      <c r="A57" s="21"/>
      <c r="B57" s="28"/>
      <c r="D57" s="40"/>
      <c r="E57" s="42"/>
      <c r="F57" s="62"/>
      <c r="G57" s="33"/>
    </row>
    <row r="58" spans="1:7" ht="12.75" customHeight="1">
      <c r="A58" s="21"/>
      <c r="B58" s="28"/>
      <c r="C58" s="79" t="s">
        <v>34</v>
      </c>
      <c r="D58" s="21"/>
      <c r="E58" s="38"/>
      <c r="F58" s="59"/>
      <c r="G58" s="33"/>
    </row>
    <row r="59" spans="1:7" ht="12.75" customHeight="1">
      <c r="A59" s="21"/>
      <c r="B59" s="28"/>
      <c r="D59" s="21"/>
      <c r="E59" s="94" t="s">
        <v>35</v>
      </c>
      <c r="F59" s="66">
        <v>0</v>
      </c>
      <c r="G59" s="33"/>
    </row>
    <row r="60" spans="1:7" ht="12.75" customHeight="1">
      <c r="A60" s="21"/>
      <c r="B60" s="28"/>
      <c r="D60" s="21"/>
      <c r="E60" s="43"/>
      <c r="F60" s="59"/>
      <c r="G60" s="33"/>
    </row>
    <row r="61" spans="1:7" ht="12.75" customHeight="1">
      <c r="A61" s="21"/>
      <c r="B61" s="28"/>
      <c r="C61" s="79" t="s">
        <v>36</v>
      </c>
      <c r="D61" s="21"/>
      <c r="E61" s="38"/>
      <c r="F61" s="66">
        <v>0</v>
      </c>
      <c r="G61" s="33"/>
    </row>
    <row r="62" spans="1:7" ht="12.75" customHeight="1">
      <c r="A62" s="21"/>
      <c r="B62" s="28"/>
      <c r="C62" s="21"/>
      <c r="D62" s="21"/>
      <c r="E62" s="38"/>
      <c r="F62" s="59"/>
      <c r="G62" s="33"/>
    </row>
    <row r="63" spans="1:7" ht="12.75" customHeight="1">
      <c r="A63" s="21"/>
      <c r="B63" s="28"/>
      <c r="C63" s="79" t="s">
        <v>37</v>
      </c>
      <c r="D63" s="21"/>
      <c r="E63" s="38"/>
      <c r="F63" s="66">
        <v>0</v>
      </c>
      <c r="G63" s="33"/>
    </row>
    <row r="64" spans="1:7" ht="12.75" customHeight="1">
      <c r="A64" s="21"/>
      <c r="B64" s="28"/>
      <c r="C64" s="21"/>
      <c r="D64" s="21"/>
      <c r="E64" s="38"/>
      <c r="F64" s="59"/>
      <c r="G64" s="33"/>
    </row>
    <row r="65" spans="1:7" ht="12.75" customHeight="1">
      <c r="A65" s="21"/>
      <c r="B65" s="28"/>
      <c r="C65" s="79" t="s">
        <v>38</v>
      </c>
      <c r="D65" s="21"/>
      <c r="E65" s="38"/>
      <c r="F65" s="66">
        <f>SUM(F66:F68)</f>
        <v>226.21999999999997</v>
      </c>
      <c r="G65" s="33"/>
    </row>
    <row r="66" spans="1:7" ht="12.75" customHeight="1">
      <c r="A66" s="21"/>
      <c r="B66" s="28"/>
      <c r="C66" s="79"/>
      <c r="D66" s="21"/>
      <c r="E66" s="38" t="s">
        <v>61</v>
      </c>
      <c r="F66" s="81">
        <v>18.1</v>
      </c>
      <c r="G66" s="33"/>
    </row>
    <row r="67" spans="1:7" ht="12.75" customHeight="1">
      <c r="A67" s="21"/>
      <c r="B67" s="28"/>
      <c r="C67" s="79"/>
      <c r="D67" s="21"/>
      <c r="E67" s="38" t="s">
        <v>215</v>
      </c>
      <c r="F67" s="81">
        <v>18.45</v>
      </c>
      <c r="G67" s="33"/>
    </row>
    <row r="68" spans="1:7" ht="12.75" customHeight="1">
      <c r="A68" s="21"/>
      <c r="B68" s="28"/>
      <c r="C68" s="79"/>
      <c r="D68" s="21"/>
      <c r="E68" s="38" t="s">
        <v>216</v>
      </c>
      <c r="F68" s="81">
        <v>189.67</v>
      </c>
      <c r="G68" s="33"/>
    </row>
    <row r="69" spans="1:7" ht="12.75" customHeight="1">
      <c r="A69" s="21"/>
      <c r="B69" s="28"/>
      <c r="C69" s="21"/>
      <c r="D69" s="21"/>
      <c r="E69" s="43"/>
      <c r="F69" s="59" t="s">
        <v>0</v>
      </c>
      <c r="G69" s="33"/>
    </row>
    <row r="70" spans="1:9" ht="16.5" customHeight="1">
      <c r="A70" s="44"/>
      <c r="B70" s="75" t="s">
        <v>39</v>
      </c>
      <c r="C70" s="45"/>
      <c r="D70" s="45"/>
      <c r="E70" s="39"/>
      <c r="F70" s="59" t="s">
        <v>0</v>
      </c>
      <c r="G70" s="98">
        <f>SUM(G19:G65)</f>
        <v>2870.6699999999983</v>
      </c>
      <c r="I70" s="70"/>
    </row>
    <row r="71" spans="1:7" ht="12.75" customHeight="1">
      <c r="A71" s="21"/>
      <c r="B71" s="97" t="s">
        <v>40</v>
      </c>
      <c r="C71" s="21"/>
      <c r="D71" s="21"/>
      <c r="E71" s="43"/>
      <c r="F71" s="59" t="s">
        <v>0</v>
      </c>
      <c r="G71" s="46"/>
    </row>
    <row r="72" spans="2:7" ht="12" customHeight="1">
      <c r="B72" s="47"/>
      <c r="E72" s="38"/>
      <c r="F72" s="59" t="s">
        <v>0</v>
      </c>
      <c r="G72" s="46"/>
    </row>
    <row r="73" spans="2:7" ht="16.5" customHeight="1">
      <c r="B73" s="75" t="s">
        <v>52</v>
      </c>
      <c r="C73" s="35"/>
      <c r="D73" s="35"/>
      <c r="E73" s="48"/>
      <c r="F73" s="60"/>
      <c r="G73" s="98">
        <f>SUM(F75:F77)</f>
        <v>0</v>
      </c>
    </row>
    <row r="74" spans="2:7" ht="12">
      <c r="B74" s="47"/>
      <c r="E74" s="38"/>
      <c r="F74" s="59"/>
      <c r="G74" s="46"/>
    </row>
    <row r="75" spans="2:7" ht="15">
      <c r="B75" s="28"/>
      <c r="C75" s="79" t="s">
        <v>49</v>
      </c>
      <c r="D75" s="21"/>
      <c r="E75" s="38"/>
      <c r="F75" s="64">
        <v>0</v>
      </c>
      <c r="G75" s="46"/>
    </row>
    <row r="76" spans="2:7" ht="15">
      <c r="B76" s="47"/>
      <c r="C76" s="79" t="s">
        <v>50</v>
      </c>
      <c r="E76" s="38"/>
      <c r="F76" s="71">
        <v>0</v>
      </c>
      <c r="G76" s="46"/>
    </row>
    <row r="77" spans="2:7" ht="15">
      <c r="B77" s="47"/>
      <c r="C77" s="79" t="s">
        <v>51</v>
      </c>
      <c r="E77" s="38"/>
      <c r="F77" s="66">
        <v>0</v>
      </c>
      <c r="G77" s="46"/>
    </row>
    <row r="78" spans="2:7" ht="12">
      <c r="B78" s="47"/>
      <c r="E78" s="38"/>
      <c r="F78" s="59"/>
      <c r="G78" s="46"/>
    </row>
    <row r="79" spans="2:7" ht="18">
      <c r="B79" s="75" t="s">
        <v>75</v>
      </c>
      <c r="C79" s="35"/>
      <c r="D79" s="35"/>
      <c r="E79" s="48"/>
      <c r="F79" s="69">
        <v>0</v>
      </c>
      <c r="G79" s="99">
        <v>0</v>
      </c>
    </row>
    <row r="80" spans="2:7" ht="12">
      <c r="B80" s="47"/>
      <c r="E80" s="38"/>
      <c r="F80" s="59"/>
      <c r="G80" s="46"/>
    </row>
    <row r="81" spans="2:7" ht="18">
      <c r="B81" s="75" t="s">
        <v>76</v>
      </c>
      <c r="C81" s="35"/>
      <c r="D81" s="35"/>
      <c r="E81" s="48"/>
      <c r="F81" s="60"/>
      <c r="G81" s="98">
        <f>F83-F84</f>
        <v>0</v>
      </c>
    </row>
    <row r="82" spans="2:7" ht="12">
      <c r="B82" s="47"/>
      <c r="E82" s="38"/>
      <c r="F82" s="59"/>
      <c r="G82" s="46"/>
    </row>
    <row r="83" spans="2:7" ht="14.25">
      <c r="B83" s="47"/>
      <c r="C83" s="79" t="s">
        <v>53</v>
      </c>
      <c r="E83" s="38"/>
      <c r="F83" s="68">
        <v>0</v>
      </c>
      <c r="G83" s="46"/>
    </row>
    <row r="84" spans="2:7" ht="14.25">
      <c r="B84" s="47"/>
      <c r="C84" s="79" t="s">
        <v>54</v>
      </c>
      <c r="E84" s="38"/>
      <c r="F84" s="68">
        <v>0</v>
      </c>
      <c r="G84" s="46"/>
    </row>
    <row r="85" spans="2:7" ht="12">
      <c r="B85" s="47"/>
      <c r="E85" s="38"/>
      <c r="F85" s="59"/>
      <c r="G85" s="46"/>
    </row>
    <row r="86" spans="2:7" ht="12">
      <c r="B86" s="47"/>
      <c r="E86" s="38"/>
      <c r="F86" s="59"/>
      <c r="G86" s="46"/>
    </row>
    <row r="87" spans="2:9" ht="18">
      <c r="B87" s="31"/>
      <c r="E87" s="100" t="s">
        <v>55</v>
      </c>
      <c r="F87" s="59"/>
      <c r="G87" s="101">
        <f>G70+G73+G79+G81</f>
        <v>2870.6699999999983</v>
      </c>
      <c r="I87" s="70"/>
    </row>
    <row r="88" spans="2:7" ht="12">
      <c r="B88" s="49"/>
      <c r="C88" s="50"/>
      <c r="D88" s="50"/>
      <c r="E88" s="51"/>
      <c r="F88" s="52"/>
      <c r="G88" s="53"/>
    </row>
    <row r="93" spans="5:7" ht="15.75">
      <c r="E93" s="103" t="s">
        <v>111</v>
      </c>
      <c r="G93" s="107">
        <f>828267.98*1.18/100</f>
        <v>9773.562163999999</v>
      </c>
    </row>
    <row r="95" spans="5:7" ht="15.75">
      <c r="E95" s="103" t="s">
        <v>112</v>
      </c>
      <c r="G95" s="107">
        <f>-952694.23*1.18/100-3.58</f>
        <v>-11245.371914</v>
      </c>
    </row>
    <row r="97" spans="5:7" ht="18">
      <c r="E97" s="103" t="s">
        <v>160</v>
      </c>
      <c r="G97" s="104">
        <f>G87+G93+G95</f>
        <v>1398.860249999998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87">
      <selection activeCell="G106" sqref="G106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159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285369.24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SUM(F21)</f>
        <v>229644.8</v>
      </c>
      <c r="G20" s="32"/>
    </row>
    <row r="21" spans="1:7" ht="12.75" customHeight="1">
      <c r="A21" s="21"/>
      <c r="B21" s="28"/>
      <c r="C21" s="76"/>
      <c r="D21" s="76" t="s">
        <v>161</v>
      </c>
      <c r="E21" s="77" t="s">
        <v>162</v>
      </c>
      <c r="F21" s="82">
        <v>229644.8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SUM(F28:F29)</f>
        <v>55724.44</v>
      </c>
      <c r="G27" s="33"/>
    </row>
    <row r="28" spans="1:7" ht="12.75" customHeight="1">
      <c r="A28" s="21"/>
      <c r="B28" s="28"/>
      <c r="C28" s="76"/>
      <c r="D28" s="76" t="s">
        <v>163</v>
      </c>
      <c r="E28" s="77"/>
      <c r="F28" s="82">
        <v>54750</v>
      </c>
      <c r="G28" s="33"/>
    </row>
    <row r="29" spans="1:7" ht="12.75" customHeight="1">
      <c r="A29" s="21"/>
      <c r="B29" s="28"/>
      <c r="C29" s="76"/>
      <c r="D29" s="76" t="s">
        <v>164</v>
      </c>
      <c r="E29" s="77"/>
      <c r="F29" s="82">
        <f>750+224.44</f>
        <v>974.44</v>
      </c>
      <c r="G29" s="33"/>
    </row>
    <row r="30" spans="1:7" ht="12.75" customHeight="1">
      <c r="A30" s="21"/>
      <c r="B30" s="28"/>
      <c r="C30" s="21"/>
      <c r="D30" s="21"/>
      <c r="E30" s="21"/>
      <c r="F30" s="59"/>
      <c r="G30" s="33"/>
    </row>
    <row r="31" spans="1:7" s="37" customFormat="1" ht="15.75" customHeight="1">
      <c r="A31" s="35"/>
      <c r="B31" s="75" t="s">
        <v>16</v>
      </c>
      <c r="C31" s="35"/>
      <c r="D31" s="35"/>
      <c r="E31" s="36"/>
      <c r="F31" s="60"/>
      <c r="G31" s="84">
        <f>-(F33+F37+F49+F52+F59+F67+F69+F71+F73)</f>
        <v>-272301.49</v>
      </c>
    </row>
    <row r="32" spans="1:7" ht="12.75" customHeight="1">
      <c r="A32" s="21"/>
      <c r="B32" s="28"/>
      <c r="C32" s="79" t="s">
        <v>17</v>
      </c>
      <c r="D32" s="21"/>
      <c r="F32" s="59" t="s">
        <v>0</v>
      </c>
      <c r="G32" s="33"/>
    </row>
    <row r="33" spans="1:7" ht="12.75" customHeight="1">
      <c r="A33" s="21"/>
      <c r="B33" s="28"/>
      <c r="D33" s="79" t="s">
        <v>18</v>
      </c>
      <c r="E33" s="38"/>
      <c r="F33" s="65">
        <f>SUM(F34:F35)</f>
        <v>7744.09</v>
      </c>
      <c r="G33" s="33"/>
    </row>
    <row r="34" spans="1:7" ht="12.75" customHeight="1">
      <c r="A34" s="21"/>
      <c r="B34" s="28"/>
      <c r="D34" s="21"/>
      <c r="E34" s="85" t="s">
        <v>107</v>
      </c>
      <c r="F34" s="83">
        <v>7121.53</v>
      </c>
      <c r="G34" s="33"/>
    </row>
    <row r="35" spans="1:7" ht="12.75" customHeight="1">
      <c r="A35" s="21"/>
      <c r="B35" s="28"/>
      <c r="D35" s="21"/>
      <c r="E35" s="85" t="s">
        <v>151</v>
      </c>
      <c r="F35" s="112">
        <f>535.66+86.9</f>
        <v>622.56</v>
      </c>
      <c r="G35" s="33"/>
    </row>
    <row r="36" spans="1:7" ht="12.75" customHeight="1">
      <c r="A36" s="21"/>
      <c r="B36" s="28"/>
      <c r="D36" s="21"/>
      <c r="E36" s="38"/>
      <c r="F36" s="62"/>
      <c r="G36" s="33"/>
    </row>
    <row r="37" spans="1:7" ht="12.75" customHeight="1">
      <c r="A37" s="21"/>
      <c r="B37" s="28"/>
      <c r="C37" s="79" t="s">
        <v>19</v>
      </c>
      <c r="D37" s="21"/>
      <c r="E37" s="38"/>
      <c r="F37" s="65">
        <f>SUM(F38:F46)</f>
        <v>158806.97999999998</v>
      </c>
      <c r="G37" s="33"/>
    </row>
    <row r="38" spans="1:7" ht="12.75" customHeight="1">
      <c r="A38" s="21"/>
      <c r="B38" s="28"/>
      <c r="C38" s="79"/>
      <c r="D38" s="21"/>
      <c r="E38" s="38" t="s">
        <v>78</v>
      </c>
      <c r="F38" s="86">
        <v>3299.55</v>
      </c>
      <c r="G38" s="33"/>
    </row>
    <row r="39" spans="1:7" ht="12.75" customHeight="1">
      <c r="A39" s="21"/>
      <c r="B39" s="28"/>
      <c r="C39" s="79"/>
      <c r="D39" s="21"/>
      <c r="E39" s="38" t="s">
        <v>79</v>
      </c>
      <c r="F39" s="86">
        <f>542.39+1785.42</f>
        <v>2327.81</v>
      </c>
      <c r="G39" s="33"/>
    </row>
    <row r="40" spans="1:7" ht="12.75" customHeight="1">
      <c r="A40" s="21"/>
      <c r="B40" s="28"/>
      <c r="C40" s="21"/>
      <c r="D40" s="21"/>
      <c r="E40" s="85" t="s">
        <v>133</v>
      </c>
      <c r="F40" s="87">
        <f>3442.48+480.7</f>
        <v>3923.18</v>
      </c>
      <c r="G40" s="33"/>
    </row>
    <row r="41" spans="1:256" ht="12.75" customHeight="1">
      <c r="A41" s="85"/>
      <c r="B41" s="77"/>
      <c r="C41" s="77"/>
      <c r="D41" s="77"/>
      <c r="E41" s="85" t="s">
        <v>121</v>
      </c>
      <c r="F41" s="105">
        <v>887.33</v>
      </c>
      <c r="G41" s="85"/>
      <c r="H41" s="77"/>
      <c r="I41" s="77"/>
      <c r="J41" s="77"/>
      <c r="K41" s="77"/>
      <c r="L41" s="77"/>
      <c r="M41" s="77"/>
      <c r="N41" s="77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 t="s">
        <v>81</v>
      </c>
      <c r="BE41" s="85" t="s">
        <v>81</v>
      </c>
      <c r="BF41" s="85" t="s">
        <v>81</v>
      </c>
      <c r="BG41" s="85" t="s">
        <v>81</v>
      </c>
      <c r="BH41" s="85" t="s">
        <v>81</v>
      </c>
      <c r="BI41" s="85" t="s">
        <v>81</v>
      </c>
      <c r="BJ41" s="85" t="s">
        <v>81</v>
      </c>
      <c r="BK41" s="85" t="s">
        <v>81</v>
      </c>
      <c r="BL41" s="85" t="s">
        <v>81</v>
      </c>
      <c r="BM41" s="85" t="s">
        <v>81</v>
      </c>
      <c r="BN41" s="85" t="s">
        <v>81</v>
      </c>
      <c r="BO41" s="85" t="s">
        <v>81</v>
      </c>
      <c r="BP41" s="85" t="s">
        <v>81</v>
      </c>
      <c r="BQ41" s="85" t="s">
        <v>81</v>
      </c>
      <c r="BR41" s="85" t="s">
        <v>81</v>
      </c>
      <c r="BS41" s="85" t="s">
        <v>81</v>
      </c>
      <c r="BT41" s="85" t="s">
        <v>81</v>
      </c>
      <c r="BU41" s="85" t="s">
        <v>81</v>
      </c>
      <c r="BV41" s="85" t="s">
        <v>81</v>
      </c>
      <c r="BW41" s="85" t="s">
        <v>81</v>
      </c>
      <c r="BX41" s="85" t="s">
        <v>81</v>
      </c>
      <c r="BY41" s="85" t="s">
        <v>81</v>
      </c>
      <c r="BZ41" s="85" t="s">
        <v>81</v>
      </c>
      <c r="CA41" s="85" t="s">
        <v>81</v>
      </c>
      <c r="CB41" s="85" t="s">
        <v>81</v>
      </c>
      <c r="CC41" s="85" t="s">
        <v>81</v>
      </c>
      <c r="CD41" s="85" t="s">
        <v>81</v>
      </c>
      <c r="CE41" s="85" t="s">
        <v>81</v>
      </c>
      <c r="CF41" s="85" t="s">
        <v>81</v>
      </c>
      <c r="CG41" s="85" t="s">
        <v>81</v>
      </c>
      <c r="CH41" s="85" t="s">
        <v>81</v>
      </c>
      <c r="CI41" s="85" t="s">
        <v>81</v>
      </c>
      <c r="CJ41" s="85" t="s">
        <v>81</v>
      </c>
      <c r="CK41" s="85" t="s">
        <v>81</v>
      </c>
      <c r="CL41" s="85" t="s">
        <v>81</v>
      </c>
      <c r="CM41" s="85" t="s">
        <v>81</v>
      </c>
      <c r="CN41" s="85" t="s">
        <v>81</v>
      </c>
      <c r="CO41" s="85" t="s">
        <v>81</v>
      </c>
      <c r="CP41" s="85" t="s">
        <v>81</v>
      </c>
      <c r="CQ41" s="85" t="s">
        <v>81</v>
      </c>
      <c r="CR41" s="85" t="s">
        <v>81</v>
      </c>
      <c r="CS41" s="85" t="s">
        <v>81</v>
      </c>
      <c r="CT41" s="85" t="s">
        <v>81</v>
      </c>
      <c r="CU41" s="85" t="s">
        <v>81</v>
      </c>
      <c r="CV41" s="85" t="s">
        <v>81</v>
      </c>
      <c r="CW41" s="85" t="s">
        <v>81</v>
      </c>
      <c r="CX41" s="85" t="s">
        <v>81</v>
      </c>
      <c r="CY41" s="85" t="s">
        <v>81</v>
      </c>
      <c r="CZ41" s="85" t="s">
        <v>81</v>
      </c>
      <c r="DA41" s="85" t="s">
        <v>81</v>
      </c>
      <c r="DB41" s="85" t="s">
        <v>81</v>
      </c>
      <c r="DC41" s="85" t="s">
        <v>81</v>
      </c>
      <c r="DD41" s="85" t="s">
        <v>81</v>
      </c>
      <c r="DE41" s="85" t="s">
        <v>81</v>
      </c>
      <c r="DF41" s="85" t="s">
        <v>81</v>
      </c>
      <c r="DG41" s="85" t="s">
        <v>81</v>
      </c>
      <c r="DH41" s="85" t="s">
        <v>81</v>
      </c>
      <c r="DI41" s="85" t="s">
        <v>81</v>
      </c>
      <c r="DJ41" s="85" t="s">
        <v>81</v>
      </c>
      <c r="DK41" s="85" t="s">
        <v>81</v>
      </c>
      <c r="DL41" s="85" t="s">
        <v>81</v>
      </c>
      <c r="DM41" s="85" t="s">
        <v>81</v>
      </c>
      <c r="DN41" s="85" t="s">
        <v>81</v>
      </c>
      <c r="DO41" s="85" t="s">
        <v>81</v>
      </c>
      <c r="DP41" s="85" t="s">
        <v>81</v>
      </c>
      <c r="DQ41" s="85" t="s">
        <v>81</v>
      </c>
      <c r="DR41" s="85" t="s">
        <v>81</v>
      </c>
      <c r="DS41" s="85" t="s">
        <v>81</v>
      </c>
      <c r="DT41" s="85" t="s">
        <v>81</v>
      </c>
      <c r="DU41" s="85" t="s">
        <v>81</v>
      </c>
      <c r="DV41" s="85" t="s">
        <v>81</v>
      </c>
      <c r="DW41" s="85" t="s">
        <v>81</v>
      </c>
      <c r="DX41" s="85" t="s">
        <v>81</v>
      </c>
      <c r="DY41" s="85" t="s">
        <v>81</v>
      </c>
      <c r="DZ41" s="85" t="s">
        <v>81</v>
      </c>
      <c r="EA41" s="85" t="s">
        <v>81</v>
      </c>
      <c r="EB41" s="85" t="s">
        <v>81</v>
      </c>
      <c r="EC41" s="85" t="s">
        <v>81</v>
      </c>
      <c r="ED41" s="85" t="s">
        <v>81</v>
      </c>
      <c r="EE41" s="85" t="s">
        <v>81</v>
      </c>
      <c r="EF41" s="85" t="s">
        <v>81</v>
      </c>
      <c r="EG41" s="85" t="s">
        <v>81</v>
      </c>
      <c r="EH41" s="85" t="s">
        <v>81</v>
      </c>
      <c r="EI41" s="85" t="s">
        <v>81</v>
      </c>
      <c r="EJ41" s="85" t="s">
        <v>81</v>
      </c>
      <c r="EK41" s="85" t="s">
        <v>81</v>
      </c>
      <c r="EL41" s="85" t="s">
        <v>81</v>
      </c>
      <c r="EM41" s="85" t="s">
        <v>81</v>
      </c>
      <c r="EN41" s="85" t="s">
        <v>81</v>
      </c>
      <c r="EO41" s="85" t="s">
        <v>81</v>
      </c>
      <c r="EP41" s="85" t="s">
        <v>81</v>
      </c>
      <c r="EQ41" s="85" t="s">
        <v>81</v>
      </c>
      <c r="ER41" s="85" t="s">
        <v>81</v>
      </c>
      <c r="ES41" s="85" t="s">
        <v>81</v>
      </c>
      <c r="ET41" s="85" t="s">
        <v>81</v>
      </c>
      <c r="EU41" s="85" t="s">
        <v>81</v>
      </c>
      <c r="EV41" s="85" t="s">
        <v>81</v>
      </c>
      <c r="EW41" s="85" t="s">
        <v>81</v>
      </c>
      <c r="EX41" s="85" t="s">
        <v>81</v>
      </c>
      <c r="EY41" s="85" t="s">
        <v>81</v>
      </c>
      <c r="EZ41" s="85" t="s">
        <v>81</v>
      </c>
      <c r="FA41" s="85" t="s">
        <v>81</v>
      </c>
      <c r="FB41" s="85" t="s">
        <v>81</v>
      </c>
      <c r="FC41" s="85" t="s">
        <v>81</v>
      </c>
      <c r="FD41" s="85" t="s">
        <v>81</v>
      </c>
      <c r="FE41" s="85" t="s">
        <v>81</v>
      </c>
      <c r="FF41" s="85" t="s">
        <v>81</v>
      </c>
      <c r="FG41" s="85" t="s">
        <v>81</v>
      </c>
      <c r="FH41" s="85" t="s">
        <v>81</v>
      </c>
      <c r="FI41" s="85" t="s">
        <v>81</v>
      </c>
      <c r="FJ41" s="85" t="s">
        <v>81</v>
      </c>
      <c r="FK41" s="85" t="s">
        <v>81</v>
      </c>
      <c r="FL41" s="85" t="s">
        <v>81</v>
      </c>
      <c r="FM41" s="85" t="s">
        <v>81</v>
      </c>
      <c r="FN41" s="85" t="s">
        <v>81</v>
      </c>
      <c r="FO41" s="85" t="s">
        <v>81</v>
      </c>
      <c r="FP41" s="85" t="s">
        <v>81</v>
      </c>
      <c r="FQ41" s="85" t="s">
        <v>81</v>
      </c>
      <c r="FR41" s="85" t="s">
        <v>81</v>
      </c>
      <c r="FS41" s="85" t="s">
        <v>81</v>
      </c>
      <c r="FT41" s="85" t="s">
        <v>81</v>
      </c>
      <c r="FU41" s="85" t="s">
        <v>81</v>
      </c>
      <c r="FV41" s="85" t="s">
        <v>81</v>
      </c>
      <c r="FW41" s="85" t="s">
        <v>81</v>
      </c>
      <c r="FX41" s="85" t="s">
        <v>81</v>
      </c>
      <c r="FY41" s="85" t="s">
        <v>81</v>
      </c>
      <c r="FZ41" s="85" t="s">
        <v>81</v>
      </c>
      <c r="GA41" s="85" t="s">
        <v>81</v>
      </c>
      <c r="GB41" s="85" t="s">
        <v>81</v>
      </c>
      <c r="GC41" s="85" t="s">
        <v>81</v>
      </c>
      <c r="GD41" s="85" t="s">
        <v>81</v>
      </c>
      <c r="GE41" s="85" t="s">
        <v>81</v>
      </c>
      <c r="GF41" s="85" t="s">
        <v>81</v>
      </c>
      <c r="GG41" s="85" t="s">
        <v>81</v>
      </c>
      <c r="GH41" s="85" t="s">
        <v>81</v>
      </c>
      <c r="GI41" s="85" t="s">
        <v>81</v>
      </c>
      <c r="GJ41" s="85" t="s">
        <v>81</v>
      </c>
      <c r="GK41" s="85" t="s">
        <v>81</v>
      </c>
      <c r="GL41" s="85" t="s">
        <v>81</v>
      </c>
      <c r="GM41" s="85" t="s">
        <v>81</v>
      </c>
      <c r="GN41" s="85" t="s">
        <v>81</v>
      </c>
      <c r="GO41" s="85" t="s">
        <v>81</v>
      </c>
      <c r="GP41" s="85" t="s">
        <v>81</v>
      </c>
      <c r="GQ41" s="85" t="s">
        <v>81</v>
      </c>
      <c r="GR41" s="85" t="s">
        <v>81</v>
      </c>
      <c r="GS41" s="85" t="s">
        <v>81</v>
      </c>
      <c r="GT41" s="85" t="s">
        <v>81</v>
      </c>
      <c r="GU41" s="85" t="s">
        <v>81</v>
      </c>
      <c r="GV41" s="85" t="s">
        <v>81</v>
      </c>
      <c r="GW41" s="85" t="s">
        <v>81</v>
      </c>
      <c r="GX41" s="85" t="s">
        <v>81</v>
      </c>
      <c r="GY41" s="85" t="s">
        <v>81</v>
      </c>
      <c r="GZ41" s="85" t="s">
        <v>81</v>
      </c>
      <c r="HA41" s="85" t="s">
        <v>81</v>
      </c>
      <c r="HB41" s="85" t="s">
        <v>81</v>
      </c>
      <c r="HC41" s="85" t="s">
        <v>81</v>
      </c>
      <c r="HD41" s="85" t="s">
        <v>81</v>
      </c>
      <c r="HE41" s="85" t="s">
        <v>81</v>
      </c>
      <c r="HF41" s="85" t="s">
        <v>81</v>
      </c>
      <c r="HG41" s="85" t="s">
        <v>81</v>
      </c>
      <c r="HH41" s="85" t="s">
        <v>81</v>
      </c>
      <c r="HI41" s="85" t="s">
        <v>81</v>
      </c>
      <c r="HJ41" s="85" t="s">
        <v>81</v>
      </c>
      <c r="HK41" s="85" t="s">
        <v>81</v>
      </c>
      <c r="HL41" s="85" t="s">
        <v>81</v>
      </c>
      <c r="HM41" s="85" t="s">
        <v>81</v>
      </c>
      <c r="HN41" s="85" t="s">
        <v>81</v>
      </c>
      <c r="HO41" s="85" t="s">
        <v>81</v>
      </c>
      <c r="HP41" s="85" t="s">
        <v>81</v>
      </c>
      <c r="HQ41" s="85" t="s">
        <v>81</v>
      </c>
      <c r="HR41" s="85" t="s">
        <v>81</v>
      </c>
      <c r="HS41" s="85" t="s">
        <v>81</v>
      </c>
      <c r="HT41" s="85" t="s">
        <v>81</v>
      </c>
      <c r="HU41" s="85" t="s">
        <v>81</v>
      </c>
      <c r="HV41" s="85" t="s">
        <v>81</v>
      </c>
      <c r="HW41" s="85" t="s">
        <v>81</v>
      </c>
      <c r="HX41" s="85" t="s">
        <v>81</v>
      </c>
      <c r="HY41" s="85" t="s">
        <v>81</v>
      </c>
      <c r="HZ41" s="85" t="s">
        <v>81</v>
      </c>
      <c r="IA41" s="85" t="s">
        <v>81</v>
      </c>
      <c r="IB41" s="85" t="s">
        <v>81</v>
      </c>
      <c r="IC41" s="85" t="s">
        <v>81</v>
      </c>
      <c r="ID41" s="85" t="s">
        <v>81</v>
      </c>
      <c r="IE41" s="85" t="s">
        <v>81</v>
      </c>
      <c r="IF41" s="85" t="s">
        <v>81</v>
      </c>
      <c r="IG41" s="85" t="s">
        <v>81</v>
      </c>
      <c r="IH41" s="85" t="s">
        <v>81</v>
      </c>
      <c r="II41" s="85" t="s">
        <v>81</v>
      </c>
      <c r="IJ41" s="85" t="s">
        <v>81</v>
      </c>
      <c r="IK41" s="85" t="s">
        <v>81</v>
      </c>
      <c r="IL41" s="85" t="s">
        <v>81</v>
      </c>
      <c r="IM41" s="85" t="s">
        <v>81</v>
      </c>
      <c r="IN41" s="85" t="s">
        <v>81</v>
      </c>
      <c r="IO41" s="85" t="s">
        <v>81</v>
      </c>
      <c r="IP41" s="85" t="s">
        <v>81</v>
      </c>
      <c r="IQ41" s="85" t="s">
        <v>81</v>
      </c>
      <c r="IR41" s="85" t="s">
        <v>81</v>
      </c>
      <c r="IS41" s="85" t="s">
        <v>81</v>
      </c>
      <c r="IT41" s="85" t="s">
        <v>81</v>
      </c>
      <c r="IU41" s="85" t="s">
        <v>81</v>
      </c>
      <c r="IV41" s="85" t="s">
        <v>81</v>
      </c>
    </row>
    <row r="42" spans="1:256" ht="12.75" customHeight="1">
      <c r="A42" s="77"/>
      <c r="B42" s="108"/>
      <c r="C42" s="77"/>
      <c r="D42" s="77"/>
      <c r="E42" s="85" t="s">
        <v>84</v>
      </c>
      <c r="F42" s="106">
        <v>49.2</v>
      </c>
      <c r="G42" s="85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</row>
    <row r="43" spans="1:256" ht="12.75" customHeight="1">
      <c r="A43" s="77"/>
      <c r="B43" s="108"/>
      <c r="C43" s="77"/>
      <c r="D43" s="77"/>
      <c r="E43" s="85" t="s">
        <v>217</v>
      </c>
      <c r="F43" s="106">
        <v>90.3</v>
      </c>
      <c r="G43" s="85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7" ht="12.75" customHeight="1">
      <c r="A44" s="21"/>
      <c r="B44" s="28"/>
      <c r="C44" s="21"/>
      <c r="D44" s="21"/>
      <c r="E44" s="85" t="s">
        <v>134</v>
      </c>
      <c r="F44" s="87">
        <v>840</v>
      </c>
      <c r="G44" s="33"/>
    </row>
    <row r="45" spans="1:7" ht="12.75" customHeight="1">
      <c r="A45" s="21"/>
      <c r="B45" s="28"/>
      <c r="C45" s="21"/>
      <c r="D45" s="21"/>
      <c r="E45" s="85" t="s">
        <v>91</v>
      </c>
      <c r="F45" s="109">
        <v>5000</v>
      </c>
      <c r="G45" s="33"/>
    </row>
    <row r="46" spans="1:7" ht="12.75" customHeight="1">
      <c r="A46" s="21"/>
      <c r="B46" s="28"/>
      <c r="C46" s="21"/>
      <c r="D46" s="21"/>
      <c r="E46" s="85" t="s">
        <v>165</v>
      </c>
      <c r="F46" s="96">
        <v>142389.61</v>
      </c>
      <c r="G46" s="33"/>
    </row>
    <row r="47" spans="1:7" ht="12.75" customHeight="1">
      <c r="A47" s="21"/>
      <c r="B47" s="28"/>
      <c r="C47" s="21"/>
      <c r="D47" s="21"/>
      <c r="E47" s="85"/>
      <c r="F47" s="96"/>
      <c r="G47" s="33"/>
    </row>
    <row r="48" spans="1:7" ht="12.75" customHeight="1">
      <c r="A48" s="21"/>
      <c r="B48" s="28"/>
      <c r="C48" s="21"/>
      <c r="D48" s="21"/>
      <c r="E48" s="39"/>
      <c r="F48" s="62"/>
      <c r="G48" s="111"/>
    </row>
    <row r="49" spans="1:7" ht="12.75" customHeight="1">
      <c r="A49" s="21"/>
      <c r="B49" s="28"/>
      <c r="C49" s="79" t="s">
        <v>20</v>
      </c>
      <c r="D49" s="21"/>
      <c r="E49" s="38"/>
      <c r="F49" s="64">
        <f>SUM(F50)</f>
        <v>1943</v>
      </c>
      <c r="G49" s="33"/>
    </row>
    <row r="50" spans="1:7" ht="12.75" customHeight="1">
      <c r="A50" s="21"/>
      <c r="B50" s="28"/>
      <c r="C50" s="79"/>
      <c r="D50" s="21"/>
      <c r="E50" s="38" t="s">
        <v>142</v>
      </c>
      <c r="F50" s="91">
        <v>1943</v>
      </c>
      <c r="G50" s="33"/>
    </row>
    <row r="51" spans="1:7" ht="12.75" customHeight="1">
      <c r="A51" s="21"/>
      <c r="B51" s="28"/>
      <c r="C51" s="21"/>
      <c r="D51" s="21"/>
      <c r="E51" s="39"/>
      <c r="F51" s="61"/>
      <c r="G51" s="33"/>
    </row>
    <row r="52" spans="1:7" ht="12.75" customHeight="1">
      <c r="A52" s="21"/>
      <c r="B52" s="28"/>
      <c r="C52" s="79" t="s">
        <v>21</v>
      </c>
      <c r="D52" s="21"/>
      <c r="E52" s="38"/>
      <c r="F52" s="65">
        <f>SUM(F53:F57)</f>
        <v>100831.87999999999</v>
      </c>
      <c r="G52" s="33"/>
    </row>
    <row r="53" spans="1:7" ht="12.75" customHeight="1">
      <c r="A53" s="21"/>
      <c r="B53" s="28"/>
      <c r="D53" s="92" t="s">
        <v>22</v>
      </c>
      <c r="E53" s="41"/>
      <c r="F53" s="90">
        <f>78628.81+291.26+2796.42</f>
        <v>81716.48999999999</v>
      </c>
      <c r="G53" s="33"/>
    </row>
    <row r="54" spans="1:7" ht="12.75" customHeight="1">
      <c r="A54" s="21"/>
      <c r="B54" s="28"/>
      <c r="D54" s="92" t="s">
        <v>23</v>
      </c>
      <c r="E54" s="41"/>
      <c r="F54" s="87">
        <f>13470.82+514.72+86.83+665.55</f>
        <v>14737.919999999998</v>
      </c>
      <c r="G54" s="33"/>
    </row>
    <row r="55" spans="1:7" ht="12.75" customHeight="1">
      <c r="A55" s="21"/>
      <c r="B55" s="28"/>
      <c r="D55" s="92" t="s">
        <v>24</v>
      </c>
      <c r="E55" s="41"/>
      <c r="F55" s="87">
        <v>4377.47</v>
      </c>
      <c r="G55" s="33"/>
    </row>
    <row r="56" spans="1:7" ht="12.75" customHeight="1">
      <c r="A56" s="21"/>
      <c r="B56" s="28"/>
      <c r="D56" s="92" t="s">
        <v>25</v>
      </c>
      <c r="E56" s="41"/>
      <c r="F56" s="87">
        <v>0</v>
      </c>
      <c r="G56" s="33"/>
    </row>
    <row r="57" spans="1:7" ht="12.75" customHeight="1">
      <c r="A57" s="21"/>
      <c r="B57" s="28"/>
      <c r="D57" s="92" t="s">
        <v>26</v>
      </c>
      <c r="E57" s="41"/>
      <c r="F57" s="87">
        <v>0</v>
      </c>
      <c r="G57" s="33"/>
    </row>
    <row r="58" spans="1:7" ht="12.75" customHeight="1">
      <c r="A58" s="21"/>
      <c r="B58" s="28"/>
      <c r="D58" s="40"/>
      <c r="E58" s="41"/>
      <c r="F58" s="61"/>
      <c r="G58" s="33"/>
    </row>
    <row r="59" spans="1:7" ht="12.75" customHeight="1">
      <c r="A59" s="21"/>
      <c r="B59" s="28"/>
      <c r="C59" s="79" t="s">
        <v>27</v>
      </c>
      <c r="D59" s="21"/>
      <c r="E59" s="38"/>
      <c r="F59" s="65">
        <f>SUM(F60:F64)</f>
        <v>2464.01</v>
      </c>
      <c r="G59" s="33"/>
    </row>
    <row r="60" spans="1:7" ht="12.75" customHeight="1">
      <c r="A60" s="21"/>
      <c r="B60" s="28"/>
      <c r="C60" s="21"/>
      <c r="D60" s="92" t="s">
        <v>28</v>
      </c>
      <c r="E60" s="41"/>
      <c r="F60" s="90">
        <v>0</v>
      </c>
      <c r="G60" s="33"/>
    </row>
    <row r="61" spans="1:7" ht="12.75" customHeight="1">
      <c r="A61" s="21"/>
      <c r="B61" s="28"/>
      <c r="D61" s="92" t="s">
        <v>29</v>
      </c>
      <c r="E61" s="42"/>
      <c r="F61" s="87">
        <v>2464.01</v>
      </c>
      <c r="G61" s="33"/>
    </row>
    <row r="62" spans="1:7" ht="12.75" customHeight="1">
      <c r="A62" s="21"/>
      <c r="B62" s="28"/>
      <c r="D62" s="92" t="s">
        <v>31</v>
      </c>
      <c r="E62" s="41"/>
      <c r="F62" s="87">
        <v>0</v>
      </c>
      <c r="G62" s="33"/>
    </row>
    <row r="63" spans="1:7" ht="12.75" customHeight="1">
      <c r="A63" s="21"/>
      <c r="B63" s="28"/>
      <c r="D63" s="92" t="s">
        <v>32</v>
      </c>
      <c r="E63" s="41"/>
      <c r="F63" s="87"/>
      <c r="G63" s="33"/>
    </row>
    <row r="64" spans="1:7" ht="12.75" customHeight="1">
      <c r="A64" s="21"/>
      <c r="B64" s="28"/>
      <c r="D64" s="40"/>
      <c r="E64" s="93" t="s">
        <v>33</v>
      </c>
      <c r="F64" s="87">
        <v>0</v>
      </c>
      <c r="G64" s="33"/>
    </row>
    <row r="65" spans="1:7" ht="12.75" customHeight="1">
      <c r="A65" s="21"/>
      <c r="B65" s="28"/>
      <c r="D65" s="40"/>
      <c r="E65" s="42"/>
      <c r="F65" s="62"/>
      <c r="G65" s="33"/>
    </row>
    <row r="66" spans="1:7" ht="12.75" customHeight="1">
      <c r="A66" s="21"/>
      <c r="B66" s="28"/>
      <c r="C66" s="79" t="s">
        <v>34</v>
      </c>
      <c r="D66" s="21"/>
      <c r="E66" s="38"/>
      <c r="F66" s="59"/>
      <c r="G66" s="33"/>
    </row>
    <row r="67" spans="1:7" ht="12.75" customHeight="1">
      <c r="A67" s="21"/>
      <c r="B67" s="28"/>
      <c r="D67" s="21"/>
      <c r="E67" s="94" t="s">
        <v>35</v>
      </c>
      <c r="F67" s="66">
        <v>0</v>
      </c>
      <c r="G67" s="33"/>
    </row>
    <row r="68" spans="1:7" ht="12.75" customHeight="1">
      <c r="A68" s="21"/>
      <c r="B68" s="28"/>
      <c r="D68" s="21"/>
      <c r="E68" s="43"/>
      <c r="F68" s="59"/>
      <c r="G68" s="33"/>
    </row>
    <row r="69" spans="1:7" ht="12.75" customHeight="1">
      <c r="A69" s="21"/>
      <c r="B69" s="28"/>
      <c r="C69" s="79" t="s">
        <v>36</v>
      </c>
      <c r="D69" s="21"/>
      <c r="E69" s="38"/>
      <c r="F69" s="66">
        <v>0</v>
      </c>
      <c r="G69" s="33"/>
    </row>
    <row r="70" spans="1:7" ht="12.75" customHeight="1">
      <c r="A70" s="21"/>
      <c r="B70" s="28"/>
      <c r="C70" s="21"/>
      <c r="D70" s="21"/>
      <c r="E70" s="38"/>
      <c r="F70" s="59"/>
      <c r="G70" s="33"/>
    </row>
    <row r="71" spans="1:7" ht="12.75" customHeight="1">
      <c r="A71" s="21"/>
      <c r="B71" s="28"/>
      <c r="C71" s="79" t="s">
        <v>37</v>
      </c>
      <c r="D71" s="21"/>
      <c r="E71" s="38"/>
      <c r="F71" s="66">
        <v>0</v>
      </c>
      <c r="G71" s="33"/>
    </row>
    <row r="72" spans="1:7" ht="12.75" customHeight="1">
      <c r="A72" s="21"/>
      <c r="B72" s="28"/>
      <c r="C72" s="21"/>
      <c r="D72" s="21"/>
      <c r="E72" s="38"/>
      <c r="F72" s="59"/>
      <c r="G72" s="33"/>
    </row>
    <row r="73" spans="1:7" ht="12.75" customHeight="1">
      <c r="A73" s="21"/>
      <c r="B73" s="28"/>
      <c r="C73" s="79" t="s">
        <v>38</v>
      </c>
      <c r="D73" s="21"/>
      <c r="E73" s="38"/>
      <c r="F73" s="66">
        <f>SUM(F74:F76)</f>
        <v>511.53</v>
      </c>
      <c r="G73" s="33"/>
    </row>
    <row r="74" spans="1:7" ht="12.75" customHeight="1">
      <c r="A74" s="21"/>
      <c r="B74" s="28"/>
      <c r="C74" s="79"/>
      <c r="D74" s="21"/>
      <c r="E74" s="85" t="s">
        <v>100</v>
      </c>
      <c r="F74" s="81">
        <v>224.44</v>
      </c>
      <c r="G74" s="33"/>
    </row>
    <row r="75" spans="1:7" ht="12.75" customHeight="1">
      <c r="A75" s="21"/>
      <c r="B75" s="28"/>
      <c r="C75" s="79"/>
      <c r="D75" s="21"/>
      <c r="E75" s="85" t="s">
        <v>102</v>
      </c>
      <c r="F75" s="81">
        <v>101.1</v>
      </c>
      <c r="G75" s="33"/>
    </row>
    <row r="76" spans="1:7" ht="12.75" customHeight="1">
      <c r="A76" s="21"/>
      <c r="B76" s="28"/>
      <c r="C76" s="79"/>
      <c r="D76" s="21"/>
      <c r="E76" s="85" t="s">
        <v>155</v>
      </c>
      <c r="F76" s="81">
        <v>185.99</v>
      </c>
      <c r="G76" s="33"/>
    </row>
    <row r="77" spans="1:7" ht="12.75" customHeight="1">
      <c r="A77" s="21"/>
      <c r="B77" s="28"/>
      <c r="C77" s="79"/>
      <c r="D77" s="21"/>
      <c r="E77" s="38"/>
      <c r="F77" s="66"/>
      <c r="G77" s="33"/>
    </row>
    <row r="78" spans="1:7" ht="12.75" customHeight="1">
      <c r="A78" s="21"/>
      <c r="B78" s="28"/>
      <c r="C78" s="79"/>
      <c r="D78" s="21"/>
      <c r="E78" s="38"/>
      <c r="F78" s="66"/>
      <c r="G78" s="33"/>
    </row>
    <row r="79" spans="1:7" ht="12.75" customHeight="1">
      <c r="A79" s="21"/>
      <c r="B79" s="28"/>
      <c r="C79" s="21"/>
      <c r="D79" s="21"/>
      <c r="E79" s="43"/>
      <c r="F79" s="59" t="s">
        <v>0</v>
      </c>
      <c r="G79" s="33"/>
    </row>
    <row r="80" spans="1:9" ht="16.5" customHeight="1">
      <c r="A80" s="44"/>
      <c r="B80" s="75" t="s">
        <v>39</v>
      </c>
      <c r="C80" s="45"/>
      <c r="D80" s="45"/>
      <c r="E80" s="39"/>
      <c r="F80" s="59" t="s">
        <v>0</v>
      </c>
      <c r="G80" s="98">
        <f>SUM(G19:G73)</f>
        <v>13067.75</v>
      </c>
      <c r="I80" s="70"/>
    </row>
    <row r="81" spans="1:7" ht="12.75" customHeight="1">
      <c r="A81" s="21"/>
      <c r="B81" s="97" t="s">
        <v>40</v>
      </c>
      <c r="C81" s="21"/>
      <c r="D81" s="21"/>
      <c r="E81" s="43"/>
      <c r="F81" s="59" t="s">
        <v>0</v>
      </c>
      <c r="G81" s="46"/>
    </row>
    <row r="82" spans="2:7" ht="12" customHeight="1">
      <c r="B82" s="47"/>
      <c r="E82" s="38"/>
      <c r="F82" s="59" t="s">
        <v>0</v>
      </c>
      <c r="G82" s="46"/>
    </row>
    <row r="83" spans="2:7" ht="16.5" customHeight="1">
      <c r="B83" s="75" t="s">
        <v>52</v>
      </c>
      <c r="C83" s="35"/>
      <c r="D83" s="35"/>
      <c r="E83" s="48"/>
      <c r="F83" s="60"/>
      <c r="G83" s="98">
        <f>SUM(F85:F87)</f>
        <v>-20.64</v>
      </c>
    </row>
    <row r="84" spans="2:7" ht="12">
      <c r="B84" s="47"/>
      <c r="E84" s="38"/>
      <c r="F84" s="59"/>
      <c r="G84" s="46"/>
    </row>
    <row r="85" spans="2:7" ht="15">
      <c r="B85" s="28"/>
      <c r="C85" s="79" t="s">
        <v>49</v>
      </c>
      <c r="D85" s="21"/>
      <c r="E85" s="38"/>
      <c r="F85" s="64">
        <v>0</v>
      </c>
      <c r="G85" s="46"/>
    </row>
    <row r="86" spans="2:7" ht="15">
      <c r="B86" s="47"/>
      <c r="C86" s="79" t="s">
        <v>50</v>
      </c>
      <c r="E86" s="38"/>
      <c r="F86" s="71">
        <v>0</v>
      </c>
      <c r="G86" s="46"/>
    </row>
    <row r="87" spans="2:7" ht="15">
      <c r="B87" s="47"/>
      <c r="C87" s="79" t="s">
        <v>51</v>
      </c>
      <c r="E87" s="38"/>
      <c r="F87" s="66">
        <v>-20.64</v>
      </c>
      <c r="G87" s="46"/>
    </row>
    <row r="88" spans="2:7" ht="12">
      <c r="B88" s="47"/>
      <c r="E88" s="38"/>
      <c r="F88" s="59"/>
      <c r="G88" s="46"/>
    </row>
    <row r="89" spans="2:7" ht="18">
      <c r="B89" s="75" t="s">
        <v>75</v>
      </c>
      <c r="C89" s="35"/>
      <c r="D89" s="35"/>
      <c r="E89" s="48"/>
      <c r="F89" s="69">
        <v>0</v>
      </c>
      <c r="G89" s="99">
        <v>0</v>
      </c>
    </row>
    <row r="90" spans="2:7" ht="12">
      <c r="B90" s="47"/>
      <c r="E90" s="38"/>
      <c r="F90" s="59"/>
      <c r="G90" s="46"/>
    </row>
    <row r="91" spans="2:7" ht="18">
      <c r="B91" s="75" t="s">
        <v>76</v>
      </c>
      <c r="C91" s="35"/>
      <c r="D91" s="35"/>
      <c r="E91" s="48"/>
      <c r="F91" s="60"/>
      <c r="G91" s="98">
        <f>F93-F94</f>
        <v>31.79</v>
      </c>
    </row>
    <row r="92" spans="2:7" ht="12">
      <c r="B92" s="47"/>
      <c r="E92" s="38"/>
      <c r="F92" s="59"/>
      <c r="G92" s="46"/>
    </row>
    <row r="93" spans="2:7" ht="14.25">
      <c r="B93" s="47"/>
      <c r="C93" s="79" t="s">
        <v>53</v>
      </c>
      <c r="E93" s="38"/>
      <c r="F93" s="68">
        <v>31.79</v>
      </c>
      <c r="G93" s="46"/>
    </row>
    <row r="94" spans="2:7" ht="14.25">
      <c r="B94" s="47"/>
      <c r="C94" s="79" t="s">
        <v>54</v>
      </c>
      <c r="E94" s="38"/>
      <c r="F94" s="68">
        <v>0</v>
      </c>
      <c r="G94" s="46"/>
    </row>
    <row r="95" spans="2:7" ht="12">
      <c r="B95" s="47"/>
      <c r="E95" s="38"/>
      <c r="F95" s="59"/>
      <c r="G95" s="46"/>
    </row>
    <row r="96" spans="2:7" ht="12">
      <c r="B96" s="47"/>
      <c r="E96" s="38"/>
      <c r="F96" s="59"/>
      <c r="G96" s="46"/>
    </row>
    <row r="97" spans="2:9" ht="18">
      <c r="B97" s="31"/>
      <c r="E97" s="100" t="s">
        <v>55</v>
      </c>
      <c r="F97" s="59"/>
      <c r="G97" s="101">
        <f>G80+G83+G89+G91</f>
        <v>13078.900000000001</v>
      </c>
      <c r="I97" s="70"/>
    </row>
    <row r="98" spans="2:7" ht="12">
      <c r="B98" s="49"/>
      <c r="C98" s="50"/>
      <c r="D98" s="50"/>
      <c r="E98" s="51"/>
      <c r="F98" s="52"/>
      <c r="G98" s="53"/>
    </row>
    <row r="103" spans="5:7" ht="15.75">
      <c r="E103" s="103" t="s">
        <v>111</v>
      </c>
      <c r="G103" s="107">
        <f>828267.98*3.49/100</f>
        <v>28906.552502000002</v>
      </c>
    </row>
    <row r="105" spans="5:7" ht="15.75">
      <c r="E105" s="103" t="s">
        <v>112</v>
      </c>
      <c r="G105" s="107">
        <f>-952694.23*3.49/100-1.63</f>
        <v>-33250.658627</v>
      </c>
    </row>
    <row r="107" spans="5:7" ht="18">
      <c r="E107" s="103" t="s">
        <v>160</v>
      </c>
      <c r="G107" s="104">
        <f>G97+G103+G105</f>
        <v>8734.793875000003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89" r:id="rId1"/>
  <rowBreaks count="1" manualBreakCount="1">
    <brk id="5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39"/>
  <sheetViews>
    <sheetView workbookViewId="0" topLeftCell="A9">
      <selection activeCell="F9" sqref="F9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166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828267.98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SUM(F21)</f>
        <v>0</v>
      </c>
      <c r="G20" s="32"/>
    </row>
    <row r="21" spans="1:7" ht="12.75" customHeight="1">
      <c r="A21" s="21"/>
      <c r="B21" s="28"/>
      <c r="C21" s="76"/>
      <c r="D21" s="76" t="s">
        <v>161</v>
      </c>
      <c r="E21" s="77" t="s">
        <v>162</v>
      </c>
      <c r="F21" s="82">
        <v>0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SUM(F28:F33)</f>
        <v>828267.98</v>
      </c>
      <c r="G27" s="33"/>
    </row>
    <row r="28" spans="1:7" ht="12.75" customHeight="1">
      <c r="A28" s="21"/>
      <c r="B28" s="28"/>
      <c r="C28" s="76"/>
      <c r="D28" s="76" t="s">
        <v>218</v>
      </c>
      <c r="E28" s="77"/>
      <c r="F28" s="82">
        <v>679411.17</v>
      </c>
      <c r="G28" s="33"/>
    </row>
    <row r="29" spans="1:7" ht="12.75" customHeight="1">
      <c r="A29" s="21"/>
      <c r="B29" s="28"/>
      <c r="C29" s="76"/>
      <c r="D29" s="76" t="s">
        <v>167</v>
      </c>
      <c r="E29" s="77"/>
      <c r="F29" s="82">
        <v>60000</v>
      </c>
      <c r="G29" s="33"/>
    </row>
    <row r="30" spans="1:7" ht="12.75" customHeight="1">
      <c r="A30" s="21"/>
      <c r="B30" s="28"/>
      <c r="C30" s="76"/>
      <c r="D30" s="76" t="s">
        <v>168</v>
      </c>
      <c r="E30" s="77"/>
      <c r="F30" s="82">
        <v>50000</v>
      </c>
      <c r="G30" s="33"/>
    </row>
    <row r="31" spans="1:7" ht="12.75" customHeight="1">
      <c r="A31" s="21"/>
      <c r="B31" s="28"/>
      <c r="C31" s="76"/>
      <c r="D31" s="76" t="s">
        <v>219</v>
      </c>
      <c r="E31" s="77"/>
      <c r="F31" s="82">
        <v>7911.96</v>
      </c>
      <c r="G31" s="33"/>
    </row>
    <row r="32" spans="1:7" ht="12.75" customHeight="1">
      <c r="A32" s="21"/>
      <c r="B32" s="28"/>
      <c r="C32" s="76"/>
      <c r="D32" s="76" t="s">
        <v>169</v>
      </c>
      <c r="E32" s="77"/>
      <c r="F32" s="82">
        <v>208.33</v>
      </c>
      <c r="G32" s="33"/>
    </row>
    <row r="33" spans="1:7" ht="12.75" customHeight="1">
      <c r="A33" s="21"/>
      <c r="B33" s="28"/>
      <c r="C33" s="76"/>
      <c r="D33" s="76" t="s">
        <v>170</v>
      </c>
      <c r="E33" s="77"/>
      <c r="F33" s="82">
        <v>30736.52</v>
      </c>
      <c r="G33" s="33"/>
    </row>
    <row r="34" spans="1:7" ht="12.75" customHeight="1">
      <c r="A34" s="21"/>
      <c r="B34" s="28"/>
      <c r="C34" s="76"/>
      <c r="D34" s="76"/>
      <c r="E34" s="77"/>
      <c r="F34" s="82"/>
      <c r="G34" s="33"/>
    </row>
    <row r="35" spans="1:7" ht="12.75" customHeight="1">
      <c r="A35" s="21"/>
      <c r="B35" s="28"/>
      <c r="C35" s="21"/>
      <c r="D35" s="21"/>
      <c r="E35" s="21"/>
      <c r="F35" s="59"/>
      <c r="G35" s="33"/>
    </row>
    <row r="36" spans="1:7" s="37" customFormat="1" ht="15.75" customHeight="1">
      <c r="A36" s="35"/>
      <c r="B36" s="75" t="s">
        <v>16</v>
      </c>
      <c r="C36" s="35"/>
      <c r="D36" s="35"/>
      <c r="E36" s="36"/>
      <c r="F36" s="60"/>
      <c r="G36" s="84">
        <f>-(F38+F43+F69+F71+F78+F86+F88+F90+F92)</f>
        <v>-677799.6500000001</v>
      </c>
    </row>
    <row r="37" spans="1:7" ht="12.75" customHeight="1">
      <c r="A37" s="21"/>
      <c r="B37" s="28"/>
      <c r="C37" s="79" t="s">
        <v>17</v>
      </c>
      <c r="D37" s="21"/>
      <c r="F37" s="59" t="s">
        <v>0</v>
      </c>
      <c r="G37" s="33"/>
    </row>
    <row r="38" spans="1:7" ht="12.75" customHeight="1">
      <c r="A38" s="21"/>
      <c r="B38" s="28"/>
      <c r="D38" s="79" t="s">
        <v>18</v>
      </c>
      <c r="E38" s="38"/>
      <c r="F38" s="65">
        <f>SUM(F39:F41)</f>
        <v>13456.49</v>
      </c>
      <c r="G38" s="33"/>
    </row>
    <row r="39" spans="1:7" ht="12.75" customHeight="1">
      <c r="A39" s="21"/>
      <c r="B39" s="28"/>
      <c r="D39" s="21"/>
      <c r="E39" s="85" t="s">
        <v>151</v>
      </c>
      <c r="F39" s="83">
        <v>55</v>
      </c>
      <c r="G39" s="33"/>
    </row>
    <row r="40" spans="1:7" ht="12.75" customHeight="1">
      <c r="A40" s="21"/>
      <c r="B40" s="28"/>
      <c r="D40" s="21"/>
      <c r="E40" s="85" t="s">
        <v>146</v>
      </c>
      <c r="F40" s="112">
        <v>10195.4</v>
      </c>
      <c r="G40" s="33"/>
    </row>
    <row r="41" spans="1:7" ht="12.75" customHeight="1">
      <c r="A41" s="21"/>
      <c r="B41" s="28"/>
      <c r="D41" s="21"/>
      <c r="E41" s="85" t="s">
        <v>109</v>
      </c>
      <c r="F41" s="112">
        <v>3206.09</v>
      </c>
      <c r="G41" s="33"/>
    </row>
    <row r="42" spans="1:7" ht="12.75" customHeight="1">
      <c r="A42" s="21"/>
      <c r="B42" s="28"/>
      <c r="D42" s="21"/>
      <c r="E42" s="38"/>
      <c r="F42" s="62"/>
      <c r="G42" s="33"/>
    </row>
    <row r="43" spans="1:7" ht="12.75" customHeight="1">
      <c r="A43" s="21"/>
      <c r="B43" s="28"/>
      <c r="C43" s="79" t="s">
        <v>19</v>
      </c>
      <c r="D43" s="21"/>
      <c r="E43" s="38"/>
      <c r="F43" s="65">
        <f>SUM(F44:F67)</f>
        <v>297662.62</v>
      </c>
      <c r="G43" s="33"/>
    </row>
    <row r="44" spans="1:7" ht="12.75" customHeight="1">
      <c r="A44" s="21"/>
      <c r="B44" s="28"/>
      <c r="C44" s="79"/>
      <c r="D44" s="21"/>
      <c r="E44" s="38" t="s">
        <v>78</v>
      </c>
      <c r="F44" s="86">
        <v>8160.22</v>
      </c>
      <c r="G44" s="33"/>
    </row>
    <row r="45" spans="1:7" ht="12.75" customHeight="1">
      <c r="A45" s="21"/>
      <c r="B45" s="28"/>
      <c r="C45" s="79"/>
      <c r="D45" s="21"/>
      <c r="E45" s="38" t="s">
        <v>79</v>
      </c>
      <c r="F45" s="86">
        <f>777.77+123.03</f>
        <v>900.8</v>
      </c>
      <c r="G45" s="33"/>
    </row>
    <row r="46" spans="1:7" ht="12.75" customHeight="1">
      <c r="A46" s="21"/>
      <c r="B46" s="28"/>
      <c r="C46" s="21"/>
      <c r="D46" s="21"/>
      <c r="E46" s="85" t="s">
        <v>133</v>
      </c>
      <c r="F46" s="87">
        <v>5997.47</v>
      </c>
      <c r="G46" s="33"/>
    </row>
    <row r="47" spans="1:7" ht="12.75" customHeight="1">
      <c r="A47" s="21"/>
      <c r="B47" s="28"/>
      <c r="C47" s="21"/>
      <c r="D47" s="21"/>
      <c r="E47" s="85" t="s">
        <v>171</v>
      </c>
      <c r="F47" s="96">
        <v>83634.55</v>
      </c>
      <c r="G47" s="46"/>
    </row>
    <row r="48" spans="1:7" ht="12.75" customHeight="1">
      <c r="A48" s="21"/>
      <c r="B48" s="28"/>
      <c r="C48" s="21"/>
      <c r="D48" s="21"/>
      <c r="E48" s="85" t="s">
        <v>172</v>
      </c>
      <c r="F48" s="96">
        <v>5501</v>
      </c>
      <c r="G48" s="46"/>
    </row>
    <row r="49" spans="1:7" ht="12.75" customHeight="1">
      <c r="A49" s="21"/>
      <c r="B49" s="28"/>
      <c r="C49" s="21"/>
      <c r="D49" s="21"/>
      <c r="E49" s="85" t="s">
        <v>180</v>
      </c>
      <c r="F49" s="96">
        <v>30739.07</v>
      </c>
      <c r="G49" s="46"/>
    </row>
    <row r="50" spans="1:7" ht="12.75" customHeight="1">
      <c r="A50" s="21"/>
      <c r="B50" s="28"/>
      <c r="C50" s="21"/>
      <c r="D50" s="21"/>
      <c r="E50" s="85" t="s">
        <v>220</v>
      </c>
      <c r="F50" s="96">
        <v>15879.43</v>
      </c>
      <c r="G50" s="46"/>
    </row>
    <row r="51" spans="1:7" ht="12.75" customHeight="1">
      <c r="A51" s="21"/>
      <c r="B51" s="21"/>
      <c r="C51" s="21"/>
      <c r="D51" s="21"/>
      <c r="E51" s="85" t="s">
        <v>194</v>
      </c>
      <c r="F51" s="96">
        <v>12473.94</v>
      </c>
      <c r="G51" s="46"/>
    </row>
    <row r="52" spans="1:256" ht="12.75" customHeight="1">
      <c r="A52" s="85"/>
      <c r="B52" s="77"/>
      <c r="C52" s="77"/>
      <c r="D52" s="77"/>
      <c r="E52" s="85" t="s">
        <v>173</v>
      </c>
      <c r="F52" s="105">
        <f>4650.63+6354.65</f>
        <v>11005.279999999999</v>
      </c>
      <c r="G52" s="85"/>
      <c r="H52" s="77"/>
      <c r="I52" s="77"/>
      <c r="J52" s="77"/>
      <c r="K52" s="77"/>
      <c r="L52" s="77"/>
      <c r="M52" s="77"/>
      <c r="N52" s="77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 t="s">
        <v>81</v>
      </c>
      <c r="BE52" s="85" t="s">
        <v>81</v>
      </c>
      <c r="BF52" s="85" t="s">
        <v>81</v>
      </c>
      <c r="BG52" s="85" t="s">
        <v>81</v>
      </c>
      <c r="BH52" s="85" t="s">
        <v>81</v>
      </c>
      <c r="BI52" s="85" t="s">
        <v>81</v>
      </c>
      <c r="BJ52" s="85" t="s">
        <v>81</v>
      </c>
      <c r="BK52" s="85" t="s">
        <v>81</v>
      </c>
      <c r="BL52" s="85" t="s">
        <v>81</v>
      </c>
      <c r="BM52" s="85" t="s">
        <v>81</v>
      </c>
      <c r="BN52" s="85" t="s">
        <v>81</v>
      </c>
      <c r="BO52" s="85" t="s">
        <v>81</v>
      </c>
      <c r="BP52" s="85" t="s">
        <v>81</v>
      </c>
      <c r="BQ52" s="85" t="s">
        <v>81</v>
      </c>
      <c r="BR52" s="85" t="s">
        <v>81</v>
      </c>
      <c r="BS52" s="85" t="s">
        <v>81</v>
      </c>
      <c r="BT52" s="85" t="s">
        <v>81</v>
      </c>
      <c r="BU52" s="85" t="s">
        <v>81</v>
      </c>
      <c r="BV52" s="85" t="s">
        <v>81</v>
      </c>
      <c r="BW52" s="85" t="s">
        <v>81</v>
      </c>
      <c r="BX52" s="85" t="s">
        <v>81</v>
      </c>
      <c r="BY52" s="85" t="s">
        <v>81</v>
      </c>
      <c r="BZ52" s="85" t="s">
        <v>81</v>
      </c>
      <c r="CA52" s="85" t="s">
        <v>81</v>
      </c>
      <c r="CB52" s="85" t="s">
        <v>81</v>
      </c>
      <c r="CC52" s="85" t="s">
        <v>81</v>
      </c>
      <c r="CD52" s="85" t="s">
        <v>81</v>
      </c>
      <c r="CE52" s="85" t="s">
        <v>81</v>
      </c>
      <c r="CF52" s="85" t="s">
        <v>81</v>
      </c>
      <c r="CG52" s="85" t="s">
        <v>81</v>
      </c>
      <c r="CH52" s="85" t="s">
        <v>81</v>
      </c>
      <c r="CI52" s="85" t="s">
        <v>81</v>
      </c>
      <c r="CJ52" s="85" t="s">
        <v>81</v>
      </c>
      <c r="CK52" s="85" t="s">
        <v>81</v>
      </c>
      <c r="CL52" s="85" t="s">
        <v>81</v>
      </c>
      <c r="CM52" s="85" t="s">
        <v>81</v>
      </c>
      <c r="CN52" s="85" t="s">
        <v>81</v>
      </c>
      <c r="CO52" s="85" t="s">
        <v>81</v>
      </c>
      <c r="CP52" s="85" t="s">
        <v>81</v>
      </c>
      <c r="CQ52" s="85" t="s">
        <v>81</v>
      </c>
      <c r="CR52" s="85" t="s">
        <v>81</v>
      </c>
      <c r="CS52" s="85" t="s">
        <v>81</v>
      </c>
      <c r="CT52" s="85" t="s">
        <v>81</v>
      </c>
      <c r="CU52" s="85" t="s">
        <v>81</v>
      </c>
      <c r="CV52" s="85" t="s">
        <v>81</v>
      </c>
      <c r="CW52" s="85" t="s">
        <v>81</v>
      </c>
      <c r="CX52" s="85" t="s">
        <v>81</v>
      </c>
      <c r="CY52" s="85" t="s">
        <v>81</v>
      </c>
      <c r="CZ52" s="85" t="s">
        <v>81</v>
      </c>
      <c r="DA52" s="85" t="s">
        <v>81</v>
      </c>
      <c r="DB52" s="85" t="s">
        <v>81</v>
      </c>
      <c r="DC52" s="85" t="s">
        <v>81</v>
      </c>
      <c r="DD52" s="85" t="s">
        <v>81</v>
      </c>
      <c r="DE52" s="85" t="s">
        <v>81</v>
      </c>
      <c r="DF52" s="85" t="s">
        <v>81</v>
      </c>
      <c r="DG52" s="85" t="s">
        <v>81</v>
      </c>
      <c r="DH52" s="85" t="s">
        <v>81</v>
      </c>
      <c r="DI52" s="85" t="s">
        <v>81</v>
      </c>
      <c r="DJ52" s="85" t="s">
        <v>81</v>
      </c>
      <c r="DK52" s="85" t="s">
        <v>81</v>
      </c>
      <c r="DL52" s="85" t="s">
        <v>81</v>
      </c>
      <c r="DM52" s="85" t="s">
        <v>81</v>
      </c>
      <c r="DN52" s="85" t="s">
        <v>81</v>
      </c>
      <c r="DO52" s="85" t="s">
        <v>81</v>
      </c>
      <c r="DP52" s="85" t="s">
        <v>81</v>
      </c>
      <c r="DQ52" s="85" t="s">
        <v>81</v>
      </c>
      <c r="DR52" s="85" t="s">
        <v>81</v>
      </c>
      <c r="DS52" s="85" t="s">
        <v>81</v>
      </c>
      <c r="DT52" s="85" t="s">
        <v>81</v>
      </c>
      <c r="DU52" s="85" t="s">
        <v>81</v>
      </c>
      <c r="DV52" s="85" t="s">
        <v>81</v>
      </c>
      <c r="DW52" s="85" t="s">
        <v>81</v>
      </c>
      <c r="DX52" s="85" t="s">
        <v>81</v>
      </c>
      <c r="DY52" s="85" t="s">
        <v>81</v>
      </c>
      <c r="DZ52" s="85" t="s">
        <v>81</v>
      </c>
      <c r="EA52" s="85" t="s">
        <v>81</v>
      </c>
      <c r="EB52" s="85" t="s">
        <v>81</v>
      </c>
      <c r="EC52" s="85" t="s">
        <v>81</v>
      </c>
      <c r="ED52" s="85" t="s">
        <v>81</v>
      </c>
      <c r="EE52" s="85" t="s">
        <v>81</v>
      </c>
      <c r="EF52" s="85" t="s">
        <v>81</v>
      </c>
      <c r="EG52" s="85" t="s">
        <v>81</v>
      </c>
      <c r="EH52" s="85" t="s">
        <v>81</v>
      </c>
      <c r="EI52" s="85" t="s">
        <v>81</v>
      </c>
      <c r="EJ52" s="85" t="s">
        <v>81</v>
      </c>
      <c r="EK52" s="85" t="s">
        <v>81</v>
      </c>
      <c r="EL52" s="85" t="s">
        <v>81</v>
      </c>
      <c r="EM52" s="85" t="s">
        <v>81</v>
      </c>
      <c r="EN52" s="85" t="s">
        <v>81</v>
      </c>
      <c r="EO52" s="85" t="s">
        <v>81</v>
      </c>
      <c r="EP52" s="85" t="s">
        <v>81</v>
      </c>
      <c r="EQ52" s="85" t="s">
        <v>81</v>
      </c>
      <c r="ER52" s="85" t="s">
        <v>81</v>
      </c>
      <c r="ES52" s="85" t="s">
        <v>81</v>
      </c>
      <c r="ET52" s="85" t="s">
        <v>81</v>
      </c>
      <c r="EU52" s="85" t="s">
        <v>81</v>
      </c>
      <c r="EV52" s="85" t="s">
        <v>81</v>
      </c>
      <c r="EW52" s="85" t="s">
        <v>81</v>
      </c>
      <c r="EX52" s="85" t="s">
        <v>81</v>
      </c>
      <c r="EY52" s="85" t="s">
        <v>81</v>
      </c>
      <c r="EZ52" s="85" t="s">
        <v>81</v>
      </c>
      <c r="FA52" s="85" t="s">
        <v>81</v>
      </c>
      <c r="FB52" s="85" t="s">
        <v>81</v>
      </c>
      <c r="FC52" s="85" t="s">
        <v>81</v>
      </c>
      <c r="FD52" s="85" t="s">
        <v>81</v>
      </c>
      <c r="FE52" s="85" t="s">
        <v>81</v>
      </c>
      <c r="FF52" s="85" t="s">
        <v>81</v>
      </c>
      <c r="FG52" s="85" t="s">
        <v>81</v>
      </c>
      <c r="FH52" s="85" t="s">
        <v>81</v>
      </c>
      <c r="FI52" s="85" t="s">
        <v>81</v>
      </c>
      <c r="FJ52" s="85" t="s">
        <v>81</v>
      </c>
      <c r="FK52" s="85" t="s">
        <v>81</v>
      </c>
      <c r="FL52" s="85" t="s">
        <v>81</v>
      </c>
      <c r="FM52" s="85" t="s">
        <v>81</v>
      </c>
      <c r="FN52" s="85" t="s">
        <v>81</v>
      </c>
      <c r="FO52" s="85" t="s">
        <v>81</v>
      </c>
      <c r="FP52" s="85" t="s">
        <v>81</v>
      </c>
      <c r="FQ52" s="85" t="s">
        <v>81</v>
      </c>
      <c r="FR52" s="85" t="s">
        <v>81</v>
      </c>
      <c r="FS52" s="85" t="s">
        <v>81</v>
      </c>
      <c r="FT52" s="85" t="s">
        <v>81</v>
      </c>
      <c r="FU52" s="85" t="s">
        <v>81</v>
      </c>
      <c r="FV52" s="85" t="s">
        <v>81</v>
      </c>
      <c r="FW52" s="85" t="s">
        <v>81</v>
      </c>
      <c r="FX52" s="85" t="s">
        <v>81</v>
      </c>
      <c r="FY52" s="85" t="s">
        <v>81</v>
      </c>
      <c r="FZ52" s="85" t="s">
        <v>81</v>
      </c>
      <c r="GA52" s="85" t="s">
        <v>81</v>
      </c>
      <c r="GB52" s="85" t="s">
        <v>81</v>
      </c>
      <c r="GC52" s="85" t="s">
        <v>81</v>
      </c>
      <c r="GD52" s="85" t="s">
        <v>81</v>
      </c>
      <c r="GE52" s="85" t="s">
        <v>81</v>
      </c>
      <c r="GF52" s="85" t="s">
        <v>81</v>
      </c>
      <c r="GG52" s="85" t="s">
        <v>81</v>
      </c>
      <c r="GH52" s="85" t="s">
        <v>81</v>
      </c>
      <c r="GI52" s="85" t="s">
        <v>81</v>
      </c>
      <c r="GJ52" s="85" t="s">
        <v>81</v>
      </c>
      <c r="GK52" s="85" t="s">
        <v>81</v>
      </c>
      <c r="GL52" s="85" t="s">
        <v>81</v>
      </c>
      <c r="GM52" s="85" t="s">
        <v>81</v>
      </c>
      <c r="GN52" s="85" t="s">
        <v>81</v>
      </c>
      <c r="GO52" s="85" t="s">
        <v>81</v>
      </c>
      <c r="GP52" s="85" t="s">
        <v>81</v>
      </c>
      <c r="GQ52" s="85" t="s">
        <v>81</v>
      </c>
      <c r="GR52" s="85" t="s">
        <v>81</v>
      </c>
      <c r="GS52" s="85" t="s">
        <v>81</v>
      </c>
      <c r="GT52" s="85" t="s">
        <v>81</v>
      </c>
      <c r="GU52" s="85" t="s">
        <v>81</v>
      </c>
      <c r="GV52" s="85" t="s">
        <v>81</v>
      </c>
      <c r="GW52" s="85" t="s">
        <v>81</v>
      </c>
      <c r="GX52" s="85" t="s">
        <v>81</v>
      </c>
      <c r="GY52" s="85" t="s">
        <v>81</v>
      </c>
      <c r="GZ52" s="85" t="s">
        <v>81</v>
      </c>
      <c r="HA52" s="85" t="s">
        <v>81</v>
      </c>
      <c r="HB52" s="85" t="s">
        <v>81</v>
      </c>
      <c r="HC52" s="85" t="s">
        <v>81</v>
      </c>
      <c r="HD52" s="85" t="s">
        <v>81</v>
      </c>
      <c r="HE52" s="85" t="s">
        <v>81</v>
      </c>
      <c r="HF52" s="85" t="s">
        <v>81</v>
      </c>
      <c r="HG52" s="85" t="s">
        <v>81</v>
      </c>
      <c r="HH52" s="85" t="s">
        <v>81</v>
      </c>
      <c r="HI52" s="85" t="s">
        <v>81</v>
      </c>
      <c r="HJ52" s="85" t="s">
        <v>81</v>
      </c>
      <c r="HK52" s="85" t="s">
        <v>81</v>
      </c>
      <c r="HL52" s="85" t="s">
        <v>81</v>
      </c>
      <c r="HM52" s="85" t="s">
        <v>81</v>
      </c>
      <c r="HN52" s="85" t="s">
        <v>81</v>
      </c>
      <c r="HO52" s="85" t="s">
        <v>81</v>
      </c>
      <c r="HP52" s="85" t="s">
        <v>81</v>
      </c>
      <c r="HQ52" s="85" t="s">
        <v>81</v>
      </c>
      <c r="HR52" s="85" t="s">
        <v>81</v>
      </c>
      <c r="HS52" s="85" t="s">
        <v>81</v>
      </c>
      <c r="HT52" s="85" t="s">
        <v>81</v>
      </c>
      <c r="HU52" s="85" t="s">
        <v>81</v>
      </c>
      <c r="HV52" s="85" t="s">
        <v>81</v>
      </c>
      <c r="HW52" s="85" t="s">
        <v>81</v>
      </c>
      <c r="HX52" s="85" t="s">
        <v>81</v>
      </c>
      <c r="HY52" s="85" t="s">
        <v>81</v>
      </c>
      <c r="HZ52" s="85" t="s">
        <v>81</v>
      </c>
      <c r="IA52" s="85" t="s">
        <v>81</v>
      </c>
      <c r="IB52" s="85" t="s">
        <v>81</v>
      </c>
      <c r="IC52" s="85" t="s">
        <v>81</v>
      </c>
      <c r="ID52" s="85" t="s">
        <v>81</v>
      </c>
      <c r="IE52" s="85" t="s">
        <v>81</v>
      </c>
      <c r="IF52" s="85" t="s">
        <v>81</v>
      </c>
      <c r="IG52" s="85" t="s">
        <v>81</v>
      </c>
      <c r="IH52" s="85" t="s">
        <v>81</v>
      </c>
      <c r="II52" s="85" t="s">
        <v>81</v>
      </c>
      <c r="IJ52" s="85" t="s">
        <v>81</v>
      </c>
      <c r="IK52" s="85" t="s">
        <v>81</v>
      </c>
      <c r="IL52" s="85" t="s">
        <v>81</v>
      </c>
      <c r="IM52" s="85" t="s">
        <v>81</v>
      </c>
      <c r="IN52" s="85" t="s">
        <v>81</v>
      </c>
      <c r="IO52" s="85" t="s">
        <v>81</v>
      </c>
      <c r="IP52" s="85" t="s">
        <v>81</v>
      </c>
      <c r="IQ52" s="85" t="s">
        <v>81</v>
      </c>
      <c r="IR52" s="85" t="s">
        <v>81</v>
      </c>
      <c r="IS52" s="85" t="s">
        <v>81</v>
      </c>
      <c r="IT52" s="85" t="s">
        <v>81</v>
      </c>
      <c r="IU52" s="85" t="s">
        <v>81</v>
      </c>
      <c r="IV52" s="85" t="s">
        <v>81</v>
      </c>
    </row>
    <row r="53" spans="1:256" ht="12.75" customHeight="1">
      <c r="A53" s="77"/>
      <c r="B53" s="77"/>
      <c r="C53" s="77"/>
      <c r="D53" s="77"/>
      <c r="E53" s="85" t="s">
        <v>221</v>
      </c>
      <c r="F53" s="105">
        <v>2629.34</v>
      </c>
      <c r="G53" s="85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  <c r="IV53" s="77"/>
    </row>
    <row r="54" spans="1:256" ht="12.75" customHeight="1">
      <c r="A54" s="77"/>
      <c r="B54" s="77"/>
      <c r="C54" s="77"/>
      <c r="D54" s="77"/>
      <c r="E54" s="85" t="s">
        <v>227</v>
      </c>
      <c r="F54" s="105">
        <v>71.34</v>
      </c>
      <c r="G54" s="85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spans="1:256" ht="12.75" customHeight="1">
      <c r="A55" s="77"/>
      <c r="B55" s="108"/>
      <c r="C55" s="77"/>
      <c r="D55" s="77"/>
      <c r="E55" s="85" t="s">
        <v>84</v>
      </c>
      <c r="F55" s="106">
        <v>1383.15</v>
      </c>
      <c r="G55" s="85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</row>
    <row r="56" spans="1:7" ht="12.75" customHeight="1">
      <c r="A56" s="21"/>
      <c r="B56" s="28"/>
      <c r="C56" s="21"/>
      <c r="D56" s="21"/>
      <c r="E56" s="85" t="s">
        <v>139</v>
      </c>
      <c r="F56" s="87">
        <f>3007.4+1318+3115.95+1412.01</f>
        <v>8853.359999999999</v>
      </c>
      <c r="G56" s="33"/>
    </row>
    <row r="57" spans="1:7" ht="12.75" customHeight="1">
      <c r="A57" s="21"/>
      <c r="B57" s="28"/>
      <c r="C57" s="21"/>
      <c r="D57" s="21"/>
      <c r="E57" s="85" t="s">
        <v>174</v>
      </c>
      <c r="F57" s="109">
        <f>533.42+92+1572.56</f>
        <v>2197.98</v>
      </c>
      <c r="G57" s="33"/>
    </row>
    <row r="58" spans="1:7" ht="12.75" customHeight="1">
      <c r="A58" s="21"/>
      <c r="B58" s="28"/>
      <c r="C58" s="21"/>
      <c r="D58" s="21"/>
      <c r="E58" s="85" t="s">
        <v>175</v>
      </c>
      <c r="F58" s="96">
        <v>2532.1</v>
      </c>
      <c r="G58" s="33"/>
    </row>
    <row r="59" spans="1:7" ht="12.75" customHeight="1">
      <c r="A59" s="21"/>
      <c r="B59" s="28"/>
      <c r="C59" s="21"/>
      <c r="D59" s="21"/>
      <c r="E59" s="85" t="s">
        <v>222</v>
      </c>
      <c r="F59" s="96">
        <v>2971</v>
      </c>
      <c r="G59" s="33"/>
    </row>
    <row r="60" spans="1:7" ht="12.75" customHeight="1">
      <c r="A60" s="21"/>
      <c r="B60" s="28"/>
      <c r="C60" s="21"/>
      <c r="D60" s="21"/>
      <c r="E60" s="85" t="s">
        <v>86</v>
      </c>
      <c r="F60" s="96">
        <f>800+296.62</f>
        <v>1096.62</v>
      </c>
      <c r="G60" s="33"/>
    </row>
    <row r="61" spans="1:7" ht="12.75" customHeight="1">
      <c r="A61" s="21"/>
      <c r="B61" s="28"/>
      <c r="C61" s="21"/>
      <c r="D61" s="21"/>
      <c r="E61" s="85" t="s">
        <v>176</v>
      </c>
      <c r="F61" s="96">
        <v>2967.65</v>
      </c>
      <c r="G61" s="33"/>
    </row>
    <row r="62" spans="1:7" ht="12.75" customHeight="1">
      <c r="A62" s="21"/>
      <c r="B62" s="28"/>
      <c r="C62" s="21"/>
      <c r="D62" s="21"/>
      <c r="E62" s="85" t="s">
        <v>223</v>
      </c>
      <c r="F62" s="96">
        <v>1072.86</v>
      </c>
      <c r="G62" s="33"/>
    </row>
    <row r="63" spans="1:7" ht="12.75" customHeight="1">
      <c r="A63" s="21"/>
      <c r="B63" s="28"/>
      <c r="C63" s="21"/>
      <c r="D63" s="21"/>
      <c r="E63" s="85" t="s">
        <v>70</v>
      </c>
      <c r="F63" s="96">
        <v>20619.19</v>
      </c>
      <c r="G63" s="33"/>
    </row>
    <row r="64" spans="1:7" ht="12.75" customHeight="1">
      <c r="A64" s="21"/>
      <c r="B64" s="28"/>
      <c r="C64" s="21"/>
      <c r="D64" s="21"/>
      <c r="E64" s="85" t="s">
        <v>140</v>
      </c>
      <c r="F64" s="96">
        <v>1681.14</v>
      </c>
      <c r="G64" s="33"/>
    </row>
    <row r="65" spans="1:7" ht="12.75" customHeight="1">
      <c r="A65" s="21"/>
      <c r="B65" s="28"/>
      <c r="C65" s="21"/>
      <c r="D65" s="21"/>
      <c r="E65" s="85" t="s">
        <v>177</v>
      </c>
      <c r="F65" s="96">
        <v>38392.9</v>
      </c>
      <c r="G65" s="33"/>
    </row>
    <row r="66" spans="1:7" ht="12.75" customHeight="1">
      <c r="A66" s="21"/>
      <c r="B66" s="28"/>
      <c r="C66" s="21"/>
      <c r="D66" s="21"/>
      <c r="E66" s="85" t="s">
        <v>178</v>
      </c>
      <c r="F66" s="96">
        <v>24677.58</v>
      </c>
      <c r="G66" s="33"/>
    </row>
    <row r="67" spans="1:7" ht="12.75" customHeight="1">
      <c r="A67" s="21"/>
      <c r="B67" s="28"/>
      <c r="C67" s="21"/>
      <c r="D67" s="21"/>
      <c r="E67" s="85" t="s">
        <v>179</v>
      </c>
      <c r="F67" s="96">
        <v>12224.65</v>
      </c>
      <c r="G67" s="33"/>
    </row>
    <row r="68" spans="1:7" ht="12.75" customHeight="1">
      <c r="A68" s="21"/>
      <c r="B68" s="28"/>
      <c r="C68" s="21"/>
      <c r="D68" s="21"/>
      <c r="E68" s="39"/>
      <c r="F68" s="62"/>
      <c r="G68" s="111"/>
    </row>
    <row r="69" spans="1:7" ht="12.75" customHeight="1">
      <c r="A69" s="21"/>
      <c r="B69" s="28"/>
      <c r="C69" s="79" t="s">
        <v>20</v>
      </c>
      <c r="D69" s="21"/>
      <c r="E69" s="38"/>
      <c r="F69" s="64">
        <v>0</v>
      </c>
      <c r="G69" s="33"/>
    </row>
    <row r="70" spans="1:7" ht="12.75" customHeight="1">
      <c r="A70" s="21"/>
      <c r="B70" s="28"/>
      <c r="C70" s="21"/>
      <c r="D70" s="21"/>
      <c r="E70" s="39"/>
      <c r="F70" s="61"/>
      <c r="G70" s="33"/>
    </row>
    <row r="71" spans="1:7" ht="12.75" customHeight="1">
      <c r="A71" s="21"/>
      <c r="B71" s="28"/>
      <c r="C71" s="79" t="s">
        <v>21</v>
      </c>
      <c r="D71" s="21"/>
      <c r="E71" s="38"/>
      <c r="F71" s="65">
        <f>SUM(F72:F76)</f>
        <v>213772.21000000002</v>
      </c>
      <c r="G71" s="33"/>
    </row>
    <row r="72" spans="1:7" ht="12.75" customHeight="1">
      <c r="A72" s="21"/>
      <c r="B72" s="28"/>
      <c r="D72" s="92" t="s">
        <v>22</v>
      </c>
      <c r="E72" s="41"/>
      <c r="F72" s="90">
        <f>23839.76+3786.41+56637.4+33462.01</f>
        <v>117725.58000000002</v>
      </c>
      <c r="G72" s="33"/>
    </row>
    <row r="73" spans="1:7" ht="12.75" customHeight="1">
      <c r="A73" s="21"/>
      <c r="B73" s="28"/>
      <c r="D73" s="92" t="s">
        <v>23</v>
      </c>
      <c r="E73" s="41"/>
      <c r="F73" s="87">
        <f>30557.35+3399.76+1302.36+14289.72+8297.96</f>
        <v>57847.15</v>
      </c>
      <c r="G73" s="33"/>
    </row>
    <row r="74" spans="1:7" ht="12.75" customHeight="1">
      <c r="A74" s="21"/>
      <c r="B74" s="28"/>
      <c r="D74" s="92" t="s">
        <v>24</v>
      </c>
      <c r="E74" s="41"/>
      <c r="F74" s="87">
        <v>38199.48</v>
      </c>
      <c r="G74" s="33"/>
    </row>
    <row r="75" spans="1:7" ht="12.75" customHeight="1">
      <c r="A75" s="21"/>
      <c r="B75" s="28"/>
      <c r="D75" s="92" t="s">
        <v>25</v>
      </c>
      <c r="E75" s="41"/>
      <c r="F75" s="87">
        <v>0</v>
      </c>
      <c r="G75" s="33"/>
    </row>
    <row r="76" spans="1:7" ht="12.75" customHeight="1">
      <c r="A76" s="21"/>
      <c r="B76" s="28"/>
      <c r="D76" s="92" t="s">
        <v>26</v>
      </c>
      <c r="E76" s="41"/>
      <c r="F76" s="87">
        <v>0</v>
      </c>
      <c r="G76" s="33"/>
    </row>
    <row r="77" spans="1:7" ht="12.75" customHeight="1">
      <c r="A77" s="21"/>
      <c r="B77" s="28"/>
      <c r="D77" s="40"/>
      <c r="E77" s="41"/>
      <c r="F77" s="61"/>
      <c r="G77" s="33"/>
    </row>
    <row r="78" spans="1:7" ht="12.75" customHeight="1">
      <c r="A78" s="21"/>
      <c r="B78" s="28"/>
      <c r="C78" s="79" t="s">
        <v>27</v>
      </c>
      <c r="D78" s="21"/>
      <c r="E78" s="38"/>
      <c r="F78" s="65">
        <f>SUM(F79:F83)</f>
        <v>31828.17</v>
      </c>
      <c r="G78" s="33"/>
    </row>
    <row r="79" spans="1:7" ht="12.75" customHeight="1">
      <c r="A79" s="21"/>
      <c r="B79" s="28"/>
      <c r="C79" s="21"/>
      <c r="D79" s="92" t="s">
        <v>28</v>
      </c>
      <c r="E79" s="41"/>
      <c r="F79" s="90">
        <v>10623.72</v>
      </c>
      <c r="G79" s="33"/>
    </row>
    <row r="80" spans="1:7" ht="12.75" customHeight="1">
      <c r="A80" s="21"/>
      <c r="B80" s="28"/>
      <c r="D80" s="92" t="s">
        <v>29</v>
      </c>
      <c r="E80" s="42"/>
      <c r="F80" s="87">
        <v>21204.45</v>
      </c>
      <c r="G80" s="33"/>
    </row>
    <row r="81" spans="1:7" ht="12.75" customHeight="1">
      <c r="A81" s="21"/>
      <c r="B81" s="28"/>
      <c r="D81" s="92" t="s">
        <v>31</v>
      </c>
      <c r="E81" s="41"/>
      <c r="F81" s="87">
        <v>0</v>
      </c>
      <c r="G81" s="33"/>
    </row>
    <row r="82" spans="1:7" ht="12.75" customHeight="1">
      <c r="A82" s="21"/>
      <c r="B82" s="28"/>
      <c r="D82" s="92" t="s">
        <v>32</v>
      </c>
      <c r="E82" s="41"/>
      <c r="F82" s="87"/>
      <c r="G82" s="33"/>
    </row>
    <row r="83" spans="1:7" ht="12.75" customHeight="1">
      <c r="A83" s="21"/>
      <c r="B83" s="28"/>
      <c r="D83" s="40"/>
      <c r="E83" s="93" t="s">
        <v>33</v>
      </c>
      <c r="F83" s="87">
        <v>0</v>
      </c>
      <c r="G83" s="33"/>
    </row>
    <row r="84" spans="1:7" ht="12.75" customHeight="1">
      <c r="A84" s="21"/>
      <c r="B84" s="28"/>
      <c r="D84" s="40"/>
      <c r="E84" s="42"/>
      <c r="F84" s="62"/>
      <c r="G84" s="33"/>
    </row>
    <row r="85" spans="1:7" ht="12.75" customHeight="1">
      <c r="A85" s="21"/>
      <c r="B85" s="28"/>
      <c r="C85" s="79" t="s">
        <v>34</v>
      </c>
      <c r="D85" s="21"/>
      <c r="E85" s="38"/>
      <c r="F85" s="59"/>
      <c r="G85" s="33"/>
    </row>
    <row r="86" spans="1:7" ht="12.75" customHeight="1">
      <c r="A86" s="21"/>
      <c r="B86" s="28"/>
      <c r="D86" s="21"/>
      <c r="E86" s="94" t="s">
        <v>35</v>
      </c>
      <c r="F86" s="66">
        <v>0</v>
      </c>
      <c r="G86" s="33"/>
    </row>
    <row r="87" spans="1:7" ht="12.75" customHeight="1">
      <c r="A87" s="21"/>
      <c r="B87" s="28"/>
      <c r="D87" s="21"/>
      <c r="E87" s="43"/>
      <c r="F87" s="59"/>
      <c r="G87" s="33"/>
    </row>
    <row r="88" spans="1:7" ht="12.75" customHeight="1">
      <c r="A88" s="21"/>
      <c r="B88" s="28"/>
      <c r="C88" s="79" t="s">
        <v>36</v>
      </c>
      <c r="D88" s="21"/>
      <c r="E88" s="38"/>
      <c r="F88" s="66">
        <v>0</v>
      </c>
      <c r="G88" s="33"/>
    </row>
    <row r="89" spans="1:7" ht="12.75" customHeight="1">
      <c r="A89" s="21"/>
      <c r="B89" s="28"/>
      <c r="C89" s="21"/>
      <c r="D89" s="21"/>
      <c r="E89" s="38"/>
      <c r="F89" s="59"/>
      <c r="G89" s="33"/>
    </row>
    <row r="90" spans="1:7" ht="12.75" customHeight="1">
      <c r="A90" s="21"/>
      <c r="B90" s="28"/>
      <c r="C90" s="79" t="s">
        <v>37</v>
      </c>
      <c r="D90" s="21"/>
      <c r="E90" s="38"/>
      <c r="F90" s="66">
        <v>92129</v>
      </c>
      <c r="G90" s="33"/>
    </row>
    <row r="91" spans="1:7" ht="12.75" customHeight="1">
      <c r="A91" s="21"/>
      <c r="B91" s="28"/>
      <c r="C91" s="21"/>
      <c r="D91" s="21"/>
      <c r="E91" s="38"/>
      <c r="F91" s="59"/>
      <c r="G91" s="33"/>
    </row>
    <row r="92" spans="1:7" ht="12.75" customHeight="1">
      <c r="A92" s="21"/>
      <c r="B92" s="28"/>
      <c r="C92" s="79" t="s">
        <v>38</v>
      </c>
      <c r="D92" s="21"/>
      <c r="E92" s="38"/>
      <c r="F92" s="66">
        <f>SUM(F93:F103)</f>
        <v>28951.159999999996</v>
      </c>
      <c r="G92" s="33"/>
    </row>
    <row r="93" spans="1:7" ht="12.75" customHeight="1">
      <c r="A93" s="21"/>
      <c r="B93" s="28"/>
      <c r="C93" s="79"/>
      <c r="D93" s="21"/>
      <c r="E93" s="85" t="s">
        <v>100</v>
      </c>
      <c r="F93" s="81">
        <v>890.98</v>
      </c>
      <c r="G93" s="33"/>
    </row>
    <row r="94" spans="1:7" ht="12.75" customHeight="1">
      <c r="A94" s="21"/>
      <c r="B94" s="28"/>
      <c r="C94" s="79"/>
      <c r="D94" s="21"/>
      <c r="E94" s="85" t="s">
        <v>181</v>
      </c>
      <c r="F94" s="81">
        <v>516.46</v>
      </c>
      <c r="G94" s="33"/>
    </row>
    <row r="95" spans="1:7" ht="12.75" customHeight="1">
      <c r="A95" s="21"/>
      <c r="B95" s="28"/>
      <c r="C95" s="79"/>
      <c r="D95" s="21"/>
      <c r="E95" s="85" t="s">
        <v>143</v>
      </c>
      <c r="F95" s="81">
        <v>672</v>
      </c>
      <c r="G95" s="33"/>
    </row>
    <row r="96" spans="1:7" ht="12.75" customHeight="1">
      <c r="A96" s="21"/>
      <c r="B96" s="28"/>
      <c r="C96" s="79"/>
      <c r="D96" s="21"/>
      <c r="E96" s="85" t="s">
        <v>155</v>
      </c>
      <c r="F96" s="81">
        <v>1788.22</v>
      </c>
      <c r="G96" s="33"/>
    </row>
    <row r="97" spans="1:7" ht="12.75" customHeight="1">
      <c r="A97" s="21"/>
      <c r="B97" s="28"/>
      <c r="C97" s="79"/>
      <c r="D97" s="21"/>
      <c r="E97" s="85" t="s">
        <v>182</v>
      </c>
      <c r="F97" s="81">
        <v>6225.44</v>
      </c>
      <c r="G97" s="33"/>
    </row>
    <row r="98" spans="1:7" ht="12.75" customHeight="1">
      <c r="A98" s="21"/>
      <c r="B98" s="28"/>
      <c r="C98" s="79"/>
      <c r="D98" s="21"/>
      <c r="E98" s="85" t="s">
        <v>101</v>
      </c>
      <c r="F98" s="81">
        <v>1051.16</v>
      </c>
      <c r="G98" s="33"/>
    </row>
    <row r="99" spans="1:7" ht="12.75" customHeight="1">
      <c r="A99" s="21"/>
      <c r="B99" s="28"/>
      <c r="C99" s="79"/>
      <c r="D99" s="21"/>
      <c r="E99" s="38" t="s">
        <v>183</v>
      </c>
      <c r="F99" s="81">
        <v>8400</v>
      </c>
      <c r="G99" s="33"/>
    </row>
    <row r="100" spans="1:7" ht="12.75" customHeight="1">
      <c r="A100" s="21"/>
      <c r="B100" s="28"/>
      <c r="C100" s="79"/>
      <c r="D100" s="21"/>
      <c r="E100" s="38" t="s">
        <v>184</v>
      </c>
      <c r="F100" s="81">
        <v>1300</v>
      </c>
      <c r="G100" s="33"/>
    </row>
    <row r="101" spans="1:7" ht="12.75" customHeight="1">
      <c r="A101" s="21"/>
      <c r="B101" s="28"/>
      <c r="C101" s="79"/>
      <c r="D101" s="21"/>
      <c r="E101" s="38" t="s">
        <v>224</v>
      </c>
      <c r="F101" s="81">
        <v>561.92</v>
      </c>
      <c r="G101" s="33"/>
    </row>
    <row r="102" spans="1:7" ht="12.75" customHeight="1">
      <c r="A102" s="21"/>
      <c r="B102" s="28"/>
      <c r="C102" s="79"/>
      <c r="D102" s="21"/>
      <c r="E102" s="38" t="s">
        <v>226</v>
      </c>
      <c r="F102" s="81">
        <v>7539</v>
      </c>
      <c r="G102" s="33"/>
    </row>
    <row r="103" spans="1:7" ht="12.75" customHeight="1">
      <c r="A103" s="21"/>
      <c r="B103" s="28"/>
      <c r="C103" s="79"/>
      <c r="D103" s="21"/>
      <c r="E103" s="38" t="s">
        <v>225</v>
      </c>
      <c r="F103" s="81">
        <v>5.98</v>
      </c>
      <c r="G103" s="33"/>
    </row>
    <row r="104" spans="1:7" ht="12.75" customHeight="1">
      <c r="A104" s="21"/>
      <c r="B104" s="28"/>
      <c r="C104" s="79"/>
      <c r="D104" s="21"/>
      <c r="E104" s="38"/>
      <c r="F104" s="81"/>
      <c r="G104" s="33"/>
    </row>
    <row r="105" spans="1:7" ht="12.75" customHeight="1">
      <c r="A105" s="21"/>
      <c r="B105" s="28"/>
      <c r="C105" s="79"/>
      <c r="D105" s="21"/>
      <c r="E105" s="38"/>
      <c r="F105" s="66"/>
      <c r="G105" s="33"/>
    </row>
    <row r="106" spans="1:7" ht="12.75" customHeight="1">
      <c r="A106" s="21"/>
      <c r="B106" s="28"/>
      <c r="C106" s="21"/>
      <c r="D106" s="21"/>
      <c r="E106" s="43"/>
      <c r="F106" s="59" t="s">
        <v>0</v>
      </c>
      <c r="G106" s="33"/>
    </row>
    <row r="107" spans="1:9" ht="16.5" customHeight="1">
      <c r="A107" s="44"/>
      <c r="B107" s="75" t="s">
        <v>39</v>
      </c>
      <c r="C107" s="45"/>
      <c r="D107" s="45"/>
      <c r="E107" s="39"/>
      <c r="F107" s="59" t="s">
        <v>0</v>
      </c>
      <c r="G107" s="98">
        <f>SUM(G19:G92)</f>
        <v>150468.32999999984</v>
      </c>
      <c r="I107" s="70"/>
    </row>
    <row r="108" spans="1:7" ht="12.75" customHeight="1">
      <c r="A108" s="21"/>
      <c r="B108" s="97" t="s">
        <v>40</v>
      </c>
      <c r="C108" s="21"/>
      <c r="D108" s="21"/>
      <c r="E108" s="43"/>
      <c r="F108" s="59" t="s">
        <v>0</v>
      </c>
      <c r="G108" s="46"/>
    </row>
    <row r="109" spans="2:7" ht="12" customHeight="1">
      <c r="B109" s="47"/>
      <c r="E109" s="38"/>
      <c r="F109" s="59" t="s">
        <v>0</v>
      </c>
      <c r="G109" s="46"/>
    </row>
    <row r="110" spans="2:7" ht="16.5" customHeight="1">
      <c r="B110" s="75" t="s">
        <v>52</v>
      </c>
      <c r="C110" s="35"/>
      <c r="D110" s="35"/>
      <c r="E110" s="48"/>
      <c r="F110" s="60"/>
      <c r="G110" s="98">
        <f>SUM(F112:F114)</f>
        <v>341991.97</v>
      </c>
    </row>
    <row r="111" spans="2:7" ht="12">
      <c r="B111" s="47"/>
      <c r="E111" s="38"/>
      <c r="F111" s="59"/>
      <c r="G111" s="46"/>
    </row>
    <row r="112" spans="2:7" ht="15">
      <c r="B112" s="28"/>
      <c r="C112" s="79" t="s">
        <v>49</v>
      </c>
      <c r="D112" s="21"/>
      <c r="E112" s="38"/>
      <c r="F112" s="64">
        <v>331500</v>
      </c>
      <c r="G112" s="46"/>
    </row>
    <row r="113" spans="2:7" ht="15">
      <c r="B113" s="47"/>
      <c r="C113" s="79" t="s">
        <v>50</v>
      </c>
      <c r="E113" s="38"/>
      <c r="F113" s="71">
        <f>26554.56+28534.62</f>
        <v>55089.18</v>
      </c>
      <c r="G113" s="46"/>
    </row>
    <row r="114" spans="2:7" ht="15">
      <c r="B114" s="47"/>
      <c r="C114" s="79" t="s">
        <v>51</v>
      </c>
      <c r="E114" s="38"/>
      <c r="F114" s="66">
        <f>-36842.89-27.79-7726.53</f>
        <v>-44597.21</v>
      </c>
      <c r="G114" s="46"/>
    </row>
    <row r="115" spans="2:7" ht="12">
      <c r="B115" s="47"/>
      <c r="E115" s="38"/>
      <c r="F115" s="59"/>
      <c r="G115" s="46"/>
    </row>
    <row r="116" spans="2:7" ht="18">
      <c r="B116" s="75" t="s">
        <v>75</v>
      </c>
      <c r="C116" s="35"/>
      <c r="D116" s="35"/>
      <c r="E116" s="48"/>
      <c r="F116" s="69">
        <v>0</v>
      </c>
      <c r="G116" s="99">
        <v>0</v>
      </c>
    </row>
    <row r="117" spans="2:7" ht="12">
      <c r="B117" s="47"/>
      <c r="E117" s="38"/>
      <c r="F117" s="59"/>
      <c r="G117" s="46"/>
    </row>
    <row r="118" spans="2:7" ht="18">
      <c r="B118" s="75" t="s">
        <v>76</v>
      </c>
      <c r="C118" s="35"/>
      <c r="D118" s="35"/>
      <c r="E118" s="48"/>
      <c r="F118" s="60"/>
      <c r="G118" s="98">
        <f>F120+F121</f>
        <v>91731.13</v>
      </c>
    </row>
    <row r="119" spans="2:7" ht="12">
      <c r="B119" s="47"/>
      <c r="E119" s="38"/>
      <c r="F119" s="59"/>
      <c r="G119" s="46"/>
    </row>
    <row r="120" spans="2:7" ht="15">
      <c r="B120" s="47"/>
      <c r="C120" s="79" t="s">
        <v>53</v>
      </c>
      <c r="E120" s="38"/>
      <c r="F120" s="66">
        <f>78360.88+20956.45</f>
        <v>99317.33</v>
      </c>
      <c r="G120" s="46"/>
    </row>
    <row r="121" spans="2:7" ht="15">
      <c r="B121" s="47"/>
      <c r="C121" s="79" t="s">
        <v>54</v>
      </c>
      <c r="E121" s="38"/>
      <c r="F121" s="66">
        <v>-7586.2</v>
      </c>
      <c r="G121" s="46"/>
    </row>
    <row r="122" spans="2:7" ht="12">
      <c r="B122" s="47"/>
      <c r="E122" s="38"/>
      <c r="F122" s="59"/>
      <c r="G122" s="46"/>
    </row>
    <row r="123" spans="2:7" ht="12">
      <c r="B123" s="47"/>
      <c r="E123" s="38"/>
      <c r="F123" s="59"/>
      <c r="G123" s="46"/>
    </row>
    <row r="124" spans="2:7" ht="18">
      <c r="B124" s="113" t="s">
        <v>185</v>
      </c>
      <c r="E124" s="38"/>
      <c r="F124" s="59"/>
      <c r="G124" s="101">
        <f>G107+G110+G118</f>
        <v>584191.4299999998</v>
      </c>
    </row>
    <row r="125" spans="2:7" ht="15.75">
      <c r="B125" s="113"/>
      <c r="E125" s="38" t="s">
        <v>186</v>
      </c>
      <c r="F125" s="59"/>
      <c r="G125" s="114">
        <f>SUM(F126:F127)</f>
        <v>377117.66</v>
      </c>
    </row>
    <row r="126" spans="2:7" ht="15.75">
      <c r="B126" s="113"/>
      <c r="E126" s="38" t="s">
        <v>187</v>
      </c>
      <c r="F126" s="66">
        <v>117732.39</v>
      </c>
      <c r="G126" s="46"/>
    </row>
    <row r="127" spans="2:7" ht="15.75">
      <c r="B127" s="113"/>
      <c r="E127" s="38" t="s">
        <v>188</v>
      </c>
      <c r="F127" s="66">
        <v>259385.27</v>
      </c>
      <c r="G127" s="46"/>
    </row>
    <row r="128" spans="2:7" ht="12">
      <c r="B128" s="47"/>
      <c r="E128" s="38"/>
      <c r="F128" s="59"/>
      <c r="G128" s="46"/>
    </row>
    <row r="129" spans="2:9" ht="18">
      <c r="B129" s="31"/>
      <c r="E129" s="100" t="s">
        <v>55</v>
      </c>
      <c r="F129" s="59"/>
      <c r="G129" s="101">
        <f>G124-G125</f>
        <v>207073.76999999984</v>
      </c>
      <c r="I129" s="70"/>
    </row>
    <row r="130" spans="2:7" ht="12">
      <c r="B130" s="49"/>
      <c r="C130" s="50"/>
      <c r="D130" s="50"/>
      <c r="E130" s="51"/>
      <c r="F130" s="52"/>
      <c r="G130" s="53"/>
    </row>
    <row r="135" spans="5:7" ht="15.75">
      <c r="E135" s="103"/>
      <c r="G135" s="107"/>
    </row>
    <row r="137" spans="5:7" ht="15.75">
      <c r="E137" s="103"/>
      <c r="G137" s="107"/>
    </row>
    <row r="139" spans="5:7" ht="18">
      <c r="E139" s="103"/>
      <c r="G139" s="104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67" max="7" man="1"/>
    <brk id="1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">
      <selection activeCell="G21" sqref="G21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49.12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68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1507764.34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763364.0700000001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43</v>
      </c>
      <c r="F21" s="80">
        <f>682489.79+29322.3+16820+34626.98+105</f>
        <v>763364.0700000001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SUM(F28:F31)</f>
        <v>744400.27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41</v>
      </c>
      <c r="F28" s="80">
        <v>706855.65</v>
      </c>
      <c r="G28" s="34"/>
    </row>
    <row r="29" spans="1:7" ht="12.75" customHeight="1">
      <c r="A29" s="21"/>
      <c r="B29" s="28"/>
      <c r="C29" s="76"/>
      <c r="D29" s="78" t="s">
        <v>30</v>
      </c>
      <c r="E29" s="77" t="s">
        <v>190</v>
      </c>
      <c r="F29" s="80">
        <v>23764.19</v>
      </c>
      <c r="G29" s="34"/>
    </row>
    <row r="30" spans="1:7" ht="12.75" customHeight="1">
      <c r="A30" s="21"/>
      <c r="B30" s="28"/>
      <c r="C30" s="76"/>
      <c r="D30" s="78" t="s">
        <v>30</v>
      </c>
      <c r="E30" s="77" t="s">
        <v>44</v>
      </c>
      <c r="F30" s="80">
        <f>1247.09+3720.84</f>
        <v>4967.93</v>
      </c>
      <c r="G30" s="34"/>
    </row>
    <row r="31" spans="1:7" ht="12.75" customHeight="1">
      <c r="A31" s="21"/>
      <c r="B31" s="28"/>
      <c r="C31" s="76"/>
      <c r="D31" s="76" t="s">
        <v>30</v>
      </c>
      <c r="E31" s="76" t="s">
        <v>73</v>
      </c>
      <c r="F31" s="83">
        <v>8812.5</v>
      </c>
      <c r="G31" s="33"/>
    </row>
    <row r="32" spans="1:7" ht="12.75" customHeight="1">
      <c r="A32" s="21"/>
      <c r="B32" s="28"/>
      <c r="C32" s="21"/>
      <c r="D32" s="21"/>
      <c r="E32" s="21"/>
      <c r="F32" s="59"/>
      <c r="G32" s="33"/>
    </row>
    <row r="33" spans="1:7" s="37" customFormat="1" ht="15.75" customHeight="1">
      <c r="A33" s="35"/>
      <c r="B33" s="75" t="s">
        <v>16</v>
      </c>
      <c r="C33" s="35"/>
      <c r="D33" s="35"/>
      <c r="E33" s="36"/>
      <c r="F33" s="60"/>
      <c r="G33" s="84">
        <f>-(F35+F44+F63+F66+F73+F81+F83+F85+F87)</f>
        <v>-1501587.6300000001</v>
      </c>
    </row>
    <row r="34" spans="1:7" ht="12.75" customHeight="1">
      <c r="A34" s="21"/>
      <c r="B34" s="28"/>
      <c r="C34" s="79" t="s">
        <v>17</v>
      </c>
      <c r="D34" s="21"/>
      <c r="F34" s="59" t="s">
        <v>0</v>
      </c>
      <c r="G34" s="33"/>
    </row>
    <row r="35" spans="1:7" ht="12.75" customHeight="1">
      <c r="A35" s="21"/>
      <c r="B35" s="28"/>
      <c r="D35" s="79" t="s">
        <v>18</v>
      </c>
      <c r="E35" s="38"/>
      <c r="F35" s="65">
        <f>SUM(F36:F42)</f>
        <v>126763.45000000001</v>
      </c>
      <c r="G35" s="33"/>
    </row>
    <row r="36" spans="1:7" ht="12.75" customHeight="1">
      <c r="A36" s="21"/>
      <c r="B36" s="28"/>
      <c r="D36" s="21"/>
      <c r="E36" s="85" t="s">
        <v>56</v>
      </c>
      <c r="F36" s="87">
        <v>1497.66</v>
      </c>
      <c r="G36" s="33"/>
    </row>
    <row r="37" spans="1:7" ht="12.75" customHeight="1">
      <c r="A37" s="21"/>
      <c r="B37" s="28"/>
      <c r="D37" s="21"/>
      <c r="E37" s="85" t="s">
        <v>42</v>
      </c>
      <c r="F37" s="87">
        <v>31208.15</v>
      </c>
      <c r="G37" s="33"/>
    </row>
    <row r="38" spans="1:7" ht="12.75" customHeight="1">
      <c r="A38" s="21"/>
      <c r="B38" s="28"/>
      <c r="D38" s="21"/>
      <c r="E38" s="85" t="s">
        <v>65</v>
      </c>
      <c r="F38" s="87">
        <v>22978.95</v>
      </c>
      <c r="G38" s="33"/>
    </row>
    <row r="39" spans="1:7" ht="12.75" customHeight="1">
      <c r="A39" s="21"/>
      <c r="B39" s="28"/>
      <c r="D39" s="21"/>
      <c r="E39" s="85" t="s">
        <v>57</v>
      </c>
      <c r="F39" s="87">
        <f>645.24+763.2+176.41</f>
        <v>1584.8500000000001</v>
      </c>
      <c r="G39" s="33"/>
    </row>
    <row r="40" spans="1:7" ht="12.75" customHeight="1">
      <c r="A40" s="21"/>
      <c r="B40" s="28"/>
      <c r="D40" s="21"/>
      <c r="E40" s="88" t="s">
        <v>45</v>
      </c>
      <c r="F40" s="89">
        <v>4073.65</v>
      </c>
      <c r="G40" s="33"/>
    </row>
    <row r="41" spans="1:7" ht="12.75" customHeight="1">
      <c r="A41" s="21"/>
      <c r="B41" s="28"/>
      <c r="C41" s="21"/>
      <c r="D41" s="21"/>
      <c r="E41" s="85" t="s">
        <v>46</v>
      </c>
      <c r="F41" s="87">
        <v>65420.19</v>
      </c>
      <c r="G41" s="33"/>
    </row>
    <row r="42" spans="1:7" ht="12.75" customHeight="1">
      <c r="A42" s="21"/>
      <c r="B42" s="28"/>
      <c r="D42" s="21"/>
      <c r="E42" s="85"/>
      <c r="F42" s="83"/>
      <c r="G42" s="33"/>
    </row>
    <row r="43" spans="1:7" ht="12.75" customHeight="1">
      <c r="A43" s="21"/>
      <c r="B43" s="28"/>
      <c r="D43" s="21"/>
      <c r="E43" s="38"/>
      <c r="F43" s="62"/>
      <c r="G43" s="33"/>
    </row>
    <row r="44" spans="1:7" ht="12.75" customHeight="1">
      <c r="A44" s="21"/>
      <c r="B44" s="28"/>
      <c r="C44" s="79" t="s">
        <v>19</v>
      </c>
      <c r="D44" s="21"/>
      <c r="E44" s="38"/>
      <c r="F44" s="65">
        <f>SUM(F45:F61)</f>
        <v>969947.2900000002</v>
      </c>
      <c r="G44" s="33"/>
    </row>
    <row r="45" spans="1:7" ht="12.75" customHeight="1">
      <c r="A45" s="21"/>
      <c r="B45" s="28"/>
      <c r="C45" s="21"/>
      <c r="D45" s="21"/>
      <c r="E45" s="85" t="s">
        <v>78</v>
      </c>
      <c r="F45" s="87">
        <v>24510.14</v>
      </c>
      <c r="G45" s="33"/>
    </row>
    <row r="46" spans="1:7" ht="12.75" customHeight="1">
      <c r="A46" s="21"/>
      <c r="B46" s="28"/>
      <c r="C46" s="21"/>
      <c r="D46" s="21"/>
      <c r="E46" s="85" t="s">
        <v>79</v>
      </c>
      <c r="F46" s="87">
        <f>4786.31+757.13</f>
        <v>5543.4400000000005</v>
      </c>
      <c r="G46" s="33"/>
    </row>
    <row r="47" spans="1:7" ht="12.75" customHeight="1">
      <c r="A47" s="21"/>
      <c r="B47" s="28"/>
      <c r="C47" s="21"/>
      <c r="D47" s="21"/>
      <c r="E47" s="85" t="s">
        <v>80</v>
      </c>
      <c r="F47" s="87">
        <f>6599.87+10351.12</f>
        <v>16950.99</v>
      </c>
      <c r="G47" s="33"/>
    </row>
    <row r="48" spans="1:7" ht="12.75" customHeight="1">
      <c r="A48" s="21"/>
      <c r="B48" s="28"/>
      <c r="C48" s="21"/>
      <c r="D48" s="21"/>
      <c r="E48" s="85" t="s">
        <v>83</v>
      </c>
      <c r="F48" s="87">
        <v>3243.05</v>
      </c>
      <c r="G48" s="33"/>
    </row>
    <row r="49" spans="1:7" ht="12.75" customHeight="1">
      <c r="A49" s="21"/>
      <c r="B49" s="28"/>
      <c r="C49" s="21"/>
      <c r="D49" s="21"/>
      <c r="E49" s="85" t="s">
        <v>84</v>
      </c>
      <c r="F49" s="87">
        <v>294</v>
      </c>
      <c r="G49" s="33"/>
    </row>
    <row r="50" spans="1:7" ht="12.75" customHeight="1">
      <c r="A50" s="21"/>
      <c r="B50" s="28"/>
      <c r="C50" s="21"/>
      <c r="D50" s="21"/>
      <c r="E50" s="85" t="s">
        <v>85</v>
      </c>
      <c r="F50" s="87">
        <v>1907</v>
      </c>
      <c r="G50" s="33"/>
    </row>
    <row r="51" spans="1:7" ht="12.75" customHeight="1">
      <c r="A51" s="21"/>
      <c r="B51" s="28"/>
      <c r="C51" s="21"/>
      <c r="D51" s="21"/>
      <c r="E51" s="85" t="s">
        <v>194</v>
      </c>
      <c r="F51" s="87">
        <v>60</v>
      </c>
      <c r="G51" s="33"/>
    </row>
    <row r="52" spans="1:7" ht="12.75" customHeight="1">
      <c r="A52" s="21"/>
      <c r="B52" s="28"/>
      <c r="C52" s="21"/>
      <c r="D52" s="21"/>
      <c r="E52" s="85" t="s">
        <v>89</v>
      </c>
      <c r="F52" s="87">
        <v>900</v>
      </c>
      <c r="G52" s="33"/>
    </row>
    <row r="53" spans="1:7" ht="12.75" customHeight="1">
      <c r="A53" s="21"/>
      <c r="B53" s="28"/>
      <c r="C53" s="21"/>
      <c r="D53" s="21"/>
      <c r="E53" s="85" t="s">
        <v>90</v>
      </c>
      <c r="F53" s="87">
        <v>12761.96</v>
      </c>
      <c r="G53" s="33"/>
    </row>
    <row r="54" spans="1:7" ht="12.75" customHeight="1">
      <c r="A54" s="21"/>
      <c r="B54" s="28"/>
      <c r="C54" s="21"/>
      <c r="D54" s="21"/>
      <c r="E54" s="85" t="s">
        <v>92</v>
      </c>
      <c r="F54" s="87">
        <v>24000</v>
      </c>
      <c r="G54" s="33"/>
    </row>
    <row r="55" spans="1:7" ht="12.75" customHeight="1">
      <c r="A55" s="21"/>
      <c r="B55" s="28"/>
      <c r="C55" s="21"/>
      <c r="D55" s="21"/>
      <c r="E55" s="85" t="s">
        <v>93</v>
      </c>
      <c r="F55" s="87">
        <v>7068.3</v>
      </c>
      <c r="G55" s="33"/>
    </row>
    <row r="56" spans="1:7" ht="12.75" customHeight="1">
      <c r="A56" s="21"/>
      <c r="B56" s="28"/>
      <c r="C56" s="21"/>
      <c r="D56" s="21"/>
      <c r="E56" s="85" t="s">
        <v>95</v>
      </c>
      <c r="F56" s="87">
        <v>1600</v>
      </c>
      <c r="G56" s="33"/>
    </row>
    <row r="57" spans="1:7" s="1" customFormat="1" ht="12.75" customHeight="1">
      <c r="A57" s="56"/>
      <c r="B57" s="57"/>
      <c r="C57" s="63"/>
      <c r="D57" s="63"/>
      <c r="E57" s="88" t="s">
        <v>96</v>
      </c>
      <c r="F57" s="90">
        <v>4500</v>
      </c>
      <c r="G57" s="58"/>
    </row>
    <row r="58" spans="1:7" ht="12.75" customHeight="1">
      <c r="A58" s="21"/>
      <c r="B58" s="28"/>
      <c r="C58" s="21"/>
      <c r="D58" s="21"/>
      <c r="E58" s="85" t="s">
        <v>98</v>
      </c>
      <c r="F58" s="87">
        <v>168954.59</v>
      </c>
      <c r="G58" s="33"/>
    </row>
    <row r="59" spans="1:7" ht="13.5" customHeight="1">
      <c r="A59" s="21"/>
      <c r="B59" s="28"/>
      <c r="C59" s="21"/>
      <c r="D59" s="21"/>
      <c r="E59" s="85" t="s">
        <v>97</v>
      </c>
      <c r="F59" s="87">
        <v>696253.18</v>
      </c>
      <c r="G59" s="33"/>
    </row>
    <row r="60" spans="1:7" ht="12.75" customHeight="1">
      <c r="A60" s="21"/>
      <c r="B60" s="28"/>
      <c r="C60" s="21"/>
      <c r="D60" s="21"/>
      <c r="E60" s="85" t="s">
        <v>99</v>
      </c>
      <c r="F60" s="87">
        <v>1400.64</v>
      </c>
      <c r="G60" s="33"/>
    </row>
    <row r="61" spans="1:7" ht="12.75" customHeight="1">
      <c r="A61" s="21"/>
      <c r="B61" s="28"/>
      <c r="C61" s="21"/>
      <c r="D61" s="21"/>
      <c r="E61" s="85"/>
      <c r="F61" s="90"/>
      <c r="G61" s="61"/>
    </row>
    <row r="62" spans="1:7" ht="12.75" customHeight="1">
      <c r="A62" s="21"/>
      <c r="B62" s="28"/>
      <c r="C62" s="21"/>
      <c r="D62" s="21"/>
      <c r="E62" s="39"/>
      <c r="F62" s="62"/>
      <c r="G62" s="62"/>
    </row>
    <row r="63" spans="1:7" ht="12.75" customHeight="1">
      <c r="A63" s="21"/>
      <c r="B63" s="28"/>
      <c r="C63" s="79" t="s">
        <v>20</v>
      </c>
      <c r="D63" s="21"/>
      <c r="E63" s="38"/>
      <c r="F63" s="64">
        <f>SUM(F64:F64)</f>
        <v>0</v>
      </c>
      <c r="G63" s="33"/>
    </row>
    <row r="64" spans="1:7" ht="12.75" customHeight="1">
      <c r="A64" s="21"/>
      <c r="B64" s="28"/>
      <c r="C64" s="21"/>
      <c r="D64" s="21"/>
      <c r="E64" s="39"/>
      <c r="F64" s="67"/>
      <c r="G64" s="33"/>
    </row>
    <row r="65" spans="1:7" ht="12.75" customHeight="1">
      <c r="A65" s="21"/>
      <c r="B65" s="28"/>
      <c r="C65" s="21"/>
      <c r="D65" s="21"/>
      <c r="E65" s="39"/>
      <c r="F65" s="61"/>
      <c r="G65" s="33"/>
    </row>
    <row r="66" spans="1:7" ht="12.75" customHeight="1">
      <c r="A66" s="21"/>
      <c r="B66" s="28"/>
      <c r="C66" s="79" t="s">
        <v>21</v>
      </c>
      <c r="D66" s="21"/>
      <c r="E66" s="38"/>
      <c r="F66" s="65">
        <f>SUM(F67:F71)</f>
        <v>377711.92</v>
      </c>
      <c r="G66" s="33"/>
    </row>
    <row r="67" spans="1:7" ht="12.75" customHeight="1">
      <c r="A67" s="21"/>
      <c r="B67" s="28"/>
      <c r="D67" s="92" t="s">
        <v>22</v>
      </c>
      <c r="E67" s="41"/>
      <c r="F67" s="90">
        <f>293887.64+6300.48</f>
        <v>300188.12</v>
      </c>
      <c r="G67" s="33"/>
    </row>
    <row r="68" spans="1:7" ht="12.75" customHeight="1">
      <c r="A68" s="21"/>
      <c r="B68" s="28"/>
      <c r="D68" s="92" t="s">
        <v>23</v>
      </c>
      <c r="E68" s="41"/>
      <c r="F68" s="87">
        <f>50193.33+2830.95+1499.52</f>
        <v>54523.799999999996</v>
      </c>
      <c r="G68" s="33"/>
    </row>
    <row r="69" spans="1:7" ht="12.75" customHeight="1">
      <c r="A69" s="21"/>
      <c r="B69" s="28"/>
      <c r="D69" s="92" t="s">
        <v>24</v>
      </c>
      <c r="E69" s="41"/>
      <c r="F69" s="87">
        <v>23000</v>
      </c>
      <c r="G69" s="33"/>
    </row>
    <row r="70" spans="1:7" ht="12.75" customHeight="1">
      <c r="A70" s="21"/>
      <c r="B70" s="28"/>
      <c r="D70" s="92" t="s">
        <v>25</v>
      </c>
      <c r="E70" s="41"/>
      <c r="F70" s="87">
        <v>0</v>
      </c>
      <c r="G70" s="33"/>
    </row>
    <row r="71" spans="1:7" ht="12.75" customHeight="1">
      <c r="A71" s="21"/>
      <c r="B71" s="28"/>
      <c r="D71" s="92" t="s">
        <v>26</v>
      </c>
      <c r="E71" s="41"/>
      <c r="F71" s="87">
        <v>0</v>
      </c>
      <c r="G71" s="33"/>
    </row>
    <row r="72" spans="1:7" ht="12.75" customHeight="1">
      <c r="A72" s="21"/>
      <c r="B72" s="28"/>
      <c r="D72" s="40"/>
      <c r="E72" s="41"/>
      <c r="F72" s="61"/>
      <c r="G72" s="33"/>
    </row>
    <row r="73" spans="1:7" ht="12.75" customHeight="1">
      <c r="A73" s="21"/>
      <c r="B73" s="28"/>
      <c r="C73" s="79" t="s">
        <v>27</v>
      </c>
      <c r="D73" s="21"/>
      <c r="E73" s="38"/>
      <c r="F73" s="65">
        <f>SUM(F74:F78)</f>
        <v>19631.07</v>
      </c>
      <c r="G73" s="33"/>
    </row>
    <row r="74" spans="1:7" ht="12.75" customHeight="1">
      <c r="A74" s="21"/>
      <c r="B74" s="28"/>
      <c r="C74" s="21"/>
      <c r="D74" s="92" t="s">
        <v>28</v>
      </c>
      <c r="E74" s="41"/>
      <c r="F74" s="90">
        <v>5523.38</v>
      </c>
      <c r="G74" s="33"/>
    </row>
    <row r="75" spans="1:7" ht="12.75" customHeight="1">
      <c r="A75" s="21"/>
      <c r="B75" s="28"/>
      <c r="D75" s="92" t="s">
        <v>29</v>
      </c>
      <c r="E75" s="42"/>
      <c r="F75" s="87">
        <v>14107.69</v>
      </c>
      <c r="G75" s="33"/>
    </row>
    <row r="76" spans="1:7" ht="12.75" customHeight="1">
      <c r="A76" s="21"/>
      <c r="B76" s="28"/>
      <c r="D76" s="92" t="s">
        <v>31</v>
      </c>
      <c r="E76" s="41"/>
      <c r="F76" s="87">
        <v>0</v>
      </c>
      <c r="G76" s="33"/>
    </row>
    <row r="77" spans="1:7" ht="12.75" customHeight="1">
      <c r="A77" s="21"/>
      <c r="B77" s="28"/>
      <c r="D77" s="92" t="s">
        <v>32</v>
      </c>
      <c r="E77" s="41"/>
      <c r="F77" s="87"/>
      <c r="G77" s="33"/>
    </row>
    <row r="78" spans="1:7" ht="12.75" customHeight="1">
      <c r="A78" s="21"/>
      <c r="B78" s="28"/>
      <c r="D78" s="40"/>
      <c r="E78" s="93" t="s">
        <v>33</v>
      </c>
      <c r="F78" s="87">
        <v>0</v>
      </c>
      <c r="G78" s="33"/>
    </row>
    <row r="79" spans="1:7" ht="12.75" customHeight="1">
      <c r="A79" s="21"/>
      <c r="B79" s="28"/>
      <c r="D79" s="40"/>
      <c r="E79" s="42"/>
      <c r="F79" s="62"/>
      <c r="G79" s="33"/>
    </row>
    <row r="80" spans="1:7" ht="12.75" customHeight="1">
      <c r="A80" s="21"/>
      <c r="B80" s="28"/>
      <c r="C80" s="79" t="s">
        <v>34</v>
      </c>
      <c r="D80" s="21"/>
      <c r="E80" s="38"/>
      <c r="F80" s="59"/>
      <c r="G80" s="33"/>
    </row>
    <row r="81" spans="1:7" ht="12.75" customHeight="1">
      <c r="A81" s="21"/>
      <c r="B81" s="28"/>
      <c r="D81" s="21"/>
      <c r="E81" s="94" t="s">
        <v>35</v>
      </c>
      <c r="F81" s="66">
        <v>0</v>
      </c>
      <c r="G81" s="33"/>
    </row>
    <row r="82" spans="1:7" ht="12.75" customHeight="1">
      <c r="A82" s="21"/>
      <c r="B82" s="28"/>
      <c r="D82" s="21"/>
      <c r="E82" s="43"/>
      <c r="F82" s="59"/>
      <c r="G82" s="33"/>
    </row>
    <row r="83" spans="1:7" ht="12.75" customHeight="1">
      <c r="A83" s="21"/>
      <c r="B83" s="28"/>
      <c r="C83" s="79" t="s">
        <v>36</v>
      </c>
      <c r="D83" s="21"/>
      <c r="E83" s="38"/>
      <c r="F83" s="66">
        <v>0</v>
      </c>
      <c r="G83" s="33"/>
    </row>
    <row r="84" spans="1:7" ht="12.75" customHeight="1">
      <c r="A84" s="21"/>
      <c r="B84" s="28"/>
      <c r="C84" s="21"/>
      <c r="D84" s="21"/>
      <c r="E84" s="38"/>
      <c r="F84" s="59"/>
      <c r="G84" s="33"/>
    </row>
    <row r="85" spans="1:7" ht="12.75" customHeight="1">
      <c r="A85" s="21"/>
      <c r="B85" s="28"/>
      <c r="C85" s="79" t="s">
        <v>37</v>
      </c>
      <c r="D85" s="21"/>
      <c r="E85" s="38"/>
      <c r="F85" s="66">
        <v>0</v>
      </c>
      <c r="G85" s="33"/>
    </row>
    <row r="86" spans="1:7" ht="12.75" customHeight="1">
      <c r="A86" s="21"/>
      <c r="B86" s="28"/>
      <c r="C86" s="21"/>
      <c r="D86" s="21"/>
      <c r="E86" s="38"/>
      <c r="F86" s="59"/>
      <c r="G86" s="33"/>
    </row>
    <row r="87" spans="1:7" ht="12.75" customHeight="1">
      <c r="A87" s="21"/>
      <c r="B87" s="28"/>
      <c r="C87" s="79" t="s">
        <v>38</v>
      </c>
      <c r="D87" s="21"/>
      <c r="E87" s="38"/>
      <c r="F87" s="66">
        <f>SUM(F88:F90)</f>
        <v>7533.9</v>
      </c>
      <c r="G87" s="33"/>
    </row>
    <row r="88" spans="1:7" ht="12.75" customHeight="1">
      <c r="A88" s="21"/>
      <c r="B88" s="28"/>
      <c r="C88" s="21"/>
      <c r="D88" s="21"/>
      <c r="E88" s="85" t="s">
        <v>100</v>
      </c>
      <c r="F88" s="96">
        <v>1248.9</v>
      </c>
      <c r="G88" s="33"/>
    </row>
    <row r="89" spans="1:7" ht="12.75" customHeight="1">
      <c r="A89" s="21"/>
      <c r="B89" s="28"/>
      <c r="C89" s="21"/>
      <c r="D89" s="21"/>
      <c r="E89" s="85" t="s">
        <v>102</v>
      </c>
      <c r="F89" s="96">
        <v>6000</v>
      </c>
      <c r="G89" s="33"/>
    </row>
    <row r="90" spans="1:7" ht="12.75" customHeight="1">
      <c r="A90" s="21"/>
      <c r="B90" s="28"/>
      <c r="C90" s="21"/>
      <c r="D90" s="21"/>
      <c r="E90" s="85" t="s">
        <v>103</v>
      </c>
      <c r="F90" s="96">
        <v>285</v>
      </c>
      <c r="G90" s="33"/>
    </row>
    <row r="91" spans="1:7" ht="12.75" customHeight="1">
      <c r="A91" s="21"/>
      <c r="B91" s="28"/>
      <c r="C91" s="21"/>
      <c r="D91" s="21"/>
      <c r="E91" s="43"/>
      <c r="F91" s="59" t="s">
        <v>0</v>
      </c>
      <c r="G91" s="33"/>
    </row>
    <row r="92" spans="1:9" ht="16.5" customHeight="1">
      <c r="A92" s="44"/>
      <c r="B92" s="75" t="s">
        <v>39</v>
      </c>
      <c r="C92" s="45"/>
      <c r="D92" s="45"/>
      <c r="E92" s="39"/>
      <c r="F92" s="59" t="s">
        <v>0</v>
      </c>
      <c r="G92" s="98">
        <f>SUM(G19:G90)</f>
        <v>6176.709999999963</v>
      </c>
      <c r="I92" s="70"/>
    </row>
    <row r="93" spans="1:7" ht="12.75" customHeight="1">
      <c r="A93" s="21"/>
      <c r="B93" s="97" t="s">
        <v>40</v>
      </c>
      <c r="C93" s="21"/>
      <c r="D93" s="21"/>
      <c r="E93" s="43"/>
      <c r="F93" s="59" t="s">
        <v>0</v>
      </c>
      <c r="G93" s="46"/>
    </row>
    <row r="94" spans="2:7" ht="12" customHeight="1">
      <c r="B94" s="47"/>
      <c r="E94" s="38"/>
      <c r="F94" s="59" t="s">
        <v>0</v>
      </c>
      <c r="G94" s="46"/>
    </row>
    <row r="95" spans="2:7" ht="16.5" customHeight="1">
      <c r="B95" s="75" t="s">
        <v>52</v>
      </c>
      <c r="C95" s="35"/>
      <c r="D95" s="35"/>
      <c r="E95" s="48"/>
      <c r="F95" s="60"/>
      <c r="G95" s="98">
        <f>SUM(F97:F99)</f>
        <v>0</v>
      </c>
    </row>
    <row r="96" spans="2:7" ht="12">
      <c r="B96" s="47"/>
      <c r="E96" s="38"/>
      <c r="F96" s="59"/>
      <c r="G96" s="46"/>
    </row>
    <row r="97" spans="2:7" ht="15">
      <c r="B97" s="28"/>
      <c r="C97" s="79" t="s">
        <v>49</v>
      </c>
      <c r="D97" s="21"/>
      <c r="E97" s="38"/>
      <c r="F97" s="64">
        <v>0</v>
      </c>
      <c r="G97" s="46"/>
    </row>
    <row r="98" spans="2:7" ht="15">
      <c r="B98" s="47"/>
      <c r="C98" s="79" t="s">
        <v>50</v>
      </c>
      <c r="E98" s="38"/>
      <c r="F98" s="71">
        <v>0</v>
      </c>
      <c r="G98" s="46"/>
    </row>
    <row r="99" spans="2:7" ht="15">
      <c r="B99" s="47"/>
      <c r="C99" s="79" t="s">
        <v>51</v>
      </c>
      <c r="E99" s="38"/>
      <c r="F99" s="66">
        <v>0</v>
      </c>
      <c r="G99" s="46"/>
    </row>
    <row r="100" spans="2:7" ht="12">
      <c r="B100" s="47"/>
      <c r="E100" s="38"/>
      <c r="F100" s="59"/>
      <c r="G100" s="46"/>
    </row>
    <row r="101" spans="2:7" ht="18">
      <c r="B101" s="75" t="s">
        <v>75</v>
      </c>
      <c r="C101" s="35"/>
      <c r="D101" s="35"/>
      <c r="E101" s="48"/>
      <c r="F101" s="69">
        <v>0</v>
      </c>
      <c r="G101" s="99">
        <v>0</v>
      </c>
    </row>
    <row r="102" spans="2:7" ht="12">
      <c r="B102" s="47"/>
      <c r="E102" s="38"/>
      <c r="F102" s="59"/>
      <c r="G102" s="46"/>
    </row>
    <row r="103" spans="2:7" ht="18">
      <c r="B103" s="75" t="s">
        <v>76</v>
      </c>
      <c r="C103" s="35"/>
      <c r="D103" s="35"/>
      <c r="E103" s="48"/>
      <c r="F103" s="60"/>
      <c r="G103" s="98">
        <f>F105-F106</f>
        <v>0</v>
      </c>
    </row>
    <row r="104" spans="2:7" ht="12">
      <c r="B104" s="47"/>
      <c r="E104" s="38"/>
      <c r="F104" s="59"/>
      <c r="G104" s="46"/>
    </row>
    <row r="105" spans="2:7" ht="14.25">
      <c r="B105" s="47"/>
      <c r="C105" s="79" t="s">
        <v>53</v>
      </c>
      <c r="E105" s="38"/>
      <c r="F105" s="68">
        <v>0</v>
      </c>
      <c r="G105" s="46"/>
    </row>
    <row r="106" spans="2:7" ht="14.25">
      <c r="B106" s="47"/>
      <c r="C106" s="79" t="s">
        <v>54</v>
      </c>
      <c r="E106" s="38"/>
      <c r="F106" s="68">
        <v>0</v>
      </c>
      <c r="G106" s="46"/>
    </row>
    <row r="107" spans="2:7" ht="12">
      <c r="B107" s="47"/>
      <c r="E107" s="38"/>
      <c r="F107" s="59"/>
      <c r="G107" s="46"/>
    </row>
    <row r="108" spans="2:7" ht="12">
      <c r="B108" s="47"/>
      <c r="E108" s="38"/>
      <c r="F108" s="59"/>
      <c r="G108" s="46"/>
    </row>
    <row r="109" spans="2:9" ht="18">
      <c r="B109" s="31"/>
      <c r="E109" s="100" t="s">
        <v>55</v>
      </c>
      <c r="F109" s="59"/>
      <c r="G109" s="101">
        <f>G92+G95+G101+G103</f>
        <v>6176.709999999963</v>
      </c>
      <c r="I109" s="70"/>
    </row>
    <row r="110" spans="2:7" ht="12">
      <c r="B110" s="49"/>
      <c r="C110" s="50"/>
      <c r="D110" s="50"/>
      <c r="E110" s="51"/>
      <c r="F110" s="52"/>
      <c r="G110" s="53"/>
    </row>
    <row r="115" spans="5:7" ht="15.75">
      <c r="E115" s="103" t="s">
        <v>111</v>
      </c>
      <c r="G115" s="107">
        <f>828267.98*19.21/100</f>
        <v>159110.278958</v>
      </c>
    </row>
    <row r="117" spans="5:7" ht="15.75">
      <c r="E117" s="103" t="s">
        <v>112</v>
      </c>
      <c r="G117" s="107">
        <f>-952694.23*19.21/100-0.86</f>
        <v>-183013.421583</v>
      </c>
    </row>
    <row r="119" spans="5:7" ht="18">
      <c r="E119" s="103" t="s">
        <v>104</v>
      </c>
      <c r="G119" s="104">
        <f>SUM(G109:G117)</f>
        <v>-17726.432625000016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6"/>
  <sheetViews>
    <sheetView workbookViewId="0" topLeftCell="A4">
      <selection activeCell="G10" sqref="G10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49.12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72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57634.74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57020.5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105</v>
      </c>
      <c r="F21" s="80">
        <v>57020.5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SUM(F28:F28)</f>
        <v>614.24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44</v>
      </c>
      <c r="F28" s="80">
        <f>535.76+78.48</f>
        <v>614.24</v>
      </c>
      <c r="G28" s="34"/>
    </row>
    <row r="29" spans="1:7" ht="12.75" customHeight="1">
      <c r="A29" s="21"/>
      <c r="B29" s="28"/>
      <c r="C29" s="21"/>
      <c r="D29" s="21"/>
      <c r="E29" s="21"/>
      <c r="F29" s="59"/>
      <c r="G29" s="33"/>
    </row>
    <row r="30" spans="1:7" s="37" customFormat="1" ht="15.75" customHeight="1">
      <c r="A30" s="35"/>
      <c r="B30" s="75" t="s">
        <v>16</v>
      </c>
      <c r="C30" s="35"/>
      <c r="D30" s="35"/>
      <c r="E30" s="36"/>
      <c r="F30" s="60"/>
      <c r="G30" s="84">
        <f>-(F32+F39+F50+F54+F61+F69+F71+F73+F75)</f>
        <v>-64177.649999999994</v>
      </c>
    </row>
    <row r="31" spans="1:7" ht="12.75" customHeight="1">
      <c r="A31" s="21"/>
      <c r="B31" s="28"/>
      <c r="C31" s="79" t="s">
        <v>17</v>
      </c>
      <c r="D31" s="21"/>
      <c r="F31" s="59" t="s">
        <v>0</v>
      </c>
      <c r="G31" s="33"/>
    </row>
    <row r="32" spans="1:7" ht="12.75" customHeight="1">
      <c r="A32" s="21"/>
      <c r="B32" s="28"/>
      <c r="D32" s="79" t="s">
        <v>18</v>
      </c>
      <c r="E32" s="38"/>
      <c r="F32" s="65">
        <f>SUM(F33:F37)</f>
        <v>9314.99</v>
      </c>
      <c r="G32" s="33"/>
    </row>
    <row r="33" spans="1:7" ht="12.75" customHeight="1">
      <c r="A33" s="21"/>
      <c r="B33" s="28"/>
      <c r="D33" s="21"/>
      <c r="E33" s="85" t="s">
        <v>56</v>
      </c>
      <c r="F33" s="87">
        <v>552.96</v>
      </c>
      <c r="G33" s="33"/>
    </row>
    <row r="34" spans="1:7" ht="12.75" customHeight="1">
      <c r="A34" s="21"/>
      <c r="B34" s="28"/>
      <c r="D34" s="21"/>
      <c r="E34" s="85" t="s">
        <v>57</v>
      </c>
      <c r="F34" s="87">
        <v>958.56</v>
      </c>
      <c r="G34" s="33"/>
    </row>
    <row r="35" spans="1:7" ht="12.75" customHeight="1">
      <c r="A35" s="21"/>
      <c r="B35" s="28"/>
      <c r="D35" s="21"/>
      <c r="E35" s="85" t="s">
        <v>195</v>
      </c>
      <c r="F35" s="96">
        <v>10.5</v>
      </c>
      <c r="G35" s="33"/>
    </row>
    <row r="36" spans="1:7" ht="12.75" customHeight="1">
      <c r="A36" s="21"/>
      <c r="B36" s="28"/>
      <c r="D36" s="21"/>
      <c r="E36" s="85" t="s">
        <v>46</v>
      </c>
      <c r="F36" s="96">
        <v>7792.97</v>
      </c>
      <c r="G36" s="33"/>
    </row>
    <row r="37" spans="1:7" ht="12.75" customHeight="1">
      <c r="A37" s="21"/>
      <c r="B37" s="28"/>
      <c r="D37" s="21"/>
      <c r="E37" s="85"/>
      <c r="F37" s="83"/>
      <c r="G37" s="33"/>
    </row>
    <row r="38" spans="1:7" ht="12.75" customHeight="1">
      <c r="A38" s="21"/>
      <c r="B38" s="28"/>
      <c r="D38" s="21"/>
      <c r="E38" s="38"/>
      <c r="F38" s="62"/>
      <c r="G38" s="33"/>
    </row>
    <row r="39" spans="1:7" ht="12.75" customHeight="1">
      <c r="A39" s="21"/>
      <c r="B39" s="28"/>
      <c r="C39" s="79" t="s">
        <v>19</v>
      </c>
      <c r="D39" s="21"/>
      <c r="E39" s="38"/>
      <c r="F39" s="65">
        <f>SUM(F40:F47)</f>
        <v>15252.31</v>
      </c>
      <c r="G39" s="33"/>
    </row>
    <row r="40" spans="1:7" ht="12.75" customHeight="1">
      <c r="A40" s="21"/>
      <c r="B40" s="28"/>
      <c r="C40" s="79"/>
      <c r="D40" s="21"/>
      <c r="E40" s="38" t="s">
        <v>196</v>
      </c>
      <c r="F40" s="86">
        <v>4171.94</v>
      </c>
      <c r="G40" s="33"/>
    </row>
    <row r="41" spans="1:7" ht="12.75" customHeight="1">
      <c r="A41" s="21"/>
      <c r="B41" s="28"/>
      <c r="C41" s="79"/>
      <c r="D41" s="21"/>
      <c r="E41" s="38" t="s">
        <v>197</v>
      </c>
      <c r="F41" s="86">
        <f>2811.96+444.81</f>
        <v>3256.77</v>
      </c>
      <c r="G41" s="33"/>
    </row>
    <row r="42" spans="1:7" ht="12.75" customHeight="1">
      <c r="A42" s="21"/>
      <c r="B42" s="28"/>
      <c r="C42" s="21"/>
      <c r="D42" s="21"/>
      <c r="E42" s="85" t="s">
        <v>80</v>
      </c>
      <c r="F42" s="87">
        <f>1181.6+1028</f>
        <v>2209.6</v>
      </c>
      <c r="G42" s="33"/>
    </row>
    <row r="43" spans="1:256" ht="12.75" customHeight="1">
      <c r="A43" s="85"/>
      <c r="B43" s="77"/>
      <c r="C43" s="77"/>
      <c r="D43" s="77"/>
      <c r="E43" s="85" t="s">
        <v>81</v>
      </c>
      <c r="F43" s="105">
        <v>480</v>
      </c>
      <c r="G43" s="85"/>
      <c r="H43" s="77"/>
      <c r="I43" s="77"/>
      <c r="J43" s="77"/>
      <c r="K43" s="77"/>
      <c r="L43" s="77"/>
      <c r="M43" s="77"/>
      <c r="N43" s="77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 t="s">
        <v>81</v>
      </c>
      <c r="BE43" s="85" t="s">
        <v>81</v>
      </c>
      <c r="BF43" s="85" t="s">
        <v>81</v>
      </c>
      <c r="BG43" s="85" t="s">
        <v>81</v>
      </c>
      <c r="BH43" s="85" t="s">
        <v>81</v>
      </c>
      <c r="BI43" s="85" t="s">
        <v>81</v>
      </c>
      <c r="BJ43" s="85" t="s">
        <v>81</v>
      </c>
      <c r="BK43" s="85" t="s">
        <v>81</v>
      </c>
      <c r="BL43" s="85" t="s">
        <v>81</v>
      </c>
      <c r="BM43" s="85" t="s">
        <v>81</v>
      </c>
      <c r="BN43" s="85" t="s">
        <v>81</v>
      </c>
      <c r="BO43" s="85" t="s">
        <v>81</v>
      </c>
      <c r="BP43" s="85" t="s">
        <v>81</v>
      </c>
      <c r="BQ43" s="85" t="s">
        <v>81</v>
      </c>
      <c r="BR43" s="85" t="s">
        <v>81</v>
      </c>
      <c r="BS43" s="85" t="s">
        <v>81</v>
      </c>
      <c r="BT43" s="85" t="s">
        <v>81</v>
      </c>
      <c r="BU43" s="85" t="s">
        <v>81</v>
      </c>
      <c r="BV43" s="85" t="s">
        <v>81</v>
      </c>
      <c r="BW43" s="85" t="s">
        <v>81</v>
      </c>
      <c r="BX43" s="85" t="s">
        <v>81</v>
      </c>
      <c r="BY43" s="85" t="s">
        <v>81</v>
      </c>
      <c r="BZ43" s="85" t="s">
        <v>81</v>
      </c>
      <c r="CA43" s="85" t="s">
        <v>81</v>
      </c>
      <c r="CB43" s="85" t="s">
        <v>81</v>
      </c>
      <c r="CC43" s="85" t="s">
        <v>81</v>
      </c>
      <c r="CD43" s="85" t="s">
        <v>81</v>
      </c>
      <c r="CE43" s="85" t="s">
        <v>81</v>
      </c>
      <c r="CF43" s="85" t="s">
        <v>81</v>
      </c>
      <c r="CG43" s="85" t="s">
        <v>81</v>
      </c>
      <c r="CH43" s="85" t="s">
        <v>81</v>
      </c>
      <c r="CI43" s="85" t="s">
        <v>81</v>
      </c>
      <c r="CJ43" s="85" t="s">
        <v>81</v>
      </c>
      <c r="CK43" s="85" t="s">
        <v>81</v>
      </c>
      <c r="CL43" s="85" t="s">
        <v>81</v>
      </c>
      <c r="CM43" s="85" t="s">
        <v>81</v>
      </c>
      <c r="CN43" s="85" t="s">
        <v>81</v>
      </c>
      <c r="CO43" s="85" t="s">
        <v>81</v>
      </c>
      <c r="CP43" s="85" t="s">
        <v>81</v>
      </c>
      <c r="CQ43" s="85" t="s">
        <v>81</v>
      </c>
      <c r="CR43" s="85" t="s">
        <v>81</v>
      </c>
      <c r="CS43" s="85" t="s">
        <v>81</v>
      </c>
      <c r="CT43" s="85" t="s">
        <v>81</v>
      </c>
      <c r="CU43" s="85" t="s">
        <v>81</v>
      </c>
      <c r="CV43" s="85" t="s">
        <v>81</v>
      </c>
      <c r="CW43" s="85" t="s">
        <v>81</v>
      </c>
      <c r="CX43" s="85" t="s">
        <v>81</v>
      </c>
      <c r="CY43" s="85" t="s">
        <v>81</v>
      </c>
      <c r="CZ43" s="85" t="s">
        <v>81</v>
      </c>
      <c r="DA43" s="85" t="s">
        <v>81</v>
      </c>
      <c r="DB43" s="85" t="s">
        <v>81</v>
      </c>
      <c r="DC43" s="85" t="s">
        <v>81</v>
      </c>
      <c r="DD43" s="85" t="s">
        <v>81</v>
      </c>
      <c r="DE43" s="85" t="s">
        <v>81</v>
      </c>
      <c r="DF43" s="85" t="s">
        <v>81</v>
      </c>
      <c r="DG43" s="85" t="s">
        <v>81</v>
      </c>
      <c r="DH43" s="85" t="s">
        <v>81</v>
      </c>
      <c r="DI43" s="85" t="s">
        <v>81</v>
      </c>
      <c r="DJ43" s="85" t="s">
        <v>81</v>
      </c>
      <c r="DK43" s="85" t="s">
        <v>81</v>
      </c>
      <c r="DL43" s="85" t="s">
        <v>81</v>
      </c>
      <c r="DM43" s="85" t="s">
        <v>81</v>
      </c>
      <c r="DN43" s="85" t="s">
        <v>81</v>
      </c>
      <c r="DO43" s="85" t="s">
        <v>81</v>
      </c>
      <c r="DP43" s="85" t="s">
        <v>81</v>
      </c>
      <c r="DQ43" s="85" t="s">
        <v>81</v>
      </c>
      <c r="DR43" s="85" t="s">
        <v>81</v>
      </c>
      <c r="DS43" s="85" t="s">
        <v>81</v>
      </c>
      <c r="DT43" s="85" t="s">
        <v>81</v>
      </c>
      <c r="DU43" s="85" t="s">
        <v>81</v>
      </c>
      <c r="DV43" s="85" t="s">
        <v>81</v>
      </c>
      <c r="DW43" s="85" t="s">
        <v>81</v>
      </c>
      <c r="DX43" s="85" t="s">
        <v>81</v>
      </c>
      <c r="DY43" s="85" t="s">
        <v>81</v>
      </c>
      <c r="DZ43" s="85" t="s">
        <v>81</v>
      </c>
      <c r="EA43" s="85" t="s">
        <v>81</v>
      </c>
      <c r="EB43" s="85" t="s">
        <v>81</v>
      </c>
      <c r="EC43" s="85" t="s">
        <v>81</v>
      </c>
      <c r="ED43" s="85" t="s">
        <v>81</v>
      </c>
      <c r="EE43" s="85" t="s">
        <v>81</v>
      </c>
      <c r="EF43" s="85" t="s">
        <v>81</v>
      </c>
      <c r="EG43" s="85" t="s">
        <v>81</v>
      </c>
      <c r="EH43" s="85" t="s">
        <v>81</v>
      </c>
      <c r="EI43" s="85" t="s">
        <v>81</v>
      </c>
      <c r="EJ43" s="85" t="s">
        <v>81</v>
      </c>
      <c r="EK43" s="85" t="s">
        <v>81</v>
      </c>
      <c r="EL43" s="85" t="s">
        <v>81</v>
      </c>
      <c r="EM43" s="85" t="s">
        <v>81</v>
      </c>
      <c r="EN43" s="85" t="s">
        <v>81</v>
      </c>
      <c r="EO43" s="85" t="s">
        <v>81</v>
      </c>
      <c r="EP43" s="85" t="s">
        <v>81</v>
      </c>
      <c r="EQ43" s="85" t="s">
        <v>81</v>
      </c>
      <c r="ER43" s="85" t="s">
        <v>81</v>
      </c>
      <c r="ES43" s="85" t="s">
        <v>81</v>
      </c>
      <c r="ET43" s="85" t="s">
        <v>81</v>
      </c>
      <c r="EU43" s="85" t="s">
        <v>81</v>
      </c>
      <c r="EV43" s="85" t="s">
        <v>81</v>
      </c>
      <c r="EW43" s="85" t="s">
        <v>81</v>
      </c>
      <c r="EX43" s="85" t="s">
        <v>81</v>
      </c>
      <c r="EY43" s="85" t="s">
        <v>81</v>
      </c>
      <c r="EZ43" s="85" t="s">
        <v>81</v>
      </c>
      <c r="FA43" s="85" t="s">
        <v>81</v>
      </c>
      <c r="FB43" s="85" t="s">
        <v>81</v>
      </c>
      <c r="FC43" s="85" t="s">
        <v>81</v>
      </c>
      <c r="FD43" s="85" t="s">
        <v>81</v>
      </c>
      <c r="FE43" s="85" t="s">
        <v>81</v>
      </c>
      <c r="FF43" s="85" t="s">
        <v>81</v>
      </c>
      <c r="FG43" s="85" t="s">
        <v>81</v>
      </c>
      <c r="FH43" s="85" t="s">
        <v>81</v>
      </c>
      <c r="FI43" s="85" t="s">
        <v>81</v>
      </c>
      <c r="FJ43" s="85" t="s">
        <v>81</v>
      </c>
      <c r="FK43" s="85" t="s">
        <v>81</v>
      </c>
      <c r="FL43" s="85" t="s">
        <v>81</v>
      </c>
      <c r="FM43" s="85" t="s">
        <v>81</v>
      </c>
      <c r="FN43" s="85" t="s">
        <v>81</v>
      </c>
      <c r="FO43" s="85" t="s">
        <v>81</v>
      </c>
      <c r="FP43" s="85" t="s">
        <v>81</v>
      </c>
      <c r="FQ43" s="85" t="s">
        <v>81</v>
      </c>
      <c r="FR43" s="85" t="s">
        <v>81</v>
      </c>
      <c r="FS43" s="85" t="s">
        <v>81</v>
      </c>
      <c r="FT43" s="85" t="s">
        <v>81</v>
      </c>
      <c r="FU43" s="85" t="s">
        <v>81</v>
      </c>
      <c r="FV43" s="85" t="s">
        <v>81</v>
      </c>
      <c r="FW43" s="85" t="s">
        <v>81</v>
      </c>
      <c r="FX43" s="85" t="s">
        <v>81</v>
      </c>
      <c r="FY43" s="85" t="s">
        <v>81</v>
      </c>
      <c r="FZ43" s="85" t="s">
        <v>81</v>
      </c>
      <c r="GA43" s="85" t="s">
        <v>81</v>
      </c>
      <c r="GB43" s="85" t="s">
        <v>81</v>
      </c>
      <c r="GC43" s="85" t="s">
        <v>81</v>
      </c>
      <c r="GD43" s="85" t="s">
        <v>81</v>
      </c>
      <c r="GE43" s="85" t="s">
        <v>81</v>
      </c>
      <c r="GF43" s="85" t="s">
        <v>81</v>
      </c>
      <c r="GG43" s="85" t="s">
        <v>81</v>
      </c>
      <c r="GH43" s="85" t="s">
        <v>81</v>
      </c>
      <c r="GI43" s="85" t="s">
        <v>81</v>
      </c>
      <c r="GJ43" s="85" t="s">
        <v>81</v>
      </c>
      <c r="GK43" s="85" t="s">
        <v>81</v>
      </c>
      <c r="GL43" s="85" t="s">
        <v>81</v>
      </c>
      <c r="GM43" s="85" t="s">
        <v>81</v>
      </c>
      <c r="GN43" s="85" t="s">
        <v>81</v>
      </c>
      <c r="GO43" s="85" t="s">
        <v>81</v>
      </c>
      <c r="GP43" s="85" t="s">
        <v>81</v>
      </c>
      <c r="GQ43" s="85" t="s">
        <v>81</v>
      </c>
      <c r="GR43" s="85" t="s">
        <v>81</v>
      </c>
      <c r="GS43" s="85" t="s">
        <v>81</v>
      </c>
      <c r="GT43" s="85" t="s">
        <v>81</v>
      </c>
      <c r="GU43" s="85" t="s">
        <v>81</v>
      </c>
      <c r="GV43" s="85" t="s">
        <v>81</v>
      </c>
      <c r="GW43" s="85" t="s">
        <v>81</v>
      </c>
      <c r="GX43" s="85" t="s">
        <v>81</v>
      </c>
      <c r="GY43" s="85" t="s">
        <v>81</v>
      </c>
      <c r="GZ43" s="85" t="s">
        <v>81</v>
      </c>
      <c r="HA43" s="85" t="s">
        <v>81</v>
      </c>
      <c r="HB43" s="85" t="s">
        <v>81</v>
      </c>
      <c r="HC43" s="85" t="s">
        <v>81</v>
      </c>
      <c r="HD43" s="85" t="s">
        <v>81</v>
      </c>
      <c r="HE43" s="85" t="s">
        <v>81</v>
      </c>
      <c r="HF43" s="85" t="s">
        <v>81</v>
      </c>
      <c r="HG43" s="85" t="s">
        <v>81</v>
      </c>
      <c r="HH43" s="85" t="s">
        <v>81</v>
      </c>
      <c r="HI43" s="85" t="s">
        <v>81</v>
      </c>
      <c r="HJ43" s="85" t="s">
        <v>81</v>
      </c>
      <c r="HK43" s="85" t="s">
        <v>81</v>
      </c>
      <c r="HL43" s="85" t="s">
        <v>81</v>
      </c>
      <c r="HM43" s="85" t="s">
        <v>81</v>
      </c>
      <c r="HN43" s="85" t="s">
        <v>81</v>
      </c>
      <c r="HO43" s="85" t="s">
        <v>81</v>
      </c>
      <c r="HP43" s="85" t="s">
        <v>81</v>
      </c>
      <c r="HQ43" s="85" t="s">
        <v>81</v>
      </c>
      <c r="HR43" s="85" t="s">
        <v>81</v>
      </c>
      <c r="HS43" s="85" t="s">
        <v>81</v>
      </c>
      <c r="HT43" s="85" t="s">
        <v>81</v>
      </c>
      <c r="HU43" s="85" t="s">
        <v>81</v>
      </c>
      <c r="HV43" s="85" t="s">
        <v>81</v>
      </c>
      <c r="HW43" s="85" t="s">
        <v>81</v>
      </c>
      <c r="HX43" s="85" t="s">
        <v>81</v>
      </c>
      <c r="HY43" s="85" t="s">
        <v>81</v>
      </c>
      <c r="HZ43" s="85" t="s">
        <v>81</v>
      </c>
      <c r="IA43" s="85" t="s">
        <v>81</v>
      </c>
      <c r="IB43" s="85" t="s">
        <v>81</v>
      </c>
      <c r="IC43" s="85" t="s">
        <v>81</v>
      </c>
      <c r="ID43" s="85" t="s">
        <v>81</v>
      </c>
      <c r="IE43" s="85" t="s">
        <v>81</v>
      </c>
      <c r="IF43" s="85" t="s">
        <v>81</v>
      </c>
      <c r="IG43" s="85" t="s">
        <v>81</v>
      </c>
      <c r="IH43" s="85" t="s">
        <v>81</v>
      </c>
      <c r="II43" s="85" t="s">
        <v>81</v>
      </c>
      <c r="IJ43" s="85" t="s">
        <v>81</v>
      </c>
      <c r="IK43" s="85" t="s">
        <v>81</v>
      </c>
      <c r="IL43" s="85" t="s">
        <v>81</v>
      </c>
      <c r="IM43" s="85" t="s">
        <v>81</v>
      </c>
      <c r="IN43" s="85" t="s">
        <v>81</v>
      </c>
      <c r="IO43" s="85" t="s">
        <v>81</v>
      </c>
      <c r="IP43" s="85" t="s">
        <v>81</v>
      </c>
      <c r="IQ43" s="85" t="s">
        <v>81</v>
      </c>
      <c r="IR43" s="85" t="s">
        <v>81</v>
      </c>
      <c r="IS43" s="85" t="s">
        <v>81</v>
      </c>
      <c r="IT43" s="85" t="s">
        <v>81</v>
      </c>
      <c r="IU43" s="85" t="s">
        <v>81</v>
      </c>
      <c r="IV43" s="85" t="s">
        <v>81</v>
      </c>
    </row>
    <row r="44" spans="1:256" ht="12.75" customHeight="1">
      <c r="A44" s="77"/>
      <c r="B44" s="77"/>
      <c r="C44" s="77"/>
      <c r="D44" s="77"/>
      <c r="E44" s="85" t="s">
        <v>83</v>
      </c>
      <c r="F44" s="106">
        <v>1370</v>
      </c>
      <c r="G44" s="85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7" ht="12.75" customHeight="1">
      <c r="A45" s="21"/>
      <c r="B45" s="28"/>
      <c r="C45" s="21"/>
      <c r="D45" s="21"/>
      <c r="E45" s="85" t="s">
        <v>84</v>
      </c>
      <c r="F45" s="87">
        <v>64</v>
      </c>
      <c r="G45" s="33"/>
    </row>
    <row r="46" spans="1:7" ht="12.75" customHeight="1">
      <c r="A46" s="21"/>
      <c r="B46" s="28"/>
      <c r="C46" s="21"/>
      <c r="D46" s="21"/>
      <c r="E46" s="85" t="s">
        <v>95</v>
      </c>
      <c r="F46" s="87">
        <v>2200</v>
      </c>
      <c r="G46" s="33"/>
    </row>
    <row r="47" spans="1:7" s="1" customFormat="1" ht="12.75" customHeight="1">
      <c r="A47" s="56"/>
      <c r="B47" s="57"/>
      <c r="C47" s="63"/>
      <c r="D47" s="63"/>
      <c r="E47" s="88" t="s">
        <v>96</v>
      </c>
      <c r="F47" s="90">
        <v>1500</v>
      </c>
      <c r="G47" s="58"/>
    </row>
    <row r="48" spans="1:7" ht="12.75" customHeight="1">
      <c r="A48" s="21"/>
      <c r="B48" s="28"/>
      <c r="C48" s="21"/>
      <c r="D48" s="21"/>
      <c r="E48" s="85"/>
      <c r="F48" s="90"/>
      <c r="G48" s="61"/>
    </row>
    <row r="49" spans="1:7" ht="12.75" customHeight="1">
      <c r="A49" s="21"/>
      <c r="B49" s="28"/>
      <c r="C49" s="21"/>
      <c r="D49" s="21"/>
      <c r="E49" s="39"/>
      <c r="F49" s="62"/>
      <c r="G49" s="62"/>
    </row>
    <row r="50" spans="1:7" ht="12.75" customHeight="1">
      <c r="A50" s="21"/>
      <c r="B50" s="28"/>
      <c r="C50" s="79" t="s">
        <v>20</v>
      </c>
      <c r="D50" s="21"/>
      <c r="E50" s="38"/>
      <c r="F50" s="64">
        <f>SUM(F51:F52)</f>
        <v>0</v>
      </c>
      <c r="G50" s="33"/>
    </row>
    <row r="51" spans="1:7" ht="12.75" customHeight="1">
      <c r="A51" s="21"/>
      <c r="B51" s="28"/>
      <c r="C51" s="21"/>
      <c r="D51" s="21"/>
      <c r="E51" s="39"/>
      <c r="F51" s="87"/>
      <c r="G51" s="33"/>
    </row>
    <row r="52" spans="1:7" ht="12.75" customHeight="1">
      <c r="A52" s="21"/>
      <c r="B52" s="28"/>
      <c r="C52" s="21"/>
      <c r="D52" s="21"/>
      <c r="E52" s="39"/>
      <c r="F52" s="67"/>
      <c r="G52" s="33"/>
    </row>
    <row r="53" spans="1:7" ht="12.75" customHeight="1">
      <c r="A53" s="21"/>
      <c r="B53" s="28"/>
      <c r="C53" s="21"/>
      <c r="D53" s="21"/>
      <c r="E53" s="39"/>
      <c r="F53" s="61"/>
      <c r="G53" s="33"/>
    </row>
    <row r="54" spans="1:7" ht="12.75" customHeight="1">
      <c r="A54" s="21"/>
      <c r="B54" s="28"/>
      <c r="C54" s="79" t="s">
        <v>21</v>
      </c>
      <c r="D54" s="21"/>
      <c r="E54" s="38"/>
      <c r="F54" s="65">
        <f>SUM(F55:F59)</f>
        <v>34438.35</v>
      </c>
      <c r="G54" s="33"/>
    </row>
    <row r="55" spans="1:7" ht="12.75" customHeight="1">
      <c r="A55" s="21"/>
      <c r="B55" s="28"/>
      <c r="D55" s="92" t="s">
        <v>22</v>
      </c>
      <c r="E55" s="41"/>
      <c r="F55" s="90">
        <f>20000+8820.68</f>
        <v>28820.68</v>
      </c>
      <c r="G55" s="33"/>
    </row>
    <row r="56" spans="1:7" ht="12.75" customHeight="1">
      <c r="A56" s="21"/>
      <c r="B56" s="28"/>
      <c r="D56" s="92" t="s">
        <v>23</v>
      </c>
      <c r="E56" s="41"/>
      <c r="F56" s="87">
        <f>1711.34+1029.44</f>
        <v>2740.7799999999997</v>
      </c>
      <c r="G56" s="33"/>
    </row>
    <row r="57" spans="1:7" ht="12.75" customHeight="1">
      <c r="A57" s="21"/>
      <c r="B57" s="28"/>
      <c r="D57" s="92" t="s">
        <v>24</v>
      </c>
      <c r="E57" s="41"/>
      <c r="F57" s="87">
        <v>2099.32</v>
      </c>
      <c r="G57" s="33"/>
    </row>
    <row r="58" spans="1:7" ht="12.75" customHeight="1">
      <c r="A58" s="21"/>
      <c r="B58" s="28"/>
      <c r="D58" s="92" t="s">
        <v>25</v>
      </c>
      <c r="E58" s="41"/>
      <c r="F58" s="87">
        <v>0</v>
      </c>
      <c r="G58" s="33"/>
    </row>
    <row r="59" spans="1:7" ht="12.75" customHeight="1">
      <c r="A59" s="21"/>
      <c r="B59" s="28"/>
      <c r="D59" s="92" t="s">
        <v>26</v>
      </c>
      <c r="E59" s="41"/>
      <c r="F59" s="87">
        <v>777.57</v>
      </c>
      <c r="G59" s="33"/>
    </row>
    <row r="60" spans="1:7" ht="12.75" customHeight="1">
      <c r="A60" s="21"/>
      <c r="B60" s="28"/>
      <c r="D60" s="40"/>
      <c r="E60" s="41"/>
      <c r="F60" s="61"/>
      <c r="G60" s="33"/>
    </row>
    <row r="61" spans="1:7" ht="12.75" customHeight="1">
      <c r="A61" s="21"/>
      <c r="B61" s="28"/>
      <c r="C61" s="79" t="s">
        <v>27</v>
      </c>
      <c r="D61" s="21"/>
      <c r="E61" s="38"/>
      <c r="F61" s="65">
        <f>SUM(F62:F66)</f>
        <v>3864</v>
      </c>
      <c r="G61" s="33"/>
    </row>
    <row r="62" spans="1:7" ht="12.75" customHeight="1">
      <c r="A62" s="21"/>
      <c r="B62" s="28"/>
      <c r="C62" s="21"/>
      <c r="D62" s="92" t="s">
        <v>28</v>
      </c>
      <c r="E62" s="41"/>
      <c r="F62" s="90">
        <v>1200</v>
      </c>
      <c r="G62" s="33"/>
    </row>
    <row r="63" spans="1:7" ht="12.75" customHeight="1">
      <c r="A63" s="21"/>
      <c r="B63" s="28"/>
      <c r="D63" s="92" t="s">
        <v>29</v>
      </c>
      <c r="E63" s="42"/>
      <c r="F63" s="87">
        <v>2664</v>
      </c>
      <c r="G63" s="33"/>
    </row>
    <row r="64" spans="1:7" ht="12.75" customHeight="1">
      <c r="A64" s="21"/>
      <c r="B64" s="28"/>
      <c r="D64" s="92" t="s">
        <v>31</v>
      </c>
      <c r="E64" s="41"/>
      <c r="F64" s="87">
        <v>0</v>
      </c>
      <c r="G64" s="33"/>
    </row>
    <row r="65" spans="1:7" ht="12.75" customHeight="1">
      <c r="A65" s="21"/>
      <c r="B65" s="28"/>
      <c r="D65" s="92" t="s">
        <v>32</v>
      </c>
      <c r="E65" s="41"/>
      <c r="F65" s="87"/>
      <c r="G65" s="33"/>
    </row>
    <row r="66" spans="1:7" ht="12.75" customHeight="1">
      <c r="A66" s="21"/>
      <c r="B66" s="28"/>
      <c r="D66" s="40"/>
      <c r="E66" s="93" t="s">
        <v>33</v>
      </c>
      <c r="F66" s="87">
        <v>0</v>
      </c>
      <c r="G66" s="33"/>
    </row>
    <row r="67" spans="1:7" ht="12.75" customHeight="1">
      <c r="A67" s="21"/>
      <c r="B67" s="28"/>
      <c r="D67" s="40"/>
      <c r="E67" s="42"/>
      <c r="F67" s="62"/>
      <c r="G67" s="33"/>
    </row>
    <row r="68" spans="1:7" ht="12.75" customHeight="1">
      <c r="A68" s="21"/>
      <c r="B68" s="28"/>
      <c r="C68" s="79" t="s">
        <v>34</v>
      </c>
      <c r="D68" s="21"/>
      <c r="E68" s="38"/>
      <c r="F68" s="59"/>
      <c r="G68" s="33"/>
    </row>
    <row r="69" spans="1:7" ht="12.75" customHeight="1">
      <c r="A69" s="21"/>
      <c r="B69" s="28"/>
      <c r="D69" s="21"/>
      <c r="E69" s="94" t="s">
        <v>35</v>
      </c>
      <c r="F69" s="66">
        <v>0</v>
      </c>
      <c r="G69" s="33"/>
    </row>
    <row r="70" spans="1:7" ht="12.75" customHeight="1">
      <c r="A70" s="21"/>
      <c r="B70" s="28"/>
      <c r="D70" s="21"/>
      <c r="E70" s="43"/>
      <c r="F70" s="59"/>
      <c r="G70" s="33"/>
    </row>
    <row r="71" spans="1:7" ht="12.75" customHeight="1">
      <c r="A71" s="21"/>
      <c r="B71" s="28"/>
      <c r="C71" s="79" t="s">
        <v>36</v>
      </c>
      <c r="D71" s="21"/>
      <c r="E71" s="38"/>
      <c r="F71" s="66">
        <v>0</v>
      </c>
      <c r="G71" s="33"/>
    </row>
    <row r="72" spans="1:7" ht="12.75" customHeight="1">
      <c r="A72" s="21"/>
      <c r="B72" s="28"/>
      <c r="C72" s="21"/>
      <c r="D72" s="21"/>
      <c r="E72" s="38"/>
      <c r="F72" s="59"/>
      <c r="G72" s="33"/>
    </row>
    <row r="73" spans="1:7" ht="12.75" customHeight="1">
      <c r="A73" s="21"/>
      <c r="B73" s="28"/>
      <c r="C73" s="79" t="s">
        <v>37</v>
      </c>
      <c r="D73" s="21"/>
      <c r="E73" s="38"/>
      <c r="F73" s="66">
        <v>0</v>
      </c>
      <c r="G73" s="33"/>
    </row>
    <row r="74" spans="1:7" ht="12.75" customHeight="1">
      <c r="A74" s="21"/>
      <c r="B74" s="28"/>
      <c r="C74" s="21"/>
      <c r="D74" s="21"/>
      <c r="E74" s="38"/>
      <c r="F74" s="59"/>
      <c r="G74" s="33"/>
    </row>
    <row r="75" spans="1:7" ht="12.75" customHeight="1">
      <c r="A75" s="21"/>
      <c r="B75" s="28"/>
      <c r="C75" s="79" t="s">
        <v>38</v>
      </c>
      <c r="D75" s="21"/>
      <c r="E75" s="38"/>
      <c r="F75" s="66">
        <f>SUM(F76:F77)</f>
        <v>1308</v>
      </c>
      <c r="G75" s="33"/>
    </row>
    <row r="76" spans="1:7" ht="12.75" customHeight="1">
      <c r="A76" s="21"/>
      <c r="B76" s="28"/>
      <c r="C76" s="21"/>
      <c r="D76" s="21"/>
      <c r="E76" s="85" t="s">
        <v>100</v>
      </c>
      <c r="F76" s="96">
        <v>543</v>
      </c>
      <c r="G76" s="33"/>
    </row>
    <row r="77" spans="1:7" ht="12.75" customHeight="1">
      <c r="A77" s="21"/>
      <c r="B77" s="28"/>
      <c r="C77" s="21"/>
      <c r="D77" s="21"/>
      <c r="E77" s="85" t="s">
        <v>198</v>
      </c>
      <c r="F77" s="96">
        <v>765</v>
      </c>
      <c r="G77" s="33"/>
    </row>
    <row r="78" spans="1:7" ht="12.75" customHeight="1">
      <c r="A78" s="21"/>
      <c r="B78" s="28"/>
      <c r="C78" s="21"/>
      <c r="D78" s="21"/>
      <c r="E78" s="43"/>
      <c r="F78" s="59" t="s">
        <v>0</v>
      </c>
      <c r="G78" s="33"/>
    </row>
    <row r="79" spans="1:9" ht="16.5" customHeight="1">
      <c r="A79" s="44"/>
      <c r="B79" s="75" t="s">
        <v>39</v>
      </c>
      <c r="C79" s="45"/>
      <c r="D79" s="45"/>
      <c r="E79" s="39"/>
      <c r="F79" s="59" t="s">
        <v>0</v>
      </c>
      <c r="G79" s="98">
        <f>SUM(G19:G76)</f>
        <v>-6542.909999999996</v>
      </c>
      <c r="I79" s="70"/>
    </row>
    <row r="80" spans="1:7" ht="12.75" customHeight="1">
      <c r="A80" s="21"/>
      <c r="B80" s="97" t="s">
        <v>40</v>
      </c>
      <c r="C80" s="21"/>
      <c r="D80" s="21"/>
      <c r="E80" s="43"/>
      <c r="F80" s="59" t="s">
        <v>0</v>
      </c>
      <c r="G80" s="46"/>
    </row>
    <row r="81" spans="2:7" ht="12" customHeight="1">
      <c r="B81" s="47"/>
      <c r="E81" s="38"/>
      <c r="F81" s="59" t="s">
        <v>0</v>
      </c>
      <c r="G81" s="46"/>
    </row>
    <row r="82" spans="2:7" ht="16.5" customHeight="1">
      <c r="B82" s="75" t="s">
        <v>52</v>
      </c>
      <c r="C82" s="35"/>
      <c r="D82" s="35"/>
      <c r="E82" s="48"/>
      <c r="F82" s="60"/>
      <c r="G82" s="98">
        <f>SUM(F84:F86)</f>
        <v>-264.44</v>
      </c>
    </row>
    <row r="83" spans="2:7" ht="12">
      <c r="B83" s="47"/>
      <c r="E83" s="38"/>
      <c r="F83" s="59"/>
      <c r="G83" s="46"/>
    </row>
    <row r="84" spans="2:7" ht="15">
      <c r="B84" s="28"/>
      <c r="C84" s="79" t="s">
        <v>49</v>
      </c>
      <c r="D84" s="21"/>
      <c r="E84" s="38"/>
      <c r="F84" s="64">
        <v>0</v>
      </c>
      <c r="G84" s="46"/>
    </row>
    <row r="85" spans="2:7" ht="15">
      <c r="B85" s="47"/>
      <c r="C85" s="79" t="s">
        <v>50</v>
      </c>
      <c r="E85" s="38"/>
      <c r="F85" s="71">
        <v>0</v>
      </c>
      <c r="G85" s="46"/>
    </row>
    <row r="86" spans="2:7" ht="15">
      <c r="B86" s="47"/>
      <c r="C86" s="79" t="s">
        <v>51</v>
      </c>
      <c r="E86" s="38"/>
      <c r="F86" s="66">
        <v>-264.44</v>
      </c>
      <c r="G86" s="46"/>
    </row>
    <row r="87" spans="2:7" ht="12">
      <c r="B87" s="47"/>
      <c r="E87" s="38"/>
      <c r="F87" s="59"/>
      <c r="G87" s="46"/>
    </row>
    <row r="88" spans="2:7" ht="18">
      <c r="B88" s="75" t="s">
        <v>75</v>
      </c>
      <c r="C88" s="35"/>
      <c r="D88" s="35"/>
      <c r="E88" s="48"/>
      <c r="F88" s="69">
        <v>0</v>
      </c>
      <c r="G88" s="99">
        <v>0</v>
      </c>
    </row>
    <row r="89" spans="2:7" ht="12">
      <c r="B89" s="47"/>
      <c r="E89" s="38"/>
      <c r="F89" s="59"/>
      <c r="G89" s="46"/>
    </row>
    <row r="90" spans="2:7" ht="18">
      <c r="B90" s="75" t="s">
        <v>76</v>
      </c>
      <c r="C90" s="35"/>
      <c r="D90" s="35"/>
      <c r="E90" s="48"/>
      <c r="F90" s="60"/>
      <c r="G90" s="98">
        <f>F92-F93</f>
        <v>0</v>
      </c>
    </row>
    <row r="91" spans="2:7" ht="12">
      <c r="B91" s="47"/>
      <c r="E91" s="38"/>
      <c r="F91" s="59"/>
      <c r="G91" s="46"/>
    </row>
    <row r="92" spans="2:7" ht="14.25">
      <c r="B92" s="47"/>
      <c r="C92" s="79" t="s">
        <v>53</v>
      </c>
      <c r="E92" s="38"/>
      <c r="F92" s="68">
        <v>0</v>
      </c>
      <c r="G92" s="46"/>
    </row>
    <row r="93" spans="2:7" ht="14.25">
      <c r="B93" s="47"/>
      <c r="C93" s="79" t="s">
        <v>54</v>
      </c>
      <c r="E93" s="38"/>
      <c r="F93" s="68">
        <v>0</v>
      </c>
      <c r="G93" s="46"/>
    </row>
    <row r="94" spans="2:7" ht="12">
      <c r="B94" s="47"/>
      <c r="E94" s="38"/>
      <c r="F94" s="59"/>
      <c r="G94" s="46"/>
    </row>
    <row r="95" spans="2:7" ht="12">
      <c r="B95" s="47"/>
      <c r="E95" s="38"/>
      <c r="F95" s="59"/>
      <c r="G95" s="46"/>
    </row>
    <row r="96" spans="2:9" ht="18">
      <c r="B96" s="31"/>
      <c r="E96" s="100" t="s">
        <v>55</v>
      </c>
      <c r="F96" s="59"/>
      <c r="G96" s="101">
        <f>G79+G82+G88+G90</f>
        <v>-6807.349999999996</v>
      </c>
      <c r="I96" s="70"/>
    </row>
    <row r="97" spans="2:7" ht="12">
      <c r="B97" s="49"/>
      <c r="C97" s="50"/>
      <c r="D97" s="50"/>
      <c r="E97" s="51"/>
      <c r="F97" s="52"/>
      <c r="G97" s="53"/>
    </row>
    <row r="102" spans="5:7" ht="15.75">
      <c r="E102" s="103" t="s">
        <v>111</v>
      </c>
      <c r="G102" s="107">
        <f>828267.98*0.81/100</f>
        <v>6708.970638</v>
      </c>
    </row>
    <row r="104" spans="5:7" ht="15.75">
      <c r="E104" s="103" t="s">
        <v>112</v>
      </c>
      <c r="G104" s="107">
        <f>-952694.23*0.81/100-5.57</f>
        <v>-7722.393263000001</v>
      </c>
    </row>
    <row r="106" spans="5:7" ht="18">
      <c r="E106" s="103" t="s">
        <v>104</v>
      </c>
      <c r="G106" s="104">
        <f>SUM(G96:G104)</f>
        <v>-7820.772624999997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6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1"/>
  <sheetViews>
    <sheetView workbookViewId="0" topLeftCell="A1">
      <selection activeCell="G5" sqref="G5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49.12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69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573026.44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571066.5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106</v>
      </c>
      <c r="F21" s="80">
        <v>571066.5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f>6561.34-5361.11</f>
        <v>1200.2300000000005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SUM(F28:F28)</f>
        <v>759.71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44</v>
      </c>
      <c r="F28" s="80">
        <v>759.71</v>
      </c>
      <c r="G28" s="34"/>
    </row>
    <row r="29" spans="1:7" ht="12.75" customHeight="1">
      <c r="A29" s="21"/>
      <c r="B29" s="28"/>
      <c r="C29" s="21"/>
      <c r="D29" s="21"/>
      <c r="E29" s="21"/>
      <c r="F29" s="59"/>
      <c r="G29" s="33"/>
    </row>
    <row r="30" spans="1:7" s="37" customFormat="1" ht="15.75" customHeight="1">
      <c r="A30" s="35"/>
      <c r="B30" s="75" t="s">
        <v>16</v>
      </c>
      <c r="C30" s="35"/>
      <c r="D30" s="35"/>
      <c r="E30" s="36"/>
      <c r="F30" s="60"/>
      <c r="G30" s="84">
        <f>-(F32+F38+F45+F49+F56+F64+F66+F68+F70)</f>
        <v>-564054.9899999999</v>
      </c>
    </row>
    <row r="31" spans="1:7" ht="12.75" customHeight="1">
      <c r="A31" s="21"/>
      <c r="B31" s="28"/>
      <c r="C31" s="79" t="s">
        <v>17</v>
      </c>
      <c r="D31" s="21"/>
      <c r="F31" s="59" t="s">
        <v>0</v>
      </c>
      <c r="G31" s="33"/>
    </row>
    <row r="32" spans="1:7" ht="12.75" customHeight="1">
      <c r="A32" s="21"/>
      <c r="B32" s="28"/>
      <c r="D32" s="79" t="s">
        <v>18</v>
      </c>
      <c r="E32" s="38"/>
      <c r="F32" s="65">
        <f>SUM(F33:F36)</f>
        <v>224362.82</v>
      </c>
      <c r="G32" s="33"/>
    </row>
    <row r="33" spans="1:7" ht="12.75" customHeight="1">
      <c r="A33" s="21"/>
      <c r="B33" s="28"/>
      <c r="D33" s="79"/>
      <c r="E33" s="38" t="s">
        <v>107</v>
      </c>
      <c r="F33" s="86">
        <v>218325.41</v>
      </c>
      <c r="G33" s="33"/>
    </row>
    <row r="34" spans="1:7" ht="12.75" customHeight="1">
      <c r="A34" s="21"/>
      <c r="B34" s="28"/>
      <c r="D34" s="21"/>
      <c r="E34" s="85" t="s">
        <v>108</v>
      </c>
      <c r="F34" s="87">
        <f>4816.13+1221.28</f>
        <v>6037.41</v>
      </c>
      <c r="G34" s="33"/>
    </row>
    <row r="35" spans="1:7" ht="12.75" customHeight="1">
      <c r="A35" s="21"/>
      <c r="B35" s="28"/>
      <c r="D35" s="21"/>
      <c r="E35" s="85" t="s">
        <v>109</v>
      </c>
      <c r="F35" s="96">
        <v>0</v>
      </c>
      <c r="G35" s="33"/>
    </row>
    <row r="36" spans="1:7" ht="12.75" customHeight="1">
      <c r="A36" s="21"/>
      <c r="B36" s="28"/>
      <c r="D36" s="21"/>
      <c r="E36" s="85"/>
      <c r="F36" s="83"/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SUM(F39:F43)</f>
        <v>59329.92</v>
      </c>
      <c r="G38" s="33"/>
    </row>
    <row r="39" spans="1:7" ht="12.75" customHeight="1">
      <c r="A39" s="21"/>
      <c r="B39" s="28"/>
      <c r="C39" s="21"/>
      <c r="D39" s="21"/>
      <c r="E39" s="85" t="s">
        <v>80</v>
      </c>
      <c r="F39" s="87">
        <v>6558.79</v>
      </c>
      <c r="G39" s="33"/>
    </row>
    <row r="40" spans="1:256" ht="12.75" customHeight="1">
      <c r="A40" s="85"/>
      <c r="B40" s="77"/>
      <c r="C40" s="77"/>
      <c r="D40" s="77"/>
      <c r="E40" s="85" t="s">
        <v>199</v>
      </c>
      <c r="F40" s="105">
        <v>90.8</v>
      </c>
      <c r="G40" s="85"/>
      <c r="H40" s="77"/>
      <c r="I40" s="77"/>
      <c r="J40" s="77"/>
      <c r="K40" s="77"/>
      <c r="L40" s="77"/>
      <c r="M40" s="77"/>
      <c r="N40" s="77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 t="s">
        <v>81</v>
      </c>
      <c r="BE40" s="85" t="s">
        <v>81</v>
      </c>
      <c r="BF40" s="85" t="s">
        <v>81</v>
      </c>
      <c r="BG40" s="85" t="s">
        <v>81</v>
      </c>
      <c r="BH40" s="85" t="s">
        <v>81</v>
      </c>
      <c r="BI40" s="85" t="s">
        <v>81</v>
      </c>
      <c r="BJ40" s="85" t="s">
        <v>81</v>
      </c>
      <c r="BK40" s="85" t="s">
        <v>81</v>
      </c>
      <c r="BL40" s="85" t="s">
        <v>81</v>
      </c>
      <c r="BM40" s="85" t="s">
        <v>81</v>
      </c>
      <c r="BN40" s="85" t="s">
        <v>81</v>
      </c>
      <c r="BO40" s="85" t="s">
        <v>81</v>
      </c>
      <c r="BP40" s="85" t="s">
        <v>81</v>
      </c>
      <c r="BQ40" s="85" t="s">
        <v>81</v>
      </c>
      <c r="BR40" s="85" t="s">
        <v>81</v>
      </c>
      <c r="BS40" s="85" t="s">
        <v>81</v>
      </c>
      <c r="BT40" s="85" t="s">
        <v>81</v>
      </c>
      <c r="BU40" s="85" t="s">
        <v>81</v>
      </c>
      <c r="BV40" s="85" t="s">
        <v>81</v>
      </c>
      <c r="BW40" s="85" t="s">
        <v>81</v>
      </c>
      <c r="BX40" s="85" t="s">
        <v>81</v>
      </c>
      <c r="BY40" s="85" t="s">
        <v>81</v>
      </c>
      <c r="BZ40" s="85" t="s">
        <v>81</v>
      </c>
      <c r="CA40" s="85" t="s">
        <v>81</v>
      </c>
      <c r="CB40" s="85" t="s">
        <v>81</v>
      </c>
      <c r="CC40" s="85" t="s">
        <v>81</v>
      </c>
      <c r="CD40" s="85" t="s">
        <v>81</v>
      </c>
      <c r="CE40" s="85" t="s">
        <v>81</v>
      </c>
      <c r="CF40" s="85" t="s">
        <v>81</v>
      </c>
      <c r="CG40" s="85" t="s">
        <v>81</v>
      </c>
      <c r="CH40" s="85" t="s">
        <v>81</v>
      </c>
      <c r="CI40" s="85" t="s">
        <v>81</v>
      </c>
      <c r="CJ40" s="85" t="s">
        <v>81</v>
      </c>
      <c r="CK40" s="85" t="s">
        <v>81</v>
      </c>
      <c r="CL40" s="85" t="s">
        <v>81</v>
      </c>
      <c r="CM40" s="85" t="s">
        <v>81</v>
      </c>
      <c r="CN40" s="85" t="s">
        <v>81</v>
      </c>
      <c r="CO40" s="85" t="s">
        <v>81</v>
      </c>
      <c r="CP40" s="85" t="s">
        <v>81</v>
      </c>
      <c r="CQ40" s="85" t="s">
        <v>81</v>
      </c>
      <c r="CR40" s="85" t="s">
        <v>81</v>
      </c>
      <c r="CS40" s="85" t="s">
        <v>81</v>
      </c>
      <c r="CT40" s="85" t="s">
        <v>81</v>
      </c>
      <c r="CU40" s="85" t="s">
        <v>81</v>
      </c>
      <c r="CV40" s="85" t="s">
        <v>81</v>
      </c>
      <c r="CW40" s="85" t="s">
        <v>81</v>
      </c>
      <c r="CX40" s="85" t="s">
        <v>81</v>
      </c>
      <c r="CY40" s="85" t="s">
        <v>81</v>
      </c>
      <c r="CZ40" s="85" t="s">
        <v>81</v>
      </c>
      <c r="DA40" s="85" t="s">
        <v>81</v>
      </c>
      <c r="DB40" s="85" t="s">
        <v>81</v>
      </c>
      <c r="DC40" s="85" t="s">
        <v>81</v>
      </c>
      <c r="DD40" s="85" t="s">
        <v>81</v>
      </c>
      <c r="DE40" s="85" t="s">
        <v>81</v>
      </c>
      <c r="DF40" s="85" t="s">
        <v>81</v>
      </c>
      <c r="DG40" s="85" t="s">
        <v>81</v>
      </c>
      <c r="DH40" s="85" t="s">
        <v>81</v>
      </c>
      <c r="DI40" s="85" t="s">
        <v>81</v>
      </c>
      <c r="DJ40" s="85" t="s">
        <v>81</v>
      </c>
      <c r="DK40" s="85" t="s">
        <v>81</v>
      </c>
      <c r="DL40" s="85" t="s">
        <v>81</v>
      </c>
      <c r="DM40" s="85" t="s">
        <v>81</v>
      </c>
      <c r="DN40" s="85" t="s">
        <v>81</v>
      </c>
      <c r="DO40" s="85" t="s">
        <v>81</v>
      </c>
      <c r="DP40" s="85" t="s">
        <v>81</v>
      </c>
      <c r="DQ40" s="85" t="s">
        <v>81</v>
      </c>
      <c r="DR40" s="85" t="s">
        <v>81</v>
      </c>
      <c r="DS40" s="85" t="s">
        <v>81</v>
      </c>
      <c r="DT40" s="85" t="s">
        <v>81</v>
      </c>
      <c r="DU40" s="85" t="s">
        <v>81</v>
      </c>
      <c r="DV40" s="85" t="s">
        <v>81</v>
      </c>
      <c r="DW40" s="85" t="s">
        <v>81</v>
      </c>
      <c r="DX40" s="85" t="s">
        <v>81</v>
      </c>
      <c r="DY40" s="85" t="s">
        <v>81</v>
      </c>
      <c r="DZ40" s="85" t="s">
        <v>81</v>
      </c>
      <c r="EA40" s="85" t="s">
        <v>81</v>
      </c>
      <c r="EB40" s="85" t="s">
        <v>81</v>
      </c>
      <c r="EC40" s="85" t="s">
        <v>81</v>
      </c>
      <c r="ED40" s="85" t="s">
        <v>81</v>
      </c>
      <c r="EE40" s="85" t="s">
        <v>81</v>
      </c>
      <c r="EF40" s="85" t="s">
        <v>81</v>
      </c>
      <c r="EG40" s="85" t="s">
        <v>81</v>
      </c>
      <c r="EH40" s="85" t="s">
        <v>81</v>
      </c>
      <c r="EI40" s="85" t="s">
        <v>81</v>
      </c>
      <c r="EJ40" s="85" t="s">
        <v>81</v>
      </c>
      <c r="EK40" s="85" t="s">
        <v>81</v>
      </c>
      <c r="EL40" s="85" t="s">
        <v>81</v>
      </c>
      <c r="EM40" s="85" t="s">
        <v>81</v>
      </c>
      <c r="EN40" s="85" t="s">
        <v>81</v>
      </c>
      <c r="EO40" s="85" t="s">
        <v>81</v>
      </c>
      <c r="EP40" s="85" t="s">
        <v>81</v>
      </c>
      <c r="EQ40" s="85" t="s">
        <v>81</v>
      </c>
      <c r="ER40" s="85" t="s">
        <v>81</v>
      </c>
      <c r="ES40" s="85" t="s">
        <v>81</v>
      </c>
      <c r="ET40" s="85" t="s">
        <v>81</v>
      </c>
      <c r="EU40" s="85" t="s">
        <v>81</v>
      </c>
      <c r="EV40" s="85" t="s">
        <v>81</v>
      </c>
      <c r="EW40" s="85" t="s">
        <v>81</v>
      </c>
      <c r="EX40" s="85" t="s">
        <v>81</v>
      </c>
      <c r="EY40" s="85" t="s">
        <v>81</v>
      </c>
      <c r="EZ40" s="85" t="s">
        <v>81</v>
      </c>
      <c r="FA40" s="85" t="s">
        <v>81</v>
      </c>
      <c r="FB40" s="85" t="s">
        <v>81</v>
      </c>
      <c r="FC40" s="85" t="s">
        <v>81</v>
      </c>
      <c r="FD40" s="85" t="s">
        <v>81</v>
      </c>
      <c r="FE40" s="85" t="s">
        <v>81</v>
      </c>
      <c r="FF40" s="85" t="s">
        <v>81</v>
      </c>
      <c r="FG40" s="85" t="s">
        <v>81</v>
      </c>
      <c r="FH40" s="85" t="s">
        <v>81</v>
      </c>
      <c r="FI40" s="85" t="s">
        <v>81</v>
      </c>
      <c r="FJ40" s="85" t="s">
        <v>81</v>
      </c>
      <c r="FK40" s="85" t="s">
        <v>81</v>
      </c>
      <c r="FL40" s="85" t="s">
        <v>81</v>
      </c>
      <c r="FM40" s="85" t="s">
        <v>81</v>
      </c>
      <c r="FN40" s="85" t="s">
        <v>81</v>
      </c>
      <c r="FO40" s="85" t="s">
        <v>81</v>
      </c>
      <c r="FP40" s="85" t="s">
        <v>81</v>
      </c>
      <c r="FQ40" s="85" t="s">
        <v>81</v>
      </c>
      <c r="FR40" s="85" t="s">
        <v>81</v>
      </c>
      <c r="FS40" s="85" t="s">
        <v>81</v>
      </c>
      <c r="FT40" s="85" t="s">
        <v>81</v>
      </c>
      <c r="FU40" s="85" t="s">
        <v>81</v>
      </c>
      <c r="FV40" s="85" t="s">
        <v>81</v>
      </c>
      <c r="FW40" s="85" t="s">
        <v>81</v>
      </c>
      <c r="FX40" s="85" t="s">
        <v>81</v>
      </c>
      <c r="FY40" s="85" t="s">
        <v>81</v>
      </c>
      <c r="FZ40" s="85" t="s">
        <v>81</v>
      </c>
      <c r="GA40" s="85" t="s">
        <v>81</v>
      </c>
      <c r="GB40" s="85" t="s">
        <v>81</v>
      </c>
      <c r="GC40" s="85" t="s">
        <v>81</v>
      </c>
      <c r="GD40" s="85" t="s">
        <v>81</v>
      </c>
      <c r="GE40" s="85" t="s">
        <v>81</v>
      </c>
      <c r="GF40" s="85" t="s">
        <v>81</v>
      </c>
      <c r="GG40" s="85" t="s">
        <v>81</v>
      </c>
      <c r="GH40" s="85" t="s">
        <v>81</v>
      </c>
      <c r="GI40" s="85" t="s">
        <v>81</v>
      </c>
      <c r="GJ40" s="85" t="s">
        <v>81</v>
      </c>
      <c r="GK40" s="85" t="s">
        <v>81</v>
      </c>
      <c r="GL40" s="85" t="s">
        <v>81</v>
      </c>
      <c r="GM40" s="85" t="s">
        <v>81</v>
      </c>
      <c r="GN40" s="85" t="s">
        <v>81</v>
      </c>
      <c r="GO40" s="85" t="s">
        <v>81</v>
      </c>
      <c r="GP40" s="85" t="s">
        <v>81</v>
      </c>
      <c r="GQ40" s="85" t="s">
        <v>81</v>
      </c>
      <c r="GR40" s="85" t="s">
        <v>81</v>
      </c>
      <c r="GS40" s="85" t="s">
        <v>81</v>
      </c>
      <c r="GT40" s="85" t="s">
        <v>81</v>
      </c>
      <c r="GU40" s="85" t="s">
        <v>81</v>
      </c>
      <c r="GV40" s="85" t="s">
        <v>81</v>
      </c>
      <c r="GW40" s="85" t="s">
        <v>81</v>
      </c>
      <c r="GX40" s="85" t="s">
        <v>81</v>
      </c>
      <c r="GY40" s="85" t="s">
        <v>81</v>
      </c>
      <c r="GZ40" s="85" t="s">
        <v>81</v>
      </c>
      <c r="HA40" s="85" t="s">
        <v>81</v>
      </c>
      <c r="HB40" s="85" t="s">
        <v>81</v>
      </c>
      <c r="HC40" s="85" t="s">
        <v>81</v>
      </c>
      <c r="HD40" s="85" t="s">
        <v>81</v>
      </c>
      <c r="HE40" s="85" t="s">
        <v>81</v>
      </c>
      <c r="HF40" s="85" t="s">
        <v>81</v>
      </c>
      <c r="HG40" s="85" t="s">
        <v>81</v>
      </c>
      <c r="HH40" s="85" t="s">
        <v>81</v>
      </c>
      <c r="HI40" s="85" t="s">
        <v>81</v>
      </c>
      <c r="HJ40" s="85" t="s">
        <v>81</v>
      </c>
      <c r="HK40" s="85" t="s">
        <v>81</v>
      </c>
      <c r="HL40" s="85" t="s">
        <v>81</v>
      </c>
      <c r="HM40" s="85" t="s">
        <v>81</v>
      </c>
      <c r="HN40" s="85" t="s">
        <v>81</v>
      </c>
      <c r="HO40" s="85" t="s">
        <v>81</v>
      </c>
      <c r="HP40" s="85" t="s">
        <v>81</v>
      </c>
      <c r="HQ40" s="85" t="s">
        <v>81</v>
      </c>
      <c r="HR40" s="85" t="s">
        <v>81</v>
      </c>
      <c r="HS40" s="85" t="s">
        <v>81</v>
      </c>
      <c r="HT40" s="85" t="s">
        <v>81</v>
      </c>
      <c r="HU40" s="85" t="s">
        <v>81</v>
      </c>
      <c r="HV40" s="85" t="s">
        <v>81</v>
      </c>
      <c r="HW40" s="85" t="s">
        <v>81</v>
      </c>
      <c r="HX40" s="85" t="s">
        <v>81</v>
      </c>
      <c r="HY40" s="85" t="s">
        <v>81</v>
      </c>
      <c r="HZ40" s="85" t="s">
        <v>81</v>
      </c>
      <c r="IA40" s="85" t="s">
        <v>81</v>
      </c>
      <c r="IB40" s="85" t="s">
        <v>81</v>
      </c>
      <c r="IC40" s="85" t="s">
        <v>81</v>
      </c>
      <c r="ID40" s="85" t="s">
        <v>81</v>
      </c>
      <c r="IE40" s="85" t="s">
        <v>81</v>
      </c>
      <c r="IF40" s="85" t="s">
        <v>81</v>
      </c>
      <c r="IG40" s="85" t="s">
        <v>81</v>
      </c>
      <c r="IH40" s="85" t="s">
        <v>81</v>
      </c>
      <c r="II40" s="85" t="s">
        <v>81</v>
      </c>
      <c r="IJ40" s="85" t="s">
        <v>81</v>
      </c>
      <c r="IK40" s="85" t="s">
        <v>81</v>
      </c>
      <c r="IL40" s="85" t="s">
        <v>81</v>
      </c>
      <c r="IM40" s="85" t="s">
        <v>81</v>
      </c>
      <c r="IN40" s="85" t="s">
        <v>81</v>
      </c>
      <c r="IO40" s="85" t="s">
        <v>81</v>
      </c>
      <c r="IP40" s="85" t="s">
        <v>81</v>
      </c>
      <c r="IQ40" s="85" t="s">
        <v>81</v>
      </c>
      <c r="IR40" s="85" t="s">
        <v>81</v>
      </c>
      <c r="IS40" s="85" t="s">
        <v>81</v>
      </c>
      <c r="IT40" s="85" t="s">
        <v>81</v>
      </c>
      <c r="IU40" s="85" t="s">
        <v>81</v>
      </c>
      <c r="IV40" s="85" t="s">
        <v>81</v>
      </c>
    </row>
    <row r="41" spans="1:256" ht="12.75" customHeight="1">
      <c r="A41" s="77"/>
      <c r="B41" s="77"/>
      <c r="C41" s="77"/>
      <c r="D41" s="77"/>
      <c r="E41" s="85" t="s">
        <v>91</v>
      </c>
      <c r="F41" s="106">
        <v>31000</v>
      </c>
      <c r="G41" s="85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7" ht="12.75" customHeight="1">
      <c r="A42" s="21"/>
      <c r="B42" s="28"/>
      <c r="C42" s="21"/>
      <c r="D42" s="21"/>
      <c r="E42" s="85" t="s">
        <v>110</v>
      </c>
      <c r="F42" s="87">
        <v>21680.33</v>
      </c>
      <c r="G42" s="33"/>
    </row>
    <row r="43" spans="1:7" ht="12.75" customHeight="1">
      <c r="A43" s="21"/>
      <c r="B43" s="28"/>
      <c r="C43" s="21"/>
      <c r="D43" s="21"/>
      <c r="E43" s="85"/>
      <c r="F43" s="90"/>
      <c r="G43" s="61"/>
    </row>
    <row r="44" spans="1:7" ht="12.75" customHeight="1">
      <c r="A44" s="21"/>
      <c r="B44" s="28"/>
      <c r="C44" s="21"/>
      <c r="D44" s="21"/>
      <c r="E44" s="39"/>
      <c r="F44" s="62"/>
      <c r="G44" s="62"/>
    </row>
    <row r="45" spans="1:7" ht="12.75" customHeight="1">
      <c r="A45" s="21"/>
      <c r="B45" s="28"/>
      <c r="C45" s="79" t="s">
        <v>20</v>
      </c>
      <c r="D45" s="21"/>
      <c r="E45" s="38"/>
      <c r="F45" s="64">
        <f>SUM(F46:F47)</f>
        <v>0</v>
      </c>
      <c r="G45" s="33"/>
    </row>
    <row r="46" spans="1:7" ht="12.75" customHeight="1">
      <c r="A46" s="21"/>
      <c r="B46" s="28"/>
      <c r="C46" s="21"/>
      <c r="D46" s="21"/>
      <c r="E46" s="39"/>
      <c r="F46" s="87"/>
      <c r="G46" s="33"/>
    </row>
    <row r="47" spans="1:7" ht="12.75" customHeight="1">
      <c r="A47" s="21"/>
      <c r="B47" s="28"/>
      <c r="C47" s="21"/>
      <c r="D47" s="21"/>
      <c r="E47" s="39"/>
      <c r="F47" s="67"/>
      <c r="G47" s="33"/>
    </row>
    <row r="48" spans="1:7" ht="12.75" customHeight="1">
      <c r="A48" s="21"/>
      <c r="B48" s="28"/>
      <c r="C48" s="21"/>
      <c r="D48" s="21"/>
      <c r="E48" s="39"/>
      <c r="F48" s="61"/>
      <c r="G48" s="33"/>
    </row>
    <row r="49" spans="1:7" ht="12.75" customHeight="1">
      <c r="A49" s="21"/>
      <c r="B49" s="28"/>
      <c r="C49" s="79" t="s">
        <v>21</v>
      </c>
      <c r="D49" s="21"/>
      <c r="E49" s="38"/>
      <c r="F49" s="65">
        <f>SUM(F50:F54)</f>
        <v>276737.44</v>
      </c>
      <c r="G49" s="33"/>
    </row>
    <row r="50" spans="1:7" ht="12.75" customHeight="1">
      <c r="A50" s="21"/>
      <c r="B50" s="28"/>
      <c r="D50" s="92" t="s">
        <v>22</v>
      </c>
      <c r="E50" s="41"/>
      <c r="F50" s="90">
        <f>188622.87+6407.78+5226.01+10080.78</f>
        <v>210337.44</v>
      </c>
      <c r="G50" s="33"/>
    </row>
    <row r="51" spans="1:7" ht="12.75" customHeight="1">
      <c r="A51" s="21"/>
      <c r="B51" s="28"/>
      <c r="D51" s="92" t="s">
        <v>23</v>
      </c>
      <c r="E51" s="41"/>
      <c r="F51" s="87">
        <f>40469.41+5919.26+1910.19+1243.8+2399.22</f>
        <v>51941.88000000001</v>
      </c>
      <c r="G51" s="33"/>
    </row>
    <row r="52" spans="1:7" ht="12.75" customHeight="1">
      <c r="A52" s="21"/>
      <c r="B52" s="28"/>
      <c r="D52" s="92" t="s">
        <v>24</v>
      </c>
      <c r="E52" s="41"/>
      <c r="F52" s="87">
        <v>14458.12</v>
      </c>
      <c r="G52" s="33"/>
    </row>
    <row r="53" spans="1:7" ht="12.75" customHeight="1">
      <c r="A53" s="21"/>
      <c r="B53" s="28"/>
      <c r="D53" s="92" t="s">
        <v>25</v>
      </c>
      <c r="E53" s="41"/>
      <c r="F53" s="87">
        <v>0</v>
      </c>
      <c r="G53" s="33"/>
    </row>
    <row r="54" spans="1:7" ht="12.75" customHeight="1">
      <c r="A54" s="21"/>
      <c r="B54" s="28"/>
      <c r="D54" s="92" t="s">
        <v>26</v>
      </c>
      <c r="E54" s="41"/>
      <c r="F54" s="87">
        <v>0</v>
      </c>
      <c r="G54" s="33"/>
    </row>
    <row r="55" spans="1:7" ht="12.75" customHeight="1">
      <c r="A55" s="21"/>
      <c r="B55" s="28"/>
      <c r="D55" s="40"/>
      <c r="E55" s="41"/>
      <c r="F55" s="61"/>
      <c r="G55" s="33"/>
    </row>
    <row r="56" spans="1:7" ht="12.75" customHeight="1">
      <c r="A56" s="21"/>
      <c r="B56" s="28"/>
      <c r="C56" s="79" t="s">
        <v>27</v>
      </c>
      <c r="D56" s="21"/>
      <c r="E56" s="38"/>
      <c r="F56" s="65">
        <f>SUM(F57:F61)</f>
        <v>2760.2</v>
      </c>
      <c r="G56" s="33"/>
    </row>
    <row r="57" spans="1:7" ht="12.75" customHeight="1">
      <c r="A57" s="21"/>
      <c r="B57" s="28"/>
      <c r="C57" s="21"/>
      <c r="D57" s="92" t="s">
        <v>28</v>
      </c>
      <c r="E57" s="41"/>
      <c r="F57" s="90">
        <v>0</v>
      </c>
      <c r="G57" s="33"/>
    </row>
    <row r="58" spans="1:7" ht="12.75" customHeight="1">
      <c r="A58" s="21"/>
      <c r="B58" s="28"/>
      <c r="D58" s="92" t="s">
        <v>29</v>
      </c>
      <c r="E58" s="42"/>
      <c r="F58" s="87">
        <v>2760.2</v>
      </c>
      <c r="G58" s="33"/>
    </row>
    <row r="59" spans="1:7" ht="12.75" customHeight="1">
      <c r="A59" s="21"/>
      <c r="B59" s="28"/>
      <c r="D59" s="92" t="s">
        <v>31</v>
      </c>
      <c r="E59" s="41"/>
      <c r="F59" s="87">
        <v>0</v>
      </c>
      <c r="G59" s="33"/>
    </row>
    <row r="60" spans="1:7" ht="12.75" customHeight="1">
      <c r="A60" s="21"/>
      <c r="B60" s="28"/>
      <c r="D60" s="92" t="s">
        <v>32</v>
      </c>
      <c r="E60" s="41"/>
      <c r="F60" s="87"/>
      <c r="G60" s="33"/>
    </row>
    <row r="61" spans="1:7" ht="12.75" customHeight="1">
      <c r="A61" s="21"/>
      <c r="B61" s="28"/>
      <c r="D61" s="40"/>
      <c r="E61" s="93" t="s">
        <v>33</v>
      </c>
      <c r="F61" s="87">
        <v>0</v>
      </c>
      <c r="G61" s="33"/>
    </row>
    <row r="62" spans="1:7" ht="12.75" customHeight="1">
      <c r="A62" s="21"/>
      <c r="B62" s="28"/>
      <c r="D62" s="40"/>
      <c r="E62" s="42"/>
      <c r="F62" s="62"/>
      <c r="G62" s="33"/>
    </row>
    <row r="63" spans="1:7" ht="12.75" customHeight="1">
      <c r="A63" s="21"/>
      <c r="B63" s="28"/>
      <c r="C63" s="79" t="s">
        <v>34</v>
      </c>
      <c r="D63" s="21"/>
      <c r="E63" s="38"/>
      <c r="F63" s="59"/>
      <c r="G63" s="33"/>
    </row>
    <row r="64" spans="1:7" ht="12.75" customHeight="1">
      <c r="A64" s="21"/>
      <c r="B64" s="28"/>
      <c r="D64" s="21"/>
      <c r="E64" s="94" t="s">
        <v>35</v>
      </c>
      <c r="F64" s="66">
        <v>0</v>
      </c>
      <c r="G64" s="33"/>
    </row>
    <row r="65" spans="1:7" ht="12.75" customHeight="1">
      <c r="A65" s="21"/>
      <c r="B65" s="28"/>
      <c r="D65" s="21"/>
      <c r="E65" s="43"/>
      <c r="F65" s="59"/>
      <c r="G65" s="33"/>
    </row>
    <row r="66" spans="1:7" ht="12.75" customHeight="1">
      <c r="A66" s="21"/>
      <c r="B66" s="28"/>
      <c r="C66" s="79" t="s">
        <v>36</v>
      </c>
      <c r="D66" s="21"/>
      <c r="E66" s="38"/>
      <c r="F66" s="66">
        <v>0</v>
      </c>
      <c r="G66" s="33"/>
    </row>
    <row r="67" spans="1:7" ht="12.75" customHeight="1">
      <c r="A67" s="21"/>
      <c r="B67" s="28"/>
      <c r="C67" s="21"/>
      <c r="D67" s="21"/>
      <c r="E67" s="38"/>
      <c r="F67" s="59"/>
      <c r="G67" s="33"/>
    </row>
    <row r="68" spans="1:7" ht="12.75" customHeight="1">
      <c r="A68" s="21"/>
      <c r="B68" s="28"/>
      <c r="C68" s="79" t="s">
        <v>37</v>
      </c>
      <c r="D68" s="21"/>
      <c r="E68" s="38"/>
      <c r="F68" s="66">
        <v>0</v>
      </c>
      <c r="G68" s="33"/>
    </row>
    <row r="69" spans="1:7" ht="12.75" customHeight="1">
      <c r="A69" s="21"/>
      <c r="B69" s="28"/>
      <c r="C69" s="21"/>
      <c r="D69" s="21"/>
      <c r="E69" s="38"/>
      <c r="F69" s="59"/>
      <c r="G69" s="33"/>
    </row>
    <row r="70" spans="1:7" ht="12.75" customHeight="1">
      <c r="A70" s="21"/>
      <c r="B70" s="28"/>
      <c r="C70" s="79" t="s">
        <v>38</v>
      </c>
      <c r="D70" s="21"/>
      <c r="E70" s="38"/>
      <c r="F70" s="66">
        <f>SUM(F71:F72)</f>
        <v>864.6099999999999</v>
      </c>
      <c r="G70" s="33"/>
    </row>
    <row r="71" spans="1:7" ht="12.75" customHeight="1">
      <c r="A71" s="21"/>
      <c r="B71" s="28"/>
      <c r="C71" s="79"/>
      <c r="D71" s="21" t="s">
        <v>0</v>
      </c>
      <c r="E71" s="38" t="s">
        <v>200</v>
      </c>
      <c r="F71" s="81">
        <f>1.81+132</f>
        <v>133.81</v>
      </c>
      <c r="G71" s="33"/>
    </row>
    <row r="72" spans="1:7" ht="12.75" customHeight="1">
      <c r="A72" s="21"/>
      <c r="B72" s="28"/>
      <c r="C72" s="79"/>
      <c r="D72" s="21"/>
      <c r="E72" s="38" t="s">
        <v>183</v>
      </c>
      <c r="F72" s="81">
        <v>730.8</v>
      </c>
      <c r="G72" s="33"/>
    </row>
    <row r="73" spans="1:7" ht="12.75" customHeight="1">
      <c r="A73" s="21"/>
      <c r="B73" s="28"/>
      <c r="C73" s="21"/>
      <c r="D73" s="21"/>
      <c r="E73" s="43"/>
      <c r="F73" s="59" t="s">
        <v>0</v>
      </c>
      <c r="G73" s="33"/>
    </row>
    <row r="74" spans="1:9" ht="16.5" customHeight="1">
      <c r="A74" s="44"/>
      <c r="B74" s="75" t="s">
        <v>39</v>
      </c>
      <c r="C74" s="45"/>
      <c r="D74" s="45"/>
      <c r="E74" s="39"/>
      <c r="F74" s="59" t="s">
        <v>0</v>
      </c>
      <c r="G74" s="98">
        <f>SUM(G19:G70)</f>
        <v>8971.45000000007</v>
      </c>
      <c r="I74" s="70"/>
    </row>
    <row r="75" spans="1:7" ht="12.75" customHeight="1">
      <c r="A75" s="21"/>
      <c r="B75" s="97" t="s">
        <v>40</v>
      </c>
      <c r="C75" s="21"/>
      <c r="D75" s="21"/>
      <c r="E75" s="43"/>
      <c r="F75" s="59" t="s">
        <v>0</v>
      </c>
      <c r="G75" s="46"/>
    </row>
    <row r="76" spans="2:7" ht="12" customHeight="1">
      <c r="B76" s="47"/>
      <c r="E76" s="38"/>
      <c r="F76" s="59" t="s">
        <v>0</v>
      </c>
      <c r="G76" s="46"/>
    </row>
    <row r="77" spans="2:7" ht="16.5" customHeight="1">
      <c r="B77" s="75" t="s">
        <v>52</v>
      </c>
      <c r="C77" s="35"/>
      <c r="D77" s="35"/>
      <c r="E77" s="48"/>
      <c r="F77" s="60"/>
      <c r="G77" s="98">
        <f>SUM(F79:F81)</f>
        <v>0</v>
      </c>
    </row>
    <row r="78" spans="2:7" ht="12">
      <c r="B78" s="47"/>
      <c r="E78" s="38"/>
      <c r="F78" s="59"/>
      <c r="G78" s="46"/>
    </row>
    <row r="79" spans="2:7" ht="15">
      <c r="B79" s="28"/>
      <c r="C79" s="79" t="s">
        <v>49</v>
      </c>
      <c r="D79" s="21"/>
      <c r="E79" s="38"/>
      <c r="F79" s="64">
        <v>0</v>
      </c>
      <c r="G79" s="46"/>
    </row>
    <row r="80" spans="2:7" ht="15">
      <c r="B80" s="47"/>
      <c r="C80" s="79" t="s">
        <v>50</v>
      </c>
      <c r="E80" s="38"/>
      <c r="F80" s="71">
        <v>0</v>
      </c>
      <c r="G80" s="46"/>
    </row>
    <row r="81" spans="2:7" ht="15">
      <c r="B81" s="47"/>
      <c r="C81" s="79" t="s">
        <v>51</v>
      </c>
      <c r="E81" s="38"/>
      <c r="F81" s="66">
        <v>0</v>
      </c>
      <c r="G81" s="46"/>
    </row>
    <row r="82" spans="2:7" ht="12">
      <c r="B82" s="47"/>
      <c r="E82" s="38"/>
      <c r="F82" s="59"/>
      <c r="G82" s="46"/>
    </row>
    <row r="83" spans="2:7" ht="18">
      <c r="B83" s="75" t="s">
        <v>75</v>
      </c>
      <c r="C83" s="35"/>
      <c r="D83" s="35"/>
      <c r="E83" s="48"/>
      <c r="F83" s="69">
        <v>0</v>
      </c>
      <c r="G83" s="99">
        <v>0</v>
      </c>
    </row>
    <row r="84" spans="2:7" ht="12">
      <c r="B84" s="47"/>
      <c r="E84" s="38"/>
      <c r="F84" s="59"/>
      <c r="G84" s="46"/>
    </row>
    <row r="85" spans="2:7" ht="18">
      <c r="B85" s="75" t="s">
        <v>76</v>
      </c>
      <c r="C85" s="35"/>
      <c r="D85" s="35"/>
      <c r="E85" s="48"/>
      <c r="F85" s="60"/>
      <c r="G85" s="98">
        <f>F87-F88</f>
        <v>0</v>
      </c>
    </row>
    <row r="86" spans="2:7" ht="12">
      <c r="B86" s="47"/>
      <c r="E86" s="38"/>
      <c r="F86" s="59"/>
      <c r="G86" s="46"/>
    </row>
    <row r="87" spans="2:7" ht="14.25">
      <c r="B87" s="47"/>
      <c r="C87" s="79" t="s">
        <v>53</v>
      </c>
      <c r="E87" s="38"/>
      <c r="F87" s="68">
        <v>0</v>
      </c>
      <c r="G87" s="46"/>
    </row>
    <row r="88" spans="2:7" ht="14.25">
      <c r="B88" s="47"/>
      <c r="C88" s="79" t="s">
        <v>54</v>
      </c>
      <c r="E88" s="38"/>
      <c r="F88" s="68">
        <v>0</v>
      </c>
      <c r="G88" s="46"/>
    </row>
    <row r="89" spans="2:7" ht="12">
      <c r="B89" s="47"/>
      <c r="E89" s="38"/>
      <c r="F89" s="59"/>
      <c r="G89" s="46"/>
    </row>
    <row r="90" spans="2:7" ht="12">
      <c r="B90" s="47"/>
      <c r="E90" s="38"/>
      <c r="F90" s="59"/>
      <c r="G90" s="46"/>
    </row>
    <row r="91" spans="2:9" ht="18">
      <c r="B91" s="31"/>
      <c r="E91" s="100" t="s">
        <v>55</v>
      </c>
      <c r="F91" s="59"/>
      <c r="G91" s="101">
        <f>G74+G77+G83+G85</f>
        <v>8971.45000000007</v>
      </c>
      <c r="I91" s="70"/>
    </row>
    <row r="92" spans="2:7" ht="12">
      <c r="B92" s="49"/>
      <c r="C92" s="50"/>
      <c r="D92" s="50"/>
      <c r="E92" s="51"/>
      <c r="F92" s="52"/>
      <c r="G92" s="53"/>
    </row>
    <row r="97" spans="5:7" ht="15.75">
      <c r="E97" s="103" t="s">
        <v>111</v>
      </c>
      <c r="G97" s="107">
        <f>828267.98*7.13/100</f>
        <v>59055.506973999996</v>
      </c>
    </row>
    <row r="99" spans="5:7" ht="15.75">
      <c r="E99" s="103" t="s">
        <v>112</v>
      </c>
      <c r="G99" s="107">
        <f>-952694.23*7.13/100+4.37</f>
        <v>-67922.728599</v>
      </c>
    </row>
    <row r="101" spans="5:7" ht="18">
      <c r="E101" s="103" t="s">
        <v>160</v>
      </c>
      <c r="G101" s="104">
        <f>G91+G97+G99</f>
        <v>104.22837500006426</v>
      </c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2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workbookViewId="0" topLeftCell="A1">
      <selection activeCell="G18" sqref="G18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113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F20+F24+F25+F26+F28</f>
        <v>599330.46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SUM(F21:F22)</f>
        <v>418073.14999999997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114</v>
      </c>
      <c r="F21" s="80">
        <f>156295.52+157316.94</f>
        <v>313612.45999999996</v>
      </c>
      <c r="G21" s="32"/>
    </row>
    <row r="22" spans="1:7" ht="12.75" customHeight="1">
      <c r="A22" s="21"/>
      <c r="B22" s="28"/>
      <c r="C22" s="76"/>
      <c r="D22" s="76" t="s">
        <v>30</v>
      </c>
      <c r="E22" s="77" t="s">
        <v>115</v>
      </c>
      <c r="F22" s="80">
        <v>104460.69</v>
      </c>
      <c r="G22" s="32"/>
    </row>
    <row r="23" spans="1:7" ht="12.75" customHeight="1">
      <c r="A23" s="21"/>
      <c r="B23" s="28"/>
      <c r="C23" s="76" t="s">
        <v>8</v>
      </c>
      <c r="D23" s="76" t="s">
        <v>9</v>
      </c>
      <c r="E23" s="77"/>
      <c r="F23" s="81"/>
      <c r="G23" s="32"/>
    </row>
    <row r="24" spans="1:7" ht="12.75" customHeight="1">
      <c r="A24" s="21"/>
      <c r="B24" s="28"/>
      <c r="C24" s="76"/>
      <c r="D24" s="76" t="s">
        <v>10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11</v>
      </c>
      <c r="D25" s="76" t="s">
        <v>12</v>
      </c>
      <c r="E25" s="77"/>
      <c r="F25" s="81">
        <v>0</v>
      </c>
      <c r="G25" s="32"/>
    </row>
    <row r="26" spans="1:7" ht="12.75" customHeight="1">
      <c r="A26" s="21"/>
      <c r="B26" s="28"/>
      <c r="C26" s="76" t="s">
        <v>13</v>
      </c>
      <c r="D26" s="76"/>
      <c r="E26" s="77"/>
      <c r="F26" s="81">
        <v>0</v>
      </c>
      <c r="G26" s="32"/>
    </row>
    <row r="27" spans="1:7" ht="12.75" customHeight="1">
      <c r="A27" s="21"/>
      <c r="B27" s="28"/>
      <c r="C27" s="76" t="s">
        <v>14</v>
      </c>
      <c r="D27" s="76"/>
      <c r="E27" s="77"/>
      <c r="F27" s="81" t="s">
        <v>0</v>
      </c>
      <c r="G27" s="33"/>
    </row>
    <row r="28" spans="1:7" ht="12.75" customHeight="1">
      <c r="A28" s="21"/>
      <c r="B28" s="28"/>
      <c r="C28" s="76"/>
      <c r="D28" s="76" t="s">
        <v>15</v>
      </c>
      <c r="E28" s="77"/>
      <c r="F28" s="64">
        <f>SUM(F29:F31)</f>
        <v>181257.31</v>
      </c>
      <c r="G28" s="33"/>
    </row>
    <row r="29" spans="1:7" ht="12.75" customHeight="1">
      <c r="A29" s="21"/>
      <c r="B29" s="28"/>
      <c r="C29" s="76"/>
      <c r="D29" s="76" t="s">
        <v>30</v>
      </c>
      <c r="E29" s="77" t="s">
        <v>116</v>
      </c>
      <c r="F29" s="80">
        <v>146117</v>
      </c>
      <c r="G29" s="33"/>
    </row>
    <row r="30" spans="1:7" ht="12.75" customHeight="1">
      <c r="A30" s="21"/>
      <c r="B30" s="28"/>
      <c r="C30" s="76"/>
      <c r="D30" s="76" t="s">
        <v>30</v>
      </c>
      <c r="E30" s="77" t="s">
        <v>201</v>
      </c>
      <c r="F30" s="80">
        <v>33600</v>
      </c>
      <c r="G30" s="33"/>
    </row>
    <row r="31" spans="1:7" ht="12.75" customHeight="1">
      <c r="A31" s="21"/>
      <c r="B31" s="28"/>
      <c r="C31" s="76"/>
      <c r="D31" s="78" t="s">
        <v>30</v>
      </c>
      <c r="E31" s="77" t="s">
        <v>44</v>
      </c>
      <c r="F31" s="80">
        <v>1540.31</v>
      </c>
      <c r="G31" s="34"/>
    </row>
    <row r="32" spans="1:7" ht="12.75" customHeight="1">
      <c r="A32" s="21"/>
      <c r="B32" s="28"/>
      <c r="C32" s="21"/>
      <c r="D32" s="21"/>
      <c r="E32" s="21"/>
      <c r="F32" s="59"/>
      <c r="G32" s="33"/>
    </row>
    <row r="33" spans="1:7" s="37" customFormat="1" ht="15.75" customHeight="1">
      <c r="A33" s="35"/>
      <c r="B33" s="75" t="s">
        <v>16</v>
      </c>
      <c r="C33" s="35"/>
      <c r="D33" s="35"/>
      <c r="E33" s="36"/>
      <c r="F33" s="60"/>
      <c r="G33" s="84">
        <f>-(F35+F43+F58+F62+F69+F77+F79+F81+F83)</f>
        <v>-600714.71</v>
      </c>
    </row>
    <row r="34" spans="1:7" ht="12.75" customHeight="1">
      <c r="A34" s="21"/>
      <c r="B34" s="28"/>
      <c r="C34" s="79" t="s">
        <v>17</v>
      </c>
      <c r="D34" s="21"/>
      <c r="F34" s="59" t="s">
        <v>0</v>
      </c>
      <c r="G34" s="33"/>
    </row>
    <row r="35" spans="1:7" ht="12.75" customHeight="1">
      <c r="A35" s="21"/>
      <c r="B35" s="28"/>
      <c r="D35" s="79" t="s">
        <v>18</v>
      </c>
      <c r="E35" s="38"/>
      <c r="F35" s="65">
        <f>SUM(F36:F41)</f>
        <v>8755.480000000001</v>
      </c>
      <c r="G35" s="33"/>
    </row>
    <row r="36" spans="1:7" ht="12.75" customHeight="1">
      <c r="A36" s="21"/>
      <c r="B36" s="28"/>
      <c r="D36" s="79"/>
      <c r="E36" s="38" t="s">
        <v>117</v>
      </c>
      <c r="F36" s="86">
        <v>2627.83</v>
      </c>
      <c r="G36" s="33"/>
    </row>
    <row r="37" spans="1:7" ht="12.75" customHeight="1">
      <c r="A37" s="21"/>
      <c r="B37" s="28"/>
      <c r="D37" s="21"/>
      <c r="E37" s="85" t="s">
        <v>108</v>
      </c>
      <c r="F37" s="87">
        <v>122.8</v>
      </c>
      <c r="G37" s="33"/>
    </row>
    <row r="38" spans="1:7" ht="12.75" customHeight="1">
      <c r="A38" s="21"/>
      <c r="B38" s="28"/>
      <c r="D38" s="21"/>
      <c r="E38" s="85" t="s">
        <v>118</v>
      </c>
      <c r="F38" s="96">
        <v>868.5</v>
      </c>
      <c r="G38" s="33"/>
    </row>
    <row r="39" spans="1:7" ht="12.75" customHeight="1">
      <c r="A39" s="21"/>
      <c r="B39" s="28"/>
      <c r="D39" s="21"/>
      <c r="E39" s="85" t="s">
        <v>119</v>
      </c>
      <c r="F39" s="96">
        <v>3385.15</v>
      </c>
      <c r="G39" s="33"/>
    </row>
    <row r="40" spans="1:7" ht="12.75" customHeight="1">
      <c r="A40" s="21"/>
      <c r="B40" s="28"/>
      <c r="D40" s="21"/>
      <c r="E40" s="85" t="s">
        <v>109</v>
      </c>
      <c r="F40" s="96">
        <v>1751.2</v>
      </c>
      <c r="G40" s="33"/>
    </row>
    <row r="41" spans="1:7" ht="12.75" customHeight="1">
      <c r="A41" s="21"/>
      <c r="B41" s="28"/>
      <c r="D41" s="21"/>
      <c r="E41" s="85"/>
      <c r="F41" s="83"/>
      <c r="G41" s="33"/>
    </row>
    <row r="42" spans="1:7" ht="12.75" customHeight="1">
      <c r="A42" s="21"/>
      <c r="B42" s="28"/>
      <c r="D42" s="21"/>
      <c r="E42" s="38"/>
      <c r="F42" s="62"/>
      <c r="G42" s="33"/>
    </row>
    <row r="43" spans="1:7" ht="12.75" customHeight="1">
      <c r="A43" s="21"/>
      <c r="B43" s="28"/>
      <c r="C43" s="79" t="s">
        <v>19</v>
      </c>
      <c r="D43" s="21"/>
      <c r="E43" s="38"/>
      <c r="F43" s="65">
        <f>SUM(F44:F56)</f>
        <v>501220.18</v>
      </c>
      <c r="G43" s="33"/>
    </row>
    <row r="44" spans="1:7" ht="12.75" customHeight="1">
      <c r="A44" s="21"/>
      <c r="B44" s="28"/>
      <c r="C44" s="79"/>
      <c r="D44" s="21"/>
      <c r="E44" s="38" t="s">
        <v>204</v>
      </c>
      <c r="F44" s="86">
        <v>274.68</v>
      </c>
      <c r="G44" s="33"/>
    </row>
    <row r="45" spans="1:7" ht="12.75" customHeight="1">
      <c r="A45" s="21"/>
      <c r="B45" s="28"/>
      <c r="C45" s="79"/>
      <c r="D45" s="21"/>
      <c r="E45" s="38" t="s">
        <v>78</v>
      </c>
      <c r="F45" s="86">
        <v>2403.74</v>
      </c>
      <c r="G45" s="33"/>
    </row>
    <row r="46" spans="1:7" ht="12.75" customHeight="1">
      <c r="A46" s="21"/>
      <c r="B46" s="28"/>
      <c r="C46" s="79"/>
      <c r="D46" s="21"/>
      <c r="E46" s="38" t="s">
        <v>79</v>
      </c>
      <c r="F46" s="86">
        <f>598.29+94.64</f>
        <v>692.93</v>
      </c>
      <c r="G46" s="33"/>
    </row>
    <row r="47" spans="1:7" ht="12.75" customHeight="1">
      <c r="A47" s="21"/>
      <c r="B47" s="28"/>
      <c r="C47" s="21"/>
      <c r="D47" s="21"/>
      <c r="E47" s="85" t="s">
        <v>120</v>
      </c>
      <c r="F47" s="87">
        <f>341.61+1689.13+193.48+3420</f>
        <v>5644.22</v>
      </c>
      <c r="G47" s="33"/>
    </row>
    <row r="48" spans="1:256" ht="12.75" customHeight="1">
      <c r="A48" s="85"/>
      <c r="B48" s="77"/>
      <c r="C48" s="77"/>
      <c r="D48" s="77"/>
      <c r="E48" s="85" t="s">
        <v>121</v>
      </c>
      <c r="F48" s="105">
        <v>4150.21</v>
      </c>
      <c r="G48" s="85"/>
      <c r="H48" s="77"/>
      <c r="I48" s="77"/>
      <c r="J48" s="77"/>
      <c r="K48" s="77"/>
      <c r="L48" s="77"/>
      <c r="M48" s="77"/>
      <c r="N48" s="77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 t="s">
        <v>81</v>
      </c>
      <c r="BE48" s="85" t="s">
        <v>81</v>
      </c>
      <c r="BF48" s="85" t="s">
        <v>81</v>
      </c>
      <c r="BG48" s="85" t="s">
        <v>81</v>
      </c>
      <c r="BH48" s="85" t="s">
        <v>81</v>
      </c>
      <c r="BI48" s="85" t="s">
        <v>81</v>
      </c>
      <c r="BJ48" s="85" t="s">
        <v>81</v>
      </c>
      <c r="BK48" s="85" t="s">
        <v>81</v>
      </c>
      <c r="BL48" s="85" t="s">
        <v>81</v>
      </c>
      <c r="BM48" s="85" t="s">
        <v>81</v>
      </c>
      <c r="BN48" s="85" t="s">
        <v>81</v>
      </c>
      <c r="BO48" s="85" t="s">
        <v>81</v>
      </c>
      <c r="BP48" s="85" t="s">
        <v>81</v>
      </c>
      <c r="BQ48" s="85" t="s">
        <v>81</v>
      </c>
      <c r="BR48" s="85" t="s">
        <v>81</v>
      </c>
      <c r="BS48" s="85" t="s">
        <v>81</v>
      </c>
      <c r="BT48" s="85" t="s">
        <v>81</v>
      </c>
      <c r="BU48" s="85" t="s">
        <v>81</v>
      </c>
      <c r="BV48" s="85" t="s">
        <v>81</v>
      </c>
      <c r="BW48" s="85" t="s">
        <v>81</v>
      </c>
      <c r="BX48" s="85" t="s">
        <v>81</v>
      </c>
      <c r="BY48" s="85" t="s">
        <v>81</v>
      </c>
      <c r="BZ48" s="85" t="s">
        <v>81</v>
      </c>
      <c r="CA48" s="85" t="s">
        <v>81</v>
      </c>
      <c r="CB48" s="85" t="s">
        <v>81</v>
      </c>
      <c r="CC48" s="85" t="s">
        <v>81</v>
      </c>
      <c r="CD48" s="85" t="s">
        <v>81</v>
      </c>
      <c r="CE48" s="85" t="s">
        <v>81</v>
      </c>
      <c r="CF48" s="85" t="s">
        <v>81</v>
      </c>
      <c r="CG48" s="85" t="s">
        <v>81</v>
      </c>
      <c r="CH48" s="85" t="s">
        <v>81</v>
      </c>
      <c r="CI48" s="85" t="s">
        <v>81</v>
      </c>
      <c r="CJ48" s="85" t="s">
        <v>81</v>
      </c>
      <c r="CK48" s="85" t="s">
        <v>81</v>
      </c>
      <c r="CL48" s="85" t="s">
        <v>81</v>
      </c>
      <c r="CM48" s="85" t="s">
        <v>81</v>
      </c>
      <c r="CN48" s="85" t="s">
        <v>81</v>
      </c>
      <c r="CO48" s="85" t="s">
        <v>81</v>
      </c>
      <c r="CP48" s="85" t="s">
        <v>81</v>
      </c>
      <c r="CQ48" s="85" t="s">
        <v>81</v>
      </c>
      <c r="CR48" s="85" t="s">
        <v>81</v>
      </c>
      <c r="CS48" s="85" t="s">
        <v>81</v>
      </c>
      <c r="CT48" s="85" t="s">
        <v>81</v>
      </c>
      <c r="CU48" s="85" t="s">
        <v>81</v>
      </c>
      <c r="CV48" s="85" t="s">
        <v>81</v>
      </c>
      <c r="CW48" s="85" t="s">
        <v>81</v>
      </c>
      <c r="CX48" s="85" t="s">
        <v>81</v>
      </c>
      <c r="CY48" s="85" t="s">
        <v>81</v>
      </c>
      <c r="CZ48" s="85" t="s">
        <v>81</v>
      </c>
      <c r="DA48" s="85" t="s">
        <v>81</v>
      </c>
      <c r="DB48" s="85" t="s">
        <v>81</v>
      </c>
      <c r="DC48" s="85" t="s">
        <v>81</v>
      </c>
      <c r="DD48" s="85" t="s">
        <v>81</v>
      </c>
      <c r="DE48" s="85" t="s">
        <v>81</v>
      </c>
      <c r="DF48" s="85" t="s">
        <v>81</v>
      </c>
      <c r="DG48" s="85" t="s">
        <v>81</v>
      </c>
      <c r="DH48" s="85" t="s">
        <v>81</v>
      </c>
      <c r="DI48" s="85" t="s">
        <v>81</v>
      </c>
      <c r="DJ48" s="85" t="s">
        <v>81</v>
      </c>
      <c r="DK48" s="85" t="s">
        <v>81</v>
      </c>
      <c r="DL48" s="85" t="s">
        <v>81</v>
      </c>
      <c r="DM48" s="85" t="s">
        <v>81</v>
      </c>
      <c r="DN48" s="85" t="s">
        <v>81</v>
      </c>
      <c r="DO48" s="85" t="s">
        <v>81</v>
      </c>
      <c r="DP48" s="85" t="s">
        <v>81</v>
      </c>
      <c r="DQ48" s="85" t="s">
        <v>81</v>
      </c>
      <c r="DR48" s="85" t="s">
        <v>81</v>
      </c>
      <c r="DS48" s="85" t="s">
        <v>81</v>
      </c>
      <c r="DT48" s="85" t="s">
        <v>81</v>
      </c>
      <c r="DU48" s="85" t="s">
        <v>81</v>
      </c>
      <c r="DV48" s="85" t="s">
        <v>81</v>
      </c>
      <c r="DW48" s="85" t="s">
        <v>81</v>
      </c>
      <c r="DX48" s="85" t="s">
        <v>81</v>
      </c>
      <c r="DY48" s="85" t="s">
        <v>81</v>
      </c>
      <c r="DZ48" s="85" t="s">
        <v>81</v>
      </c>
      <c r="EA48" s="85" t="s">
        <v>81</v>
      </c>
      <c r="EB48" s="85" t="s">
        <v>81</v>
      </c>
      <c r="EC48" s="85" t="s">
        <v>81</v>
      </c>
      <c r="ED48" s="85" t="s">
        <v>81</v>
      </c>
      <c r="EE48" s="85" t="s">
        <v>81</v>
      </c>
      <c r="EF48" s="85" t="s">
        <v>81</v>
      </c>
      <c r="EG48" s="85" t="s">
        <v>81</v>
      </c>
      <c r="EH48" s="85" t="s">
        <v>81</v>
      </c>
      <c r="EI48" s="85" t="s">
        <v>81</v>
      </c>
      <c r="EJ48" s="85" t="s">
        <v>81</v>
      </c>
      <c r="EK48" s="85" t="s">
        <v>81</v>
      </c>
      <c r="EL48" s="85" t="s">
        <v>81</v>
      </c>
      <c r="EM48" s="85" t="s">
        <v>81</v>
      </c>
      <c r="EN48" s="85" t="s">
        <v>81</v>
      </c>
      <c r="EO48" s="85" t="s">
        <v>81</v>
      </c>
      <c r="EP48" s="85" t="s">
        <v>81</v>
      </c>
      <c r="EQ48" s="85" t="s">
        <v>81</v>
      </c>
      <c r="ER48" s="85" t="s">
        <v>81</v>
      </c>
      <c r="ES48" s="85" t="s">
        <v>81</v>
      </c>
      <c r="ET48" s="85" t="s">
        <v>81</v>
      </c>
      <c r="EU48" s="85" t="s">
        <v>81</v>
      </c>
      <c r="EV48" s="85" t="s">
        <v>81</v>
      </c>
      <c r="EW48" s="85" t="s">
        <v>81</v>
      </c>
      <c r="EX48" s="85" t="s">
        <v>81</v>
      </c>
      <c r="EY48" s="85" t="s">
        <v>81</v>
      </c>
      <c r="EZ48" s="85" t="s">
        <v>81</v>
      </c>
      <c r="FA48" s="85" t="s">
        <v>81</v>
      </c>
      <c r="FB48" s="85" t="s">
        <v>81</v>
      </c>
      <c r="FC48" s="85" t="s">
        <v>81</v>
      </c>
      <c r="FD48" s="85" t="s">
        <v>81</v>
      </c>
      <c r="FE48" s="85" t="s">
        <v>81</v>
      </c>
      <c r="FF48" s="85" t="s">
        <v>81</v>
      </c>
      <c r="FG48" s="85" t="s">
        <v>81</v>
      </c>
      <c r="FH48" s="85" t="s">
        <v>81</v>
      </c>
      <c r="FI48" s="85" t="s">
        <v>81</v>
      </c>
      <c r="FJ48" s="85" t="s">
        <v>81</v>
      </c>
      <c r="FK48" s="85" t="s">
        <v>81</v>
      </c>
      <c r="FL48" s="85" t="s">
        <v>81</v>
      </c>
      <c r="FM48" s="85" t="s">
        <v>81</v>
      </c>
      <c r="FN48" s="85" t="s">
        <v>81</v>
      </c>
      <c r="FO48" s="85" t="s">
        <v>81</v>
      </c>
      <c r="FP48" s="85" t="s">
        <v>81</v>
      </c>
      <c r="FQ48" s="85" t="s">
        <v>81</v>
      </c>
      <c r="FR48" s="85" t="s">
        <v>81</v>
      </c>
      <c r="FS48" s="85" t="s">
        <v>81</v>
      </c>
      <c r="FT48" s="85" t="s">
        <v>81</v>
      </c>
      <c r="FU48" s="85" t="s">
        <v>81</v>
      </c>
      <c r="FV48" s="85" t="s">
        <v>81</v>
      </c>
      <c r="FW48" s="85" t="s">
        <v>81</v>
      </c>
      <c r="FX48" s="85" t="s">
        <v>81</v>
      </c>
      <c r="FY48" s="85" t="s">
        <v>81</v>
      </c>
      <c r="FZ48" s="85" t="s">
        <v>81</v>
      </c>
      <c r="GA48" s="85" t="s">
        <v>81</v>
      </c>
      <c r="GB48" s="85" t="s">
        <v>81</v>
      </c>
      <c r="GC48" s="85" t="s">
        <v>81</v>
      </c>
      <c r="GD48" s="85" t="s">
        <v>81</v>
      </c>
      <c r="GE48" s="85" t="s">
        <v>81</v>
      </c>
      <c r="GF48" s="85" t="s">
        <v>81</v>
      </c>
      <c r="GG48" s="85" t="s">
        <v>81</v>
      </c>
      <c r="GH48" s="85" t="s">
        <v>81</v>
      </c>
      <c r="GI48" s="85" t="s">
        <v>81</v>
      </c>
      <c r="GJ48" s="85" t="s">
        <v>81</v>
      </c>
      <c r="GK48" s="85" t="s">
        <v>81</v>
      </c>
      <c r="GL48" s="85" t="s">
        <v>81</v>
      </c>
      <c r="GM48" s="85" t="s">
        <v>81</v>
      </c>
      <c r="GN48" s="85" t="s">
        <v>81</v>
      </c>
      <c r="GO48" s="85" t="s">
        <v>81</v>
      </c>
      <c r="GP48" s="85" t="s">
        <v>81</v>
      </c>
      <c r="GQ48" s="85" t="s">
        <v>81</v>
      </c>
      <c r="GR48" s="85" t="s">
        <v>81</v>
      </c>
      <c r="GS48" s="85" t="s">
        <v>81</v>
      </c>
      <c r="GT48" s="85" t="s">
        <v>81</v>
      </c>
      <c r="GU48" s="85" t="s">
        <v>81</v>
      </c>
      <c r="GV48" s="85" t="s">
        <v>81</v>
      </c>
      <c r="GW48" s="85" t="s">
        <v>81</v>
      </c>
      <c r="GX48" s="85" t="s">
        <v>81</v>
      </c>
      <c r="GY48" s="85" t="s">
        <v>81</v>
      </c>
      <c r="GZ48" s="85" t="s">
        <v>81</v>
      </c>
      <c r="HA48" s="85" t="s">
        <v>81</v>
      </c>
      <c r="HB48" s="85" t="s">
        <v>81</v>
      </c>
      <c r="HC48" s="85" t="s">
        <v>81</v>
      </c>
      <c r="HD48" s="85" t="s">
        <v>81</v>
      </c>
      <c r="HE48" s="85" t="s">
        <v>81</v>
      </c>
      <c r="HF48" s="85" t="s">
        <v>81</v>
      </c>
      <c r="HG48" s="85" t="s">
        <v>81</v>
      </c>
      <c r="HH48" s="85" t="s">
        <v>81</v>
      </c>
      <c r="HI48" s="85" t="s">
        <v>81</v>
      </c>
      <c r="HJ48" s="85" t="s">
        <v>81</v>
      </c>
      <c r="HK48" s="85" t="s">
        <v>81</v>
      </c>
      <c r="HL48" s="85" t="s">
        <v>81</v>
      </c>
      <c r="HM48" s="85" t="s">
        <v>81</v>
      </c>
      <c r="HN48" s="85" t="s">
        <v>81</v>
      </c>
      <c r="HO48" s="85" t="s">
        <v>81</v>
      </c>
      <c r="HP48" s="85" t="s">
        <v>81</v>
      </c>
      <c r="HQ48" s="85" t="s">
        <v>81</v>
      </c>
      <c r="HR48" s="85" t="s">
        <v>81</v>
      </c>
      <c r="HS48" s="85" t="s">
        <v>81</v>
      </c>
      <c r="HT48" s="85" t="s">
        <v>81</v>
      </c>
      <c r="HU48" s="85" t="s">
        <v>81</v>
      </c>
      <c r="HV48" s="85" t="s">
        <v>81</v>
      </c>
      <c r="HW48" s="85" t="s">
        <v>81</v>
      </c>
      <c r="HX48" s="85" t="s">
        <v>81</v>
      </c>
      <c r="HY48" s="85" t="s">
        <v>81</v>
      </c>
      <c r="HZ48" s="85" t="s">
        <v>81</v>
      </c>
      <c r="IA48" s="85" t="s">
        <v>81</v>
      </c>
      <c r="IB48" s="85" t="s">
        <v>81</v>
      </c>
      <c r="IC48" s="85" t="s">
        <v>81</v>
      </c>
      <c r="ID48" s="85" t="s">
        <v>81</v>
      </c>
      <c r="IE48" s="85" t="s">
        <v>81</v>
      </c>
      <c r="IF48" s="85" t="s">
        <v>81</v>
      </c>
      <c r="IG48" s="85" t="s">
        <v>81</v>
      </c>
      <c r="IH48" s="85" t="s">
        <v>81</v>
      </c>
      <c r="II48" s="85" t="s">
        <v>81</v>
      </c>
      <c r="IJ48" s="85" t="s">
        <v>81</v>
      </c>
      <c r="IK48" s="85" t="s">
        <v>81</v>
      </c>
      <c r="IL48" s="85" t="s">
        <v>81</v>
      </c>
      <c r="IM48" s="85" t="s">
        <v>81</v>
      </c>
      <c r="IN48" s="85" t="s">
        <v>81</v>
      </c>
      <c r="IO48" s="85" t="s">
        <v>81</v>
      </c>
      <c r="IP48" s="85" t="s">
        <v>81</v>
      </c>
      <c r="IQ48" s="85" t="s">
        <v>81</v>
      </c>
      <c r="IR48" s="85" t="s">
        <v>81</v>
      </c>
      <c r="IS48" s="85" t="s">
        <v>81</v>
      </c>
      <c r="IT48" s="85" t="s">
        <v>81</v>
      </c>
      <c r="IU48" s="85" t="s">
        <v>81</v>
      </c>
      <c r="IV48" s="85" t="s">
        <v>81</v>
      </c>
    </row>
    <row r="49" spans="1:256" ht="12.75" customHeight="1">
      <c r="A49" s="77"/>
      <c r="B49" s="108"/>
      <c r="C49" s="77"/>
      <c r="D49" s="77"/>
      <c r="E49" s="85" t="s">
        <v>84</v>
      </c>
      <c r="F49" s="106">
        <v>1031.64</v>
      </c>
      <c r="G49" s="85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 s="77"/>
    </row>
    <row r="50" spans="1:7" ht="12.75" customHeight="1">
      <c r="A50" s="21"/>
      <c r="B50" s="28"/>
      <c r="C50" s="21"/>
      <c r="D50" s="21"/>
      <c r="E50" s="85" t="s">
        <v>123</v>
      </c>
      <c r="F50" s="109">
        <v>77.48</v>
      </c>
      <c r="G50" s="33"/>
    </row>
    <row r="51" spans="1:7" ht="12.75" customHeight="1">
      <c r="A51" s="21"/>
      <c r="B51" s="28"/>
      <c r="C51" s="21"/>
      <c r="D51" s="21"/>
      <c r="E51" s="85" t="s">
        <v>124</v>
      </c>
      <c r="F51" s="109">
        <v>115938.41</v>
      </c>
      <c r="G51" s="33"/>
    </row>
    <row r="52" spans="1:7" ht="12.75" customHeight="1">
      <c r="A52" s="21"/>
      <c r="B52" s="28"/>
      <c r="C52" s="21"/>
      <c r="D52" s="21"/>
      <c r="E52" s="85" t="s">
        <v>202</v>
      </c>
      <c r="F52" s="109">
        <v>154230.79</v>
      </c>
      <c r="G52" s="33"/>
    </row>
    <row r="53" spans="1:7" ht="12.75" customHeight="1">
      <c r="A53" s="21"/>
      <c r="B53" s="28"/>
      <c r="C53" s="21"/>
      <c r="D53" s="21"/>
      <c r="E53" s="85" t="s">
        <v>203</v>
      </c>
      <c r="F53" s="109">
        <v>64129.32</v>
      </c>
      <c r="G53" s="33"/>
    </row>
    <row r="54" spans="1:7" ht="12.75" customHeight="1">
      <c r="A54" s="21"/>
      <c r="B54" s="28"/>
      <c r="C54" s="21"/>
      <c r="D54" s="21"/>
      <c r="E54" s="85" t="s">
        <v>125</v>
      </c>
      <c r="F54" s="109">
        <v>67975.7</v>
      </c>
      <c r="G54" s="33"/>
    </row>
    <row r="55" spans="1:7" ht="12.75" customHeight="1">
      <c r="A55" s="21"/>
      <c r="B55" s="28"/>
      <c r="C55" s="21"/>
      <c r="D55" s="21"/>
      <c r="E55" s="85" t="s">
        <v>70</v>
      </c>
      <c r="F55" s="109">
        <v>74032.5</v>
      </c>
      <c r="G55" s="33"/>
    </row>
    <row r="56" spans="1:7" ht="12.75" customHeight="1">
      <c r="A56" s="21"/>
      <c r="B56" s="28"/>
      <c r="C56" s="21"/>
      <c r="D56" s="21"/>
      <c r="E56" s="85" t="s">
        <v>140</v>
      </c>
      <c r="F56" s="110">
        <v>10638.56</v>
      </c>
      <c r="G56" s="111"/>
    </row>
    <row r="57" spans="1:7" ht="12.75" customHeight="1">
      <c r="A57" s="21"/>
      <c r="B57" s="28"/>
      <c r="C57" s="21"/>
      <c r="D57" s="21"/>
      <c r="E57" s="39"/>
      <c r="F57" s="62"/>
      <c r="G57" s="111"/>
    </row>
    <row r="58" spans="1:7" ht="12.75" customHeight="1">
      <c r="A58" s="21"/>
      <c r="B58" s="28"/>
      <c r="C58" s="79" t="s">
        <v>20</v>
      </c>
      <c r="D58" s="21"/>
      <c r="E58" s="38"/>
      <c r="F58" s="64">
        <f>SUM(F59:F60)</f>
        <v>1840.23</v>
      </c>
      <c r="G58" s="33"/>
    </row>
    <row r="59" spans="1:7" ht="12.75" customHeight="1">
      <c r="A59" s="21"/>
      <c r="B59" s="28"/>
      <c r="C59" s="21"/>
      <c r="D59" s="21"/>
      <c r="E59" s="39" t="s">
        <v>126</v>
      </c>
      <c r="F59" s="87">
        <v>1840.23</v>
      </c>
      <c r="G59" s="33"/>
    </row>
    <row r="60" spans="1:7" ht="12.75" customHeight="1">
      <c r="A60" s="21"/>
      <c r="B60" s="28"/>
      <c r="C60" s="21"/>
      <c r="D60" s="21"/>
      <c r="E60" s="39"/>
      <c r="F60" s="67"/>
      <c r="G60" s="33"/>
    </row>
    <row r="61" spans="1:7" ht="12.75" customHeight="1">
      <c r="A61" s="21"/>
      <c r="B61" s="28"/>
      <c r="C61" s="21"/>
      <c r="D61" s="21"/>
      <c r="E61" s="39"/>
      <c r="F61" s="61"/>
      <c r="G61" s="33"/>
    </row>
    <row r="62" spans="1:7" ht="12.75" customHeight="1">
      <c r="A62" s="21"/>
      <c r="B62" s="28"/>
      <c r="C62" s="79" t="s">
        <v>21</v>
      </c>
      <c r="D62" s="21"/>
      <c r="E62" s="38"/>
      <c r="F62" s="65">
        <f>SUM(F63:F67)</f>
        <v>83338.95</v>
      </c>
      <c r="G62" s="33"/>
    </row>
    <row r="63" spans="1:7" ht="12.75" customHeight="1">
      <c r="A63" s="21"/>
      <c r="B63" s="28"/>
      <c r="D63" s="92" t="s">
        <v>22</v>
      </c>
      <c r="E63" s="41"/>
      <c r="F63" s="90">
        <f>20230.69+2330.1+11355.02+10780.29</f>
        <v>44696.1</v>
      </c>
      <c r="G63" s="33"/>
    </row>
    <row r="64" spans="1:7" ht="12.75" customHeight="1">
      <c r="A64" s="21"/>
      <c r="B64" s="28"/>
      <c r="D64" s="92" t="s">
        <v>23</v>
      </c>
      <c r="E64" s="41"/>
      <c r="F64" s="87">
        <f>24627.88+2316.23+694.61+3012.5+2899.71</f>
        <v>33550.93</v>
      </c>
      <c r="G64" s="33"/>
    </row>
    <row r="65" spans="1:7" ht="12.75" customHeight="1">
      <c r="A65" s="21"/>
      <c r="B65" s="28"/>
      <c r="D65" s="92" t="s">
        <v>24</v>
      </c>
      <c r="E65" s="41"/>
      <c r="F65" s="87">
        <v>5091.92</v>
      </c>
      <c r="G65" s="33"/>
    </row>
    <row r="66" spans="1:7" ht="12.75" customHeight="1">
      <c r="A66" s="21"/>
      <c r="B66" s="28"/>
      <c r="D66" s="92" t="s">
        <v>25</v>
      </c>
      <c r="E66" s="41"/>
      <c r="F66" s="87">
        <v>0</v>
      </c>
      <c r="G66" s="33"/>
    </row>
    <row r="67" spans="1:7" ht="12.75" customHeight="1">
      <c r="A67" s="21"/>
      <c r="B67" s="28"/>
      <c r="D67" s="92" t="s">
        <v>26</v>
      </c>
      <c r="E67" s="41"/>
      <c r="F67" s="87">
        <v>0</v>
      </c>
      <c r="G67" s="33"/>
    </row>
    <row r="68" spans="1:7" ht="12.75" customHeight="1">
      <c r="A68" s="21"/>
      <c r="B68" s="28"/>
      <c r="D68" s="40"/>
      <c r="E68" s="41"/>
      <c r="F68" s="61"/>
      <c r="G68" s="33"/>
    </row>
    <row r="69" spans="1:7" ht="12.75" customHeight="1">
      <c r="A69" s="21"/>
      <c r="B69" s="28"/>
      <c r="C69" s="79" t="s">
        <v>27</v>
      </c>
      <c r="D69" s="21"/>
      <c r="E69" s="38"/>
      <c r="F69" s="65">
        <f>SUM(F70:F74)</f>
        <v>3602.6099999999997</v>
      </c>
      <c r="G69" s="33"/>
    </row>
    <row r="70" spans="1:7" ht="12.75" customHeight="1">
      <c r="A70" s="21"/>
      <c r="B70" s="28"/>
      <c r="C70" s="21"/>
      <c r="D70" s="92" t="s">
        <v>28</v>
      </c>
      <c r="E70" s="41"/>
      <c r="F70" s="90">
        <v>2950.64</v>
      </c>
      <c r="G70" s="33"/>
    </row>
    <row r="71" spans="1:7" ht="12.75" customHeight="1">
      <c r="A71" s="21"/>
      <c r="B71" s="28"/>
      <c r="D71" s="92" t="s">
        <v>29</v>
      </c>
      <c r="E71" s="42"/>
      <c r="F71" s="87">
        <v>651.97</v>
      </c>
      <c r="G71" s="33"/>
    </row>
    <row r="72" spans="1:7" ht="12.75" customHeight="1">
      <c r="A72" s="21"/>
      <c r="B72" s="28"/>
      <c r="D72" s="92" t="s">
        <v>31</v>
      </c>
      <c r="E72" s="41"/>
      <c r="F72" s="87">
        <v>0</v>
      </c>
      <c r="G72" s="33"/>
    </row>
    <row r="73" spans="1:7" ht="12.75" customHeight="1">
      <c r="A73" s="21"/>
      <c r="B73" s="28"/>
      <c r="D73" s="92" t="s">
        <v>32</v>
      </c>
      <c r="E73" s="41"/>
      <c r="F73" s="87"/>
      <c r="G73" s="33"/>
    </row>
    <row r="74" spans="1:7" ht="12.75" customHeight="1">
      <c r="A74" s="21"/>
      <c r="B74" s="28"/>
      <c r="D74" s="40"/>
      <c r="E74" s="93" t="s">
        <v>33</v>
      </c>
      <c r="F74" s="87">
        <v>0</v>
      </c>
      <c r="G74" s="33"/>
    </row>
    <row r="75" spans="1:7" ht="12.75" customHeight="1">
      <c r="A75" s="21"/>
      <c r="B75" s="28"/>
      <c r="D75" s="40"/>
      <c r="E75" s="42"/>
      <c r="F75" s="62"/>
      <c r="G75" s="33"/>
    </row>
    <row r="76" spans="1:7" ht="12.75" customHeight="1">
      <c r="A76" s="21"/>
      <c r="B76" s="28"/>
      <c r="C76" s="79" t="s">
        <v>34</v>
      </c>
      <c r="D76" s="21"/>
      <c r="E76" s="38"/>
      <c r="F76" s="59"/>
      <c r="G76" s="33"/>
    </row>
    <row r="77" spans="1:7" ht="12.75" customHeight="1">
      <c r="A77" s="21"/>
      <c r="B77" s="28"/>
      <c r="D77" s="21"/>
      <c r="E77" s="94" t="s">
        <v>35</v>
      </c>
      <c r="F77" s="66">
        <v>0</v>
      </c>
      <c r="G77" s="33"/>
    </row>
    <row r="78" spans="1:7" ht="12.75" customHeight="1">
      <c r="A78" s="21"/>
      <c r="B78" s="28"/>
      <c r="D78" s="21"/>
      <c r="E78" s="43"/>
      <c r="F78" s="59"/>
      <c r="G78" s="33"/>
    </row>
    <row r="79" spans="1:7" ht="12.75" customHeight="1">
      <c r="A79" s="21"/>
      <c r="B79" s="28"/>
      <c r="C79" s="79" t="s">
        <v>36</v>
      </c>
      <c r="D79" s="21"/>
      <c r="E79" s="38"/>
      <c r="F79" s="66">
        <v>0</v>
      </c>
      <c r="G79" s="33"/>
    </row>
    <row r="80" spans="1:7" ht="12.75" customHeight="1">
      <c r="A80" s="21"/>
      <c r="B80" s="28"/>
      <c r="C80" s="21"/>
      <c r="D80" s="21"/>
      <c r="E80" s="38"/>
      <c r="F80" s="59"/>
      <c r="G80" s="33"/>
    </row>
    <row r="81" spans="1:7" ht="12.75" customHeight="1">
      <c r="A81" s="21"/>
      <c r="B81" s="28"/>
      <c r="C81" s="79" t="s">
        <v>37</v>
      </c>
      <c r="D81" s="21"/>
      <c r="E81" s="38"/>
      <c r="F81" s="66">
        <v>0</v>
      </c>
      <c r="G81" s="33"/>
    </row>
    <row r="82" spans="1:7" ht="12.75" customHeight="1">
      <c r="A82" s="21"/>
      <c r="B82" s="28"/>
      <c r="C82" s="21"/>
      <c r="D82" s="21"/>
      <c r="E82" s="38"/>
      <c r="F82" s="59"/>
      <c r="G82" s="33"/>
    </row>
    <row r="83" spans="1:7" ht="12.75" customHeight="1">
      <c r="A83" s="21"/>
      <c r="B83" s="28"/>
      <c r="C83" s="79" t="s">
        <v>38</v>
      </c>
      <c r="D83" s="21"/>
      <c r="E83" s="38"/>
      <c r="F83" s="66">
        <f>SUM(F84:F86)</f>
        <v>1957.26</v>
      </c>
      <c r="G83" s="33"/>
    </row>
    <row r="84" spans="1:7" ht="12.75" customHeight="1">
      <c r="A84" s="21"/>
      <c r="B84" s="28"/>
      <c r="C84" s="79"/>
      <c r="D84" s="21"/>
      <c r="E84" s="38" t="s">
        <v>127</v>
      </c>
      <c r="F84" s="81">
        <v>1567.46</v>
      </c>
      <c r="G84" s="33"/>
    </row>
    <row r="85" spans="1:7" ht="12.75" customHeight="1">
      <c r="A85" s="21"/>
      <c r="B85" s="28"/>
      <c r="C85" s="79"/>
      <c r="D85" s="21"/>
      <c r="E85" s="38" t="s">
        <v>128</v>
      </c>
      <c r="F85" s="81">
        <v>79.78</v>
      </c>
      <c r="G85" s="33"/>
    </row>
    <row r="86" spans="1:7" ht="12.75" customHeight="1">
      <c r="A86" s="21"/>
      <c r="B86" s="28"/>
      <c r="C86" s="79"/>
      <c r="D86" s="21"/>
      <c r="E86" s="38" t="s">
        <v>129</v>
      </c>
      <c r="F86" s="81">
        <v>310.02</v>
      </c>
      <c r="G86" s="33"/>
    </row>
    <row r="87" spans="1:7" ht="12.75" customHeight="1">
      <c r="A87" s="21"/>
      <c r="B87" s="28"/>
      <c r="C87" s="21"/>
      <c r="D87" s="21"/>
      <c r="E87" s="43"/>
      <c r="F87" s="59" t="s">
        <v>0</v>
      </c>
      <c r="G87" s="33"/>
    </row>
    <row r="88" spans="1:9" ht="16.5" customHeight="1">
      <c r="A88" s="44"/>
      <c r="B88" s="75" t="s">
        <v>39</v>
      </c>
      <c r="C88" s="45"/>
      <c r="D88" s="45"/>
      <c r="E88" s="39"/>
      <c r="F88" s="59" t="s">
        <v>0</v>
      </c>
      <c r="G88" s="98">
        <f>SUM(G19:G83)</f>
        <v>-1384.25</v>
      </c>
      <c r="I88" s="70"/>
    </row>
    <row r="89" spans="1:7" ht="12.75" customHeight="1">
      <c r="A89" s="21"/>
      <c r="B89" s="97" t="s">
        <v>40</v>
      </c>
      <c r="C89" s="21"/>
      <c r="D89" s="21"/>
      <c r="E89" s="43"/>
      <c r="F89" s="59" t="s">
        <v>0</v>
      </c>
      <c r="G89" s="46"/>
    </row>
    <row r="90" spans="2:7" ht="12" customHeight="1">
      <c r="B90" s="47"/>
      <c r="E90" s="38"/>
      <c r="F90" s="59" t="s">
        <v>0</v>
      </c>
      <c r="G90" s="46"/>
    </row>
    <row r="91" spans="2:7" ht="16.5" customHeight="1">
      <c r="B91" s="75" t="s">
        <v>52</v>
      </c>
      <c r="C91" s="35"/>
      <c r="D91" s="35"/>
      <c r="E91" s="48"/>
      <c r="F91" s="60"/>
      <c r="G91" s="98">
        <f>SUM(F93:F95)</f>
        <v>0</v>
      </c>
    </row>
    <row r="92" spans="2:7" ht="12">
      <c r="B92" s="47"/>
      <c r="E92" s="38"/>
      <c r="F92" s="59"/>
      <c r="G92" s="46"/>
    </row>
    <row r="93" spans="2:7" ht="15">
      <c r="B93" s="28"/>
      <c r="C93" s="79" t="s">
        <v>49</v>
      </c>
      <c r="D93" s="21"/>
      <c r="E93" s="38"/>
      <c r="F93" s="64">
        <v>0</v>
      </c>
      <c r="G93" s="46"/>
    </row>
    <row r="94" spans="2:7" ht="15">
      <c r="B94" s="47"/>
      <c r="C94" s="79" t="s">
        <v>50</v>
      </c>
      <c r="E94" s="38"/>
      <c r="F94" s="71">
        <v>0</v>
      </c>
      <c r="G94" s="46"/>
    </row>
    <row r="95" spans="2:7" ht="15">
      <c r="B95" s="47"/>
      <c r="C95" s="79" t="s">
        <v>51</v>
      </c>
      <c r="E95" s="38"/>
      <c r="F95" s="66">
        <v>0</v>
      </c>
      <c r="G95" s="46"/>
    </row>
    <row r="96" spans="2:7" ht="12">
      <c r="B96" s="47"/>
      <c r="E96" s="38"/>
      <c r="F96" s="59"/>
      <c r="G96" s="46"/>
    </row>
    <row r="97" spans="2:7" ht="18">
      <c r="B97" s="75" t="s">
        <v>75</v>
      </c>
      <c r="C97" s="35"/>
      <c r="D97" s="35"/>
      <c r="E97" s="48"/>
      <c r="F97" s="69">
        <v>0</v>
      </c>
      <c r="G97" s="99">
        <v>0</v>
      </c>
    </row>
    <row r="98" spans="2:7" ht="12">
      <c r="B98" s="47"/>
      <c r="E98" s="38"/>
      <c r="F98" s="59"/>
      <c r="G98" s="46"/>
    </row>
    <row r="99" spans="2:7" ht="18">
      <c r="B99" s="75" t="s">
        <v>76</v>
      </c>
      <c r="C99" s="35"/>
      <c r="D99" s="35"/>
      <c r="E99" s="48"/>
      <c r="F99" s="60"/>
      <c r="G99" s="98">
        <f>F101-F102</f>
        <v>1178.76</v>
      </c>
    </row>
    <row r="100" spans="2:7" ht="12">
      <c r="B100" s="47"/>
      <c r="E100" s="38"/>
      <c r="F100" s="59"/>
      <c r="G100" s="46"/>
    </row>
    <row r="101" spans="2:7" ht="14.25">
      <c r="B101" s="47"/>
      <c r="C101" s="79" t="s">
        <v>53</v>
      </c>
      <c r="E101" s="38"/>
      <c r="F101" s="68">
        <v>1178.76</v>
      </c>
      <c r="G101" s="46"/>
    </row>
    <row r="102" spans="2:7" ht="14.25">
      <c r="B102" s="47"/>
      <c r="C102" s="79" t="s">
        <v>54</v>
      </c>
      <c r="E102" s="38"/>
      <c r="F102" s="68">
        <v>0</v>
      </c>
      <c r="G102" s="46"/>
    </row>
    <row r="103" spans="2:7" ht="12">
      <c r="B103" s="47"/>
      <c r="E103" s="38"/>
      <c r="F103" s="59"/>
      <c r="G103" s="46"/>
    </row>
    <row r="104" spans="2:7" ht="12">
      <c r="B104" s="47"/>
      <c r="E104" s="38"/>
      <c r="F104" s="59"/>
      <c r="G104" s="46"/>
    </row>
    <row r="105" spans="2:9" ht="18">
      <c r="B105" s="31"/>
      <c r="E105" s="100" t="s">
        <v>55</v>
      </c>
      <c r="F105" s="59"/>
      <c r="G105" s="101">
        <f>G88+G91+G97+G99</f>
        <v>-205.49</v>
      </c>
      <c r="I105" s="70"/>
    </row>
    <row r="106" spans="2:7" ht="12">
      <c r="B106" s="49"/>
      <c r="C106" s="50"/>
      <c r="D106" s="50"/>
      <c r="E106" s="51"/>
      <c r="F106" s="52"/>
      <c r="G106" s="53"/>
    </row>
    <row r="111" spans="5:7" ht="15.75">
      <c r="E111" s="103" t="s">
        <v>111</v>
      </c>
      <c r="G111" s="107">
        <f>828267.98*7.7/100</f>
        <v>63776.63446</v>
      </c>
    </row>
    <row r="113" spans="5:7" ht="15.75">
      <c r="E113" s="103" t="s">
        <v>112</v>
      </c>
      <c r="G113" s="107">
        <f>-952694.23*7.7/100-1.15</f>
        <v>-73358.60571</v>
      </c>
    </row>
    <row r="115" spans="5:7" ht="18">
      <c r="E115" s="103" t="s">
        <v>104</v>
      </c>
      <c r="G115" s="104">
        <f>G105+G111+G113</f>
        <v>-9787.46125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scale="89" r:id="rId1"/>
  <rowBreaks count="1" manualBreakCount="1">
    <brk id="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5"/>
  <sheetViews>
    <sheetView workbookViewId="0" topLeftCell="A1">
      <selection activeCell="G9" sqref="G9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130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154447.5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67292.08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131</v>
      </c>
      <c r="F21" s="80">
        <f>8011.85+59280.23</f>
        <v>67292.08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SUM(F28:F29)</f>
        <v>87155.42000000001</v>
      </c>
      <c r="G27" s="33"/>
    </row>
    <row r="28" spans="1:7" ht="12.75" customHeight="1">
      <c r="A28" s="21"/>
      <c r="B28" s="28"/>
      <c r="C28" s="76"/>
      <c r="D28" s="76" t="s">
        <v>30</v>
      </c>
      <c r="E28" s="77" t="s">
        <v>132</v>
      </c>
      <c r="F28" s="80">
        <v>86798.85</v>
      </c>
      <c r="G28" s="33"/>
    </row>
    <row r="29" spans="1:7" ht="12.75" customHeight="1">
      <c r="A29" s="21"/>
      <c r="B29" s="28"/>
      <c r="C29" s="76"/>
      <c r="D29" s="78" t="s">
        <v>30</v>
      </c>
      <c r="E29" s="77" t="s">
        <v>44</v>
      </c>
      <c r="F29" s="80">
        <v>356.57</v>
      </c>
      <c r="G29" s="34"/>
    </row>
    <row r="30" spans="1:7" ht="12.75" customHeight="1">
      <c r="A30" s="21"/>
      <c r="B30" s="28"/>
      <c r="C30" s="21"/>
      <c r="D30" s="21"/>
      <c r="E30" s="21"/>
      <c r="F30" s="59"/>
      <c r="G30" s="33"/>
    </row>
    <row r="31" spans="1:7" s="37" customFormat="1" ht="15.75" customHeight="1">
      <c r="A31" s="35"/>
      <c r="B31" s="75" t="s">
        <v>16</v>
      </c>
      <c r="C31" s="35"/>
      <c r="D31" s="35"/>
      <c r="E31" s="36"/>
      <c r="F31" s="60"/>
      <c r="G31" s="84">
        <f>-(F33+F38+F49+F53+F60+F68+F70+F72+F74)</f>
        <v>-175560.79</v>
      </c>
    </row>
    <row r="32" spans="1:7" ht="12.75" customHeight="1">
      <c r="A32" s="21"/>
      <c r="B32" s="28"/>
      <c r="C32" s="79" t="s">
        <v>17</v>
      </c>
      <c r="D32" s="21"/>
      <c r="F32" s="59" t="s">
        <v>0</v>
      </c>
      <c r="G32" s="33"/>
    </row>
    <row r="33" spans="1:7" ht="12.75" customHeight="1">
      <c r="A33" s="21"/>
      <c r="B33" s="28"/>
      <c r="D33" s="79" t="s">
        <v>18</v>
      </c>
      <c r="E33" s="38"/>
      <c r="F33" s="65">
        <f>SUM(F34:F36)</f>
        <v>3019.67</v>
      </c>
      <c r="G33" s="33"/>
    </row>
    <row r="34" spans="1:7" ht="12.75" customHeight="1">
      <c r="A34" s="21"/>
      <c r="B34" s="28"/>
      <c r="D34" s="21"/>
      <c r="E34" s="85" t="s">
        <v>108</v>
      </c>
      <c r="F34" s="87">
        <f>485.78+169.75</f>
        <v>655.53</v>
      </c>
      <c r="G34" s="33"/>
    </row>
    <row r="35" spans="1:7" ht="12.75" customHeight="1">
      <c r="A35" s="21"/>
      <c r="B35" s="28"/>
      <c r="D35" s="21"/>
      <c r="E35" s="85" t="s">
        <v>109</v>
      </c>
      <c r="F35" s="96">
        <v>2364.14</v>
      </c>
      <c r="G35" s="33"/>
    </row>
    <row r="36" spans="1:7" ht="12.75" customHeight="1">
      <c r="A36" s="21"/>
      <c r="B36" s="28"/>
      <c r="D36" s="21"/>
      <c r="E36" s="85"/>
      <c r="F36" s="83"/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SUM(F39:F47)</f>
        <v>19381.66</v>
      </c>
      <c r="G38" s="33"/>
    </row>
    <row r="39" spans="1:7" ht="12.75" customHeight="1">
      <c r="A39" s="21"/>
      <c r="B39" s="28"/>
      <c r="C39" s="79"/>
      <c r="D39" s="21"/>
      <c r="E39" s="38" t="s">
        <v>204</v>
      </c>
      <c r="F39" s="86">
        <v>9234</v>
      </c>
      <c r="G39" s="33"/>
    </row>
    <row r="40" spans="1:7" ht="12.75" customHeight="1">
      <c r="A40" s="21"/>
      <c r="B40" s="28"/>
      <c r="C40" s="79"/>
      <c r="D40" s="21"/>
      <c r="E40" s="38" t="s">
        <v>78</v>
      </c>
      <c r="F40" s="86">
        <v>2085.97</v>
      </c>
      <c r="G40" s="33"/>
    </row>
    <row r="41" spans="1:7" ht="12.75" customHeight="1">
      <c r="A41" s="21"/>
      <c r="B41" s="28"/>
      <c r="C41" s="79"/>
      <c r="D41" s="21"/>
      <c r="E41" s="38" t="s">
        <v>79</v>
      </c>
      <c r="F41" s="86">
        <f>598.29+94.64</f>
        <v>692.93</v>
      </c>
      <c r="G41" s="33"/>
    </row>
    <row r="42" spans="1:7" ht="12.75" customHeight="1">
      <c r="A42" s="21"/>
      <c r="B42" s="28"/>
      <c r="C42" s="21"/>
      <c r="D42" s="21"/>
      <c r="E42" s="85" t="s">
        <v>133</v>
      </c>
      <c r="F42" s="87">
        <v>34.89</v>
      </c>
      <c r="G42" s="33"/>
    </row>
    <row r="43" spans="1:256" ht="12.75" customHeight="1">
      <c r="A43" s="85"/>
      <c r="B43" s="77"/>
      <c r="C43" s="77"/>
      <c r="D43" s="77"/>
      <c r="E43" s="85" t="s">
        <v>121</v>
      </c>
      <c r="F43" s="105">
        <v>943.23</v>
      </c>
      <c r="G43" s="85"/>
      <c r="H43" s="77"/>
      <c r="I43" s="77"/>
      <c r="J43" s="77"/>
      <c r="K43" s="77"/>
      <c r="L43" s="77"/>
      <c r="M43" s="77"/>
      <c r="N43" s="77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 t="s">
        <v>81</v>
      </c>
      <c r="BE43" s="85" t="s">
        <v>81</v>
      </c>
      <c r="BF43" s="85" t="s">
        <v>81</v>
      </c>
      <c r="BG43" s="85" t="s">
        <v>81</v>
      </c>
      <c r="BH43" s="85" t="s">
        <v>81</v>
      </c>
      <c r="BI43" s="85" t="s">
        <v>81</v>
      </c>
      <c r="BJ43" s="85" t="s">
        <v>81</v>
      </c>
      <c r="BK43" s="85" t="s">
        <v>81</v>
      </c>
      <c r="BL43" s="85" t="s">
        <v>81</v>
      </c>
      <c r="BM43" s="85" t="s">
        <v>81</v>
      </c>
      <c r="BN43" s="85" t="s">
        <v>81</v>
      </c>
      <c r="BO43" s="85" t="s">
        <v>81</v>
      </c>
      <c r="BP43" s="85" t="s">
        <v>81</v>
      </c>
      <c r="BQ43" s="85" t="s">
        <v>81</v>
      </c>
      <c r="BR43" s="85" t="s">
        <v>81</v>
      </c>
      <c r="BS43" s="85" t="s">
        <v>81</v>
      </c>
      <c r="BT43" s="85" t="s">
        <v>81</v>
      </c>
      <c r="BU43" s="85" t="s">
        <v>81</v>
      </c>
      <c r="BV43" s="85" t="s">
        <v>81</v>
      </c>
      <c r="BW43" s="85" t="s">
        <v>81</v>
      </c>
      <c r="BX43" s="85" t="s">
        <v>81</v>
      </c>
      <c r="BY43" s="85" t="s">
        <v>81</v>
      </c>
      <c r="BZ43" s="85" t="s">
        <v>81</v>
      </c>
      <c r="CA43" s="85" t="s">
        <v>81</v>
      </c>
      <c r="CB43" s="85" t="s">
        <v>81</v>
      </c>
      <c r="CC43" s="85" t="s">
        <v>81</v>
      </c>
      <c r="CD43" s="85" t="s">
        <v>81</v>
      </c>
      <c r="CE43" s="85" t="s">
        <v>81</v>
      </c>
      <c r="CF43" s="85" t="s">
        <v>81</v>
      </c>
      <c r="CG43" s="85" t="s">
        <v>81</v>
      </c>
      <c r="CH43" s="85" t="s">
        <v>81</v>
      </c>
      <c r="CI43" s="85" t="s">
        <v>81</v>
      </c>
      <c r="CJ43" s="85" t="s">
        <v>81</v>
      </c>
      <c r="CK43" s="85" t="s">
        <v>81</v>
      </c>
      <c r="CL43" s="85" t="s">
        <v>81</v>
      </c>
      <c r="CM43" s="85" t="s">
        <v>81</v>
      </c>
      <c r="CN43" s="85" t="s">
        <v>81</v>
      </c>
      <c r="CO43" s="85" t="s">
        <v>81</v>
      </c>
      <c r="CP43" s="85" t="s">
        <v>81</v>
      </c>
      <c r="CQ43" s="85" t="s">
        <v>81</v>
      </c>
      <c r="CR43" s="85" t="s">
        <v>81</v>
      </c>
      <c r="CS43" s="85" t="s">
        <v>81</v>
      </c>
      <c r="CT43" s="85" t="s">
        <v>81</v>
      </c>
      <c r="CU43" s="85" t="s">
        <v>81</v>
      </c>
      <c r="CV43" s="85" t="s">
        <v>81</v>
      </c>
      <c r="CW43" s="85" t="s">
        <v>81</v>
      </c>
      <c r="CX43" s="85" t="s">
        <v>81</v>
      </c>
      <c r="CY43" s="85" t="s">
        <v>81</v>
      </c>
      <c r="CZ43" s="85" t="s">
        <v>81</v>
      </c>
      <c r="DA43" s="85" t="s">
        <v>81</v>
      </c>
      <c r="DB43" s="85" t="s">
        <v>81</v>
      </c>
      <c r="DC43" s="85" t="s">
        <v>81</v>
      </c>
      <c r="DD43" s="85" t="s">
        <v>81</v>
      </c>
      <c r="DE43" s="85" t="s">
        <v>81</v>
      </c>
      <c r="DF43" s="85" t="s">
        <v>81</v>
      </c>
      <c r="DG43" s="85" t="s">
        <v>81</v>
      </c>
      <c r="DH43" s="85" t="s">
        <v>81</v>
      </c>
      <c r="DI43" s="85" t="s">
        <v>81</v>
      </c>
      <c r="DJ43" s="85" t="s">
        <v>81</v>
      </c>
      <c r="DK43" s="85" t="s">
        <v>81</v>
      </c>
      <c r="DL43" s="85" t="s">
        <v>81</v>
      </c>
      <c r="DM43" s="85" t="s">
        <v>81</v>
      </c>
      <c r="DN43" s="85" t="s">
        <v>81</v>
      </c>
      <c r="DO43" s="85" t="s">
        <v>81</v>
      </c>
      <c r="DP43" s="85" t="s">
        <v>81</v>
      </c>
      <c r="DQ43" s="85" t="s">
        <v>81</v>
      </c>
      <c r="DR43" s="85" t="s">
        <v>81</v>
      </c>
      <c r="DS43" s="85" t="s">
        <v>81</v>
      </c>
      <c r="DT43" s="85" t="s">
        <v>81</v>
      </c>
      <c r="DU43" s="85" t="s">
        <v>81</v>
      </c>
      <c r="DV43" s="85" t="s">
        <v>81</v>
      </c>
      <c r="DW43" s="85" t="s">
        <v>81</v>
      </c>
      <c r="DX43" s="85" t="s">
        <v>81</v>
      </c>
      <c r="DY43" s="85" t="s">
        <v>81</v>
      </c>
      <c r="DZ43" s="85" t="s">
        <v>81</v>
      </c>
      <c r="EA43" s="85" t="s">
        <v>81</v>
      </c>
      <c r="EB43" s="85" t="s">
        <v>81</v>
      </c>
      <c r="EC43" s="85" t="s">
        <v>81</v>
      </c>
      <c r="ED43" s="85" t="s">
        <v>81</v>
      </c>
      <c r="EE43" s="85" t="s">
        <v>81</v>
      </c>
      <c r="EF43" s="85" t="s">
        <v>81</v>
      </c>
      <c r="EG43" s="85" t="s">
        <v>81</v>
      </c>
      <c r="EH43" s="85" t="s">
        <v>81</v>
      </c>
      <c r="EI43" s="85" t="s">
        <v>81</v>
      </c>
      <c r="EJ43" s="85" t="s">
        <v>81</v>
      </c>
      <c r="EK43" s="85" t="s">
        <v>81</v>
      </c>
      <c r="EL43" s="85" t="s">
        <v>81</v>
      </c>
      <c r="EM43" s="85" t="s">
        <v>81</v>
      </c>
      <c r="EN43" s="85" t="s">
        <v>81</v>
      </c>
      <c r="EO43" s="85" t="s">
        <v>81</v>
      </c>
      <c r="EP43" s="85" t="s">
        <v>81</v>
      </c>
      <c r="EQ43" s="85" t="s">
        <v>81</v>
      </c>
      <c r="ER43" s="85" t="s">
        <v>81</v>
      </c>
      <c r="ES43" s="85" t="s">
        <v>81</v>
      </c>
      <c r="ET43" s="85" t="s">
        <v>81</v>
      </c>
      <c r="EU43" s="85" t="s">
        <v>81</v>
      </c>
      <c r="EV43" s="85" t="s">
        <v>81</v>
      </c>
      <c r="EW43" s="85" t="s">
        <v>81</v>
      </c>
      <c r="EX43" s="85" t="s">
        <v>81</v>
      </c>
      <c r="EY43" s="85" t="s">
        <v>81</v>
      </c>
      <c r="EZ43" s="85" t="s">
        <v>81</v>
      </c>
      <c r="FA43" s="85" t="s">
        <v>81</v>
      </c>
      <c r="FB43" s="85" t="s">
        <v>81</v>
      </c>
      <c r="FC43" s="85" t="s">
        <v>81</v>
      </c>
      <c r="FD43" s="85" t="s">
        <v>81</v>
      </c>
      <c r="FE43" s="85" t="s">
        <v>81</v>
      </c>
      <c r="FF43" s="85" t="s">
        <v>81</v>
      </c>
      <c r="FG43" s="85" t="s">
        <v>81</v>
      </c>
      <c r="FH43" s="85" t="s">
        <v>81</v>
      </c>
      <c r="FI43" s="85" t="s">
        <v>81</v>
      </c>
      <c r="FJ43" s="85" t="s">
        <v>81</v>
      </c>
      <c r="FK43" s="85" t="s">
        <v>81</v>
      </c>
      <c r="FL43" s="85" t="s">
        <v>81</v>
      </c>
      <c r="FM43" s="85" t="s">
        <v>81</v>
      </c>
      <c r="FN43" s="85" t="s">
        <v>81</v>
      </c>
      <c r="FO43" s="85" t="s">
        <v>81</v>
      </c>
      <c r="FP43" s="85" t="s">
        <v>81</v>
      </c>
      <c r="FQ43" s="85" t="s">
        <v>81</v>
      </c>
      <c r="FR43" s="85" t="s">
        <v>81</v>
      </c>
      <c r="FS43" s="85" t="s">
        <v>81</v>
      </c>
      <c r="FT43" s="85" t="s">
        <v>81</v>
      </c>
      <c r="FU43" s="85" t="s">
        <v>81</v>
      </c>
      <c r="FV43" s="85" t="s">
        <v>81</v>
      </c>
      <c r="FW43" s="85" t="s">
        <v>81</v>
      </c>
      <c r="FX43" s="85" t="s">
        <v>81</v>
      </c>
      <c r="FY43" s="85" t="s">
        <v>81</v>
      </c>
      <c r="FZ43" s="85" t="s">
        <v>81</v>
      </c>
      <c r="GA43" s="85" t="s">
        <v>81</v>
      </c>
      <c r="GB43" s="85" t="s">
        <v>81</v>
      </c>
      <c r="GC43" s="85" t="s">
        <v>81</v>
      </c>
      <c r="GD43" s="85" t="s">
        <v>81</v>
      </c>
      <c r="GE43" s="85" t="s">
        <v>81</v>
      </c>
      <c r="GF43" s="85" t="s">
        <v>81</v>
      </c>
      <c r="GG43" s="85" t="s">
        <v>81</v>
      </c>
      <c r="GH43" s="85" t="s">
        <v>81</v>
      </c>
      <c r="GI43" s="85" t="s">
        <v>81</v>
      </c>
      <c r="GJ43" s="85" t="s">
        <v>81</v>
      </c>
      <c r="GK43" s="85" t="s">
        <v>81</v>
      </c>
      <c r="GL43" s="85" t="s">
        <v>81</v>
      </c>
      <c r="GM43" s="85" t="s">
        <v>81</v>
      </c>
      <c r="GN43" s="85" t="s">
        <v>81</v>
      </c>
      <c r="GO43" s="85" t="s">
        <v>81</v>
      </c>
      <c r="GP43" s="85" t="s">
        <v>81</v>
      </c>
      <c r="GQ43" s="85" t="s">
        <v>81</v>
      </c>
      <c r="GR43" s="85" t="s">
        <v>81</v>
      </c>
      <c r="GS43" s="85" t="s">
        <v>81</v>
      </c>
      <c r="GT43" s="85" t="s">
        <v>81</v>
      </c>
      <c r="GU43" s="85" t="s">
        <v>81</v>
      </c>
      <c r="GV43" s="85" t="s">
        <v>81</v>
      </c>
      <c r="GW43" s="85" t="s">
        <v>81</v>
      </c>
      <c r="GX43" s="85" t="s">
        <v>81</v>
      </c>
      <c r="GY43" s="85" t="s">
        <v>81</v>
      </c>
      <c r="GZ43" s="85" t="s">
        <v>81</v>
      </c>
      <c r="HA43" s="85" t="s">
        <v>81</v>
      </c>
      <c r="HB43" s="85" t="s">
        <v>81</v>
      </c>
      <c r="HC43" s="85" t="s">
        <v>81</v>
      </c>
      <c r="HD43" s="85" t="s">
        <v>81</v>
      </c>
      <c r="HE43" s="85" t="s">
        <v>81</v>
      </c>
      <c r="HF43" s="85" t="s">
        <v>81</v>
      </c>
      <c r="HG43" s="85" t="s">
        <v>81</v>
      </c>
      <c r="HH43" s="85" t="s">
        <v>81</v>
      </c>
      <c r="HI43" s="85" t="s">
        <v>81</v>
      </c>
      <c r="HJ43" s="85" t="s">
        <v>81</v>
      </c>
      <c r="HK43" s="85" t="s">
        <v>81</v>
      </c>
      <c r="HL43" s="85" t="s">
        <v>81</v>
      </c>
      <c r="HM43" s="85" t="s">
        <v>81</v>
      </c>
      <c r="HN43" s="85" t="s">
        <v>81</v>
      </c>
      <c r="HO43" s="85" t="s">
        <v>81</v>
      </c>
      <c r="HP43" s="85" t="s">
        <v>81</v>
      </c>
      <c r="HQ43" s="85" t="s">
        <v>81</v>
      </c>
      <c r="HR43" s="85" t="s">
        <v>81</v>
      </c>
      <c r="HS43" s="85" t="s">
        <v>81</v>
      </c>
      <c r="HT43" s="85" t="s">
        <v>81</v>
      </c>
      <c r="HU43" s="85" t="s">
        <v>81</v>
      </c>
      <c r="HV43" s="85" t="s">
        <v>81</v>
      </c>
      <c r="HW43" s="85" t="s">
        <v>81</v>
      </c>
      <c r="HX43" s="85" t="s">
        <v>81</v>
      </c>
      <c r="HY43" s="85" t="s">
        <v>81</v>
      </c>
      <c r="HZ43" s="85" t="s">
        <v>81</v>
      </c>
      <c r="IA43" s="85" t="s">
        <v>81</v>
      </c>
      <c r="IB43" s="85" t="s">
        <v>81</v>
      </c>
      <c r="IC43" s="85" t="s">
        <v>81</v>
      </c>
      <c r="ID43" s="85" t="s">
        <v>81</v>
      </c>
      <c r="IE43" s="85" t="s">
        <v>81</v>
      </c>
      <c r="IF43" s="85" t="s">
        <v>81</v>
      </c>
      <c r="IG43" s="85" t="s">
        <v>81</v>
      </c>
      <c r="IH43" s="85" t="s">
        <v>81</v>
      </c>
      <c r="II43" s="85" t="s">
        <v>81</v>
      </c>
      <c r="IJ43" s="85" t="s">
        <v>81</v>
      </c>
      <c r="IK43" s="85" t="s">
        <v>81</v>
      </c>
      <c r="IL43" s="85" t="s">
        <v>81</v>
      </c>
      <c r="IM43" s="85" t="s">
        <v>81</v>
      </c>
      <c r="IN43" s="85" t="s">
        <v>81</v>
      </c>
      <c r="IO43" s="85" t="s">
        <v>81</v>
      </c>
      <c r="IP43" s="85" t="s">
        <v>81</v>
      </c>
      <c r="IQ43" s="85" t="s">
        <v>81</v>
      </c>
      <c r="IR43" s="85" t="s">
        <v>81</v>
      </c>
      <c r="IS43" s="85" t="s">
        <v>81</v>
      </c>
      <c r="IT43" s="85" t="s">
        <v>81</v>
      </c>
      <c r="IU43" s="85" t="s">
        <v>81</v>
      </c>
      <c r="IV43" s="85" t="s">
        <v>81</v>
      </c>
    </row>
    <row r="44" spans="1:256" ht="12.75" customHeight="1">
      <c r="A44" s="77"/>
      <c r="B44" s="108"/>
      <c r="C44" s="77"/>
      <c r="D44" s="77"/>
      <c r="E44" s="85" t="s">
        <v>84</v>
      </c>
      <c r="F44" s="106">
        <v>118.2</v>
      </c>
      <c r="G44" s="85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7" ht="12.75" customHeight="1">
      <c r="A45" s="21"/>
      <c r="B45" s="28"/>
      <c r="C45" s="21"/>
      <c r="D45" s="21"/>
      <c r="E45" s="85" t="s">
        <v>134</v>
      </c>
      <c r="F45" s="87">
        <v>3879.18</v>
      </c>
      <c r="G45" s="33"/>
    </row>
    <row r="46" spans="1:7" ht="12.75" customHeight="1">
      <c r="A46" s="21"/>
      <c r="B46" s="28"/>
      <c r="C46" s="21"/>
      <c r="D46" s="21"/>
      <c r="E46" s="85" t="s">
        <v>122</v>
      </c>
      <c r="F46" s="109">
        <v>37.2</v>
      </c>
      <c r="G46" s="33"/>
    </row>
    <row r="47" spans="1:7" ht="12.75" customHeight="1">
      <c r="A47" s="21"/>
      <c r="B47" s="28"/>
      <c r="C47" s="21"/>
      <c r="D47" s="21"/>
      <c r="E47" s="85" t="s">
        <v>93</v>
      </c>
      <c r="F47" s="109">
        <v>2356.06</v>
      </c>
      <c r="G47" s="33"/>
    </row>
    <row r="48" spans="1:7" ht="12.75" customHeight="1">
      <c r="A48" s="21"/>
      <c r="B48" s="28"/>
      <c r="C48" s="21"/>
      <c r="D48" s="21"/>
      <c r="E48" s="39"/>
      <c r="F48" s="62"/>
      <c r="G48" s="111"/>
    </row>
    <row r="49" spans="1:7" ht="12.75" customHeight="1">
      <c r="A49" s="21"/>
      <c r="B49" s="28"/>
      <c r="C49" s="79" t="s">
        <v>20</v>
      </c>
      <c r="D49" s="21"/>
      <c r="E49" s="38"/>
      <c r="F49" s="64">
        <f>SUM(F50:F51)</f>
        <v>300</v>
      </c>
      <c r="G49" s="33"/>
    </row>
    <row r="50" spans="1:7" ht="12.75" customHeight="1">
      <c r="A50" s="21"/>
      <c r="B50" s="28"/>
      <c r="C50" s="21"/>
      <c r="D50" s="21"/>
      <c r="E50" s="39" t="s">
        <v>135</v>
      </c>
      <c r="F50" s="87">
        <v>300</v>
      </c>
      <c r="G50" s="33"/>
    </row>
    <row r="51" spans="1:7" ht="12.75" customHeight="1">
      <c r="A51" s="21"/>
      <c r="B51" s="28"/>
      <c r="C51" s="21"/>
      <c r="D51" s="21"/>
      <c r="E51" s="39"/>
      <c r="F51" s="67"/>
      <c r="G51" s="33"/>
    </row>
    <row r="52" spans="1:7" ht="12.75" customHeight="1">
      <c r="A52" s="21"/>
      <c r="B52" s="28"/>
      <c r="C52" s="21"/>
      <c r="D52" s="21"/>
      <c r="E52" s="39"/>
      <c r="F52" s="61"/>
      <c r="G52" s="33"/>
    </row>
    <row r="53" spans="1:7" ht="12.75" customHeight="1">
      <c r="A53" s="21"/>
      <c r="B53" s="28"/>
      <c r="C53" s="79" t="s">
        <v>21</v>
      </c>
      <c r="D53" s="21"/>
      <c r="E53" s="38"/>
      <c r="F53" s="65">
        <f>SUM(F54:F58)</f>
        <v>152042.06</v>
      </c>
      <c r="G53" s="33"/>
    </row>
    <row r="54" spans="1:7" ht="12.75" customHeight="1">
      <c r="A54" s="21"/>
      <c r="B54" s="28"/>
      <c r="D54" s="92" t="s">
        <v>22</v>
      </c>
      <c r="E54" s="41"/>
      <c r="F54" s="90">
        <f>109149.66+1456.31+1876.63+7560.58</f>
        <v>120043.18000000001</v>
      </c>
      <c r="G54" s="33"/>
    </row>
    <row r="55" spans="1:7" ht="12.75" customHeight="1">
      <c r="A55" s="21"/>
      <c r="B55" s="28"/>
      <c r="D55" s="92" t="s">
        <v>23</v>
      </c>
      <c r="E55" s="41"/>
      <c r="F55" s="87">
        <f>19276.01+1544.15+434.13+446.64+1799.42</f>
        <v>23500.35</v>
      </c>
      <c r="G55" s="33"/>
    </row>
    <row r="56" spans="1:7" ht="12.75" customHeight="1">
      <c r="A56" s="21"/>
      <c r="B56" s="28"/>
      <c r="D56" s="92" t="s">
        <v>24</v>
      </c>
      <c r="E56" s="41"/>
      <c r="F56" s="87">
        <v>8498.53</v>
      </c>
      <c r="G56" s="33"/>
    </row>
    <row r="57" spans="1:7" ht="12.75" customHeight="1">
      <c r="A57" s="21"/>
      <c r="B57" s="28"/>
      <c r="D57" s="92" t="s">
        <v>25</v>
      </c>
      <c r="E57" s="41"/>
      <c r="F57" s="87">
        <v>0</v>
      </c>
      <c r="G57" s="33"/>
    </row>
    <row r="58" spans="1:7" ht="12.75" customHeight="1">
      <c r="A58" s="21"/>
      <c r="B58" s="28"/>
      <c r="D58" s="92" t="s">
        <v>26</v>
      </c>
      <c r="E58" s="41"/>
      <c r="F58" s="87">
        <v>0</v>
      </c>
      <c r="G58" s="33"/>
    </row>
    <row r="59" spans="1:7" ht="12.75" customHeight="1">
      <c r="A59" s="21"/>
      <c r="B59" s="28"/>
      <c r="D59" s="40"/>
      <c r="E59" s="41"/>
      <c r="F59" s="61"/>
      <c r="G59" s="33"/>
    </row>
    <row r="60" spans="1:7" ht="12.75" customHeight="1">
      <c r="A60" s="21"/>
      <c r="B60" s="28"/>
      <c r="C60" s="79" t="s">
        <v>27</v>
      </c>
      <c r="D60" s="21"/>
      <c r="E60" s="38"/>
      <c r="F60" s="65">
        <f>SUM(F61:F65)</f>
        <v>425.43</v>
      </c>
      <c r="G60" s="33"/>
    </row>
    <row r="61" spans="1:7" ht="12.75" customHeight="1">
      <c r="A61" s="21"/>
      <c r="B61" s="28"/>
      <c r="C61" s="21"/>
      <c r="D61" s="92" t="s">
        <v>28</v>
      </c>
      <c r="E61" s="41"/>
      <c r="F61" s="90">
        <v>0</v>
      </c>
      <c r="G61" s="33"/>
    </row>
    <row r="62" spans="1:7" ht="12.75" customHeight="1">
      <c r="A62" s="21"/>
      <c r="B62" s="28"/>
      <c r="D62" s="92" t="s">
        <v>29</v>
      </c>
      <c r="E62" s="42"/>
      <c r="F62" s="87">
        <v>425.43</v>
      </c>
      <c r="G62" s="33"/>
    </row>
    <row r="63" spans="1:7" ht="12.75" customHeight="1">
      <c r="A63" s="21"/>
      <c r="B63" s="28"/>
      <c r="D63" s="92" t="s">
        <v>31</v>
      </c>
      <c r="E63" s="41"/>
      <c r="F63" s="87">
        <v>0</v>
      </c>
      <c r="G63" s="33"/>
    </row>
    <row r="64" spans="1:7" ht="12.75" customHeight="1">
      <c r="A64" s="21"/>
      <c r="B64" s="28"/>
      <c r="D64" s="92" t="s">
        <v>32</v>
      </c>
      <c r="E64" s="41"/>
      <c r="F64" s="87"/>
      <c r="G64" s="33"/>
    </row>
    <row r="65" spans="1:7" ht="12.75" customHeight="1">
      <c r="A65" s="21"/>
      <c r="B65" s="28"/>
      <c r="D65" s="40"/>
      <c r="E65" s="93" t="s">
        <v>33</v>
      </c>
      <c r="F65" s="87">
        <v>0</v>
      </c>
      <c r="G65" s="33"/>
    </row>
    <row r="66" spans="1:7" ht="12.75" customHeight="1">
      <c r="A66" s="21"/>
      <c r="B66" s="28"/>
      <c r="D66" s="40"/>
      <c r="E66" s="42"/>
      <c r="F66" s="62"/>
      <c r="G66" s="33"/>
    </row>
    <row r="67" spans="1:7" ht="12.75" customHeight="1">
      <c r="A67" s="21"/>
      <c r="B67" s="28"/>
      <c r="C67" s="79" t="s">
        <v>34</v>
      </c>
      <c r="D67" s="21"/>
      <c r="E67" s="38"/>
      <c r="F67" s="59"/>
      <c r="G67" s="33"/>
    </row>
    <row r="68" spans="1:7" ht="12.75" customHeight="1">
      <c r="A68" s="21"/>
      <c r="B68" s="28"/>
      <c r="D68" s="21"/>
      <c r="E68" s="94" t="s">
        <v>35</v>
      </c>
      <c r="F68" s="66">
        <v>0</v>
      </c>
      <c r="G68" s="33"/>
    </row>
    <row r="69" spans="1:7" ht="12.75" customHeight="1">
      <c r="A69" s="21"/>
      <c r="B69" s="28"/>
      <c r="D69" s="21"/>
      <c r="E69" s="43"/>
      <c r="F69" s="59"/>
      <c r="G69" s="33"/>
    </row>
    <row r="70" spans="1:7" ht="12.75" customHeight="1">
      <c r="A70" s="21"/>
      <c r="B70" s="28"/>
      <c r="C70" s="79" t="s">
        <v>36</v>
      </c>
      <c r="D70" s="21"/>
      <c r="E70" s="38"/>
      <c r="F70" s="66">
        <v>0</v>
      </c>
      <c r="G70" s="33"/>
    </row>
    <row r="71" spans="1:7" ht="12.75" customHeight="1">
      <c r="A71" s="21"/>
      <c r="B71" s="28"/>
      <c r="C71" s="21"/>
      <c r="D71" s="21"/>
      <c r="E71" s="38"/>
      <c r="F71" s="59"/>
      <c r="G71" s="33"/>
    </row>
    <row r="72" spans="1:7" ht="12.75" customHeight="1">
      <c r="A72" s="21"/>
      <c r="B72" s="28"/>
      <c r="C72" s="79" t="s">
        <v>37</v>
      </c>
      <c r="D72" s="21"/>
      <c r="E72" s="38"/>
      <c r="F72" s="66">
        <v>0</v>
      </c>
      <c r="G72" s="33"/>
    </row>
    <row r="73" spans="1:7" ht="12.75" customHeight="1">
      <c r="A73" s="21"/>
      <c r="B73" s="28"/>
      <c r="C73" s="21"/>
      <c r="D73" s="21"/>
      <c r="E73" s="38"/>
      <c r="F73" s="59"/>
      <c r="G73" s="33"/>
    </row>
    <row r="74" spans="1:7" ht="12.75" customHeight="1">
      <c r="A74" s="21"/>
      <c r="B74" s="28"/>
      <c r="C74" s="79" t="s">
        <v>38</v>
      </c>
      <c r="D74" s="21"/>
      <c r="E74" s="38"/>
      <c r="F74" s="66">
        <f>SUM(F75:F76)</f>
        <v>391.96999999999997</v>
      </c>
      <c r="G74" s="33"/>
    </row>
    <row r="75" spans="1:7" ht="12.75" customHeight="1">
      <c r="A75" s="21"/>
      <c r="B75" s="28"/>
      <c r="C75" s="79"/>
      <c r="D75" s="21"/>
      <c r="E75" s="85" t="s">
        <v>127</v>
      </c>
      <c r="F75" s="81">
        <v>356.57</v>
      </c>
      <c r="G75" s="33"/>
    </row>
    <row r="76" spans="1:7" ht="12.75" customHeight="1">
      <c r="A76" s="21"/>
      <c r="B76" s="28"/>
      <c r="C76" s="79"/>
      <c r="D76" s="21"/>
      <c r="E76" s="85" t="s">
        <v>128</v>
      </c>
      <c r="F76" s="81">
        <v>35.4</v>
      </c>
      <c r="G76" s="33"/>
    </row>
    <row r="77" spans="1:7" ht="12.75" customHeight="1">
      <c r="A77" s="21"/>
      <c r="B77" s="28"/>
      <c r="C77" s="21"/>
      <c r="D77" s="21"/>
      <c r="E77" s="43"/>
      <c r="F77" s="59" t="s">
        <v>0</v>
      </c>
      <c r="G77" s="33"/>
    </row>
    <row r="78" spans="1:9" ht="16.5" customHeight="1">
      <c r="A78" s="44"/>
      <c r="B78" s="75" t="s">
        <v>39</v>
      </c>
      <c r="C78" s="45"/>
      <c r="D78" s="45"/>
      <c r="E78" s="39"/>
      <c r="F78" s="59" t="s">
        <v>0</v>
      </c>
      <c r="G78" s="98">
        <f>SUM(G19:G74)</f>
        <v>-21113.290000000008</v>
      </c>
      <c r="I78" s="70"/>
    </row>
    <row r="79" spans="1:7" ht="12.75" customHeight="1">
      <c r="A79" s="21"/>
      <c r="B79" s="97" t="s">
        <v>40</v>
      </c>
      <c r="C79" s="21"/>
      <c r="D79" s="21"/>
      <c r="E79" s="43"/>
      <c r="F79" s="59" t="s">
        <v>0</v>
      </c>
      <c r="G79" s="46"/>
    </row>
    <row r="80" spans="2:7" ht="12" customHeight="1">
      <c r="B80" s="47"/>
      <c r="E80" s="38"/>
      <c r="F80" s="59" t="s">
        <v>0</v>
      </c>
      <c r="G80" s="46"/>
    </row>
    <row r="81" spans="2:7" ht="16.5" customHeight="1">
      <c r="B81" s="75" t="s">
        <v>52</v>
      </c>
      <c r="C81" s="35"/>
      <c r="D81" s="35"/>
      <c r="E81" s="48"/>
      <c r="F81" s="60"/>
      <c r="G81" s="98">
        <f>SUM(F83:F85)</f>
        <v>0</v>
      </c>
    </row>
    <row r="82" spans="2:7" ht="12">
      <c r="B82" s="47"/>
      <c r="E82" s="38"/>
      <c r="F82" s="59"/>
      <c r="G82" s="46"/>
    </row>
    <row r="83" spans="2:7" ht="15">
      <c r="B83" s="28"/>
      <c r="C83" s="79" t="s">
        <v>49</v>
      </c>
      <c r="D83" s="21"/>
      <c r="E83" s="38"/>
      <c r="F83" s="64">
        <v>0</v>
      </c>
      <c r="G83" s="46"/>
    </row>
    <row r="84" spans="2:7" ht="15">
      <c r="B84" s="47"/>
      <c r="C84" s="79" t="s">
        <v>50</v>
      </c>
      <c r="E84" s="38"/>
      <c r="F84" s="71">
        <v>0</v>
      </c>
      <c r="G84" s="46"/>
    </row>
    <row r="85" spans="2:7" ht="15">
      <c r="B85" s="47"/>
      <c r="C85" s="79" t="s">
        <v>51</v>
      </c>
      <c r="E85" s="38"/>
      <c r="F85" s="66">
        <v>0</v>
      </c>
      <c r="G85" s="46"/>
    </row>
    <row r="86" spans="2:7" ht="12">
      <c r="B86" s="47"/>
      <c r="E86" s="38"/>
      <c r="F86" s="59"/>
      <c r="G86" s="46"/>
    </row>
    <row r="87" spans="2:7" ht="18">
      <c r="B87" s="75" t="s">
        <v>75</v>
      </c>
      <c r="C87" s="35"/>
      <c r="D87" s="35"/>
      <c r="E87" s="48"/>
      <c r="F87" s="69">
        <v>0</v>
      </c>
      <c r="G87" s="99">
        <v>0</v>
      </c>
    </row>
    <row r="88" spans="2:7" ht="12">
      <c r="B88" s="47"/>
      <c r="E88" s="38"/>
      <c r="F88" s="59"/>
      <c r="G88" s="46"/>
    </row>
    <row r="89" spans="2:7" ht="18">
      <c r="B89" s="75" t="s">
        <v>76</v>
      </c>
      <c r="C89" s="35"/>
      <c r="D89" s="35"/>
      <c r="E89" s="48"/>
      <c r="F89" s="60"/>
      <c r="G89" s="98">
        <f>F91-F92</f>
        <v>0</v>
      </c>
    </row>
    <row r="90" spans="2:7" ht="12">
      <c r="B90" s="47"/>
      <c r="E90" s="38"/>
      <c r="F90" s="59"/>
      <c r="G90" s="46"/>
    </row>
    <row r="91" spans="2:7" ht="14.25">
      <c r="B91" s="47"/>
      <c r="C91" s="79" t="s">
        <v>53</v>
      </c>
      <c r="E91" s="38"/>
      <c r="F91" s="68">
        <v>0</v>
      </c>
      <c r="G91" s="46"/>
    </row>
    <row r="92" spans="2:7" ht="14.25">
      <c r="B92" s="47"/>
      <c r="C92" s="79" t="s">
        <v>54</v>
      </c>
      <c r="E92" s="38"/>
      <c r="F92" s="68">
        <v>0</v>
      </c>
      <c r="G92" s="46"/>
    </row>
    <row r="93" spans="2:7" ht="12">
      <c r="B93" s="47"/>
      <c r="E93" s="38"/>
      <c r="F93" s="59"/>
      <c r="G93" s="46"/>
    </row>
    <row r="94" spans="2:7" ht="12">
      <c r="B94" s="47"/>
      <c r="E94" s="38"/>
      <c r="F94" s="59"/>
      <c r="G94" s="46"/>
    </row>
    <row r="95" spans="2:9" ht="18">
      <c r="B95" s="31"/>
      <c r="E95" s="100" t="s">
        <v>55</v>
      </c>
      <c r="F95" s="59"/>
      <c r="G95" s="101">
        <f>G78+G81+G87+G89</f>
        <v>-21113.290000000008</v>
      </c>
      <c r="I95" s="70"/>
    </row>
    <row r="96" spans="2:7" ht="12">
      <c r="B96" s="49"/>
      <c r="C96" s="50"/>
      <c r="D96" s="50"/>
      <c r="E96" s="51"/>
      <c r="F96" s="52"/>
      <c r="G96" s="53"/>
    </row>
    <row r="101" spans="5:7" ht="15.75">
      <c r="E101" s="103" t="s">
        <v>111</v>
      </c>
      <c r="G101" s="107">
        <f>828267.98*2.25/100</f>
        <v>18636.02955</v>
      </c>
    </row>
    <row r="103" spans="5:7" ht="15.75">
      <c r="E103" s="103" t="s">
        <v>112</v>
      </c>
      <c r="G103" s="107">
        <f>-952694.23*2.25/100+2.72</f>
        <v>-21432.900175</v>
      </c>
    </row>
    <row r="105" spans="5:7" ht="18">
      <c r="E105" s="103" t="s">
        <v>104</v>
      </c>
      <c r="G105" s="104">
        <f>G95+G101+G103</f>
        <v>-23910.160625000008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1" r:id="rId1"/>
  <rowBreaks count="1" manualBreakCount="1">
    <brk id="5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workbookViewId="0" topLeftCell="A1">
      <selection activeCell="F4" sqref="F4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144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F20+F25+F26+F27+F29</f>
        <v>250977.99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SUM(F21:F23)</f>
        <v>119928.97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205</v>
      </c>
      <c r="F21" s="80">
        <f>11000+33498.19</f>
        <v>44498.19</v>
      </c>
      <c r="G21" s="32"/>
    </row>
    <row r="22" spans="1:7" ht="12.75" customHeight="1">
      <c r="A22" s="21"/>
      <c r="B22" s="28"/>
      <c r="C22" s="76"/>
      <c r="D22" s="76" t="s">
        <v>30</v>
      </c>
      <c r="E22" s="77" t="s">
        <v>136</v>
      </c>
      <c r="F22" s="80">
        <v>39918.89</v>
      </c>
      <c r="G22" s="32"/>
    </row>
    <row r="23" spans="1:7" ht="12.75" customHeight="1">
      <c r="A23" s="21"/>
      <c r="B23" s="28"/>
      <c r="C23" s="76"/>
      <c r="D23" s="76" t="s">
        <v>30</v>
      </c>
      <c r="E23" s="77" t="s">
        <v>137</v>
      </c>
      <c r="F23" s="80">
        <v>35511.89</v>
      </c>
      <c r="G23" s="32"/>
    </row>
    <row r="24" spans="1:7" ht="12.75" customHeight="1">
      <c r="A24" s="21"/>
      <c r="B24" s="28"/>
      <c r="C24" s="76" t="s">
        <v>8</v>
      </c>
      <c r="D24" s="76" t="s">
        <v>9</v>
      </c>
      <c r="E24" s="77"/>
      <c r="F24" s="81"/>
      <c r="G24" s="32"/>
    </row>
    <row r="25" spans="1:7" ht="12.75" customHeight="1">
      <c r="A25" s="21"/>
      <c r="B25" s="28"/>
      <c r="C25" s="76"/>
      <c r="D25" s="76" t="s">
        <v>10</v>
      </c>
      <c r="E25" s="77"/>
      <c r="F25" s="81">
        <v>0</v>
      </c>
      <c r="G25" s="32"/>
    </row>
    <row r="26" spans="1:7" ht="12.75" customHeight="1">
      <c r="A26" s="21"/>
      <c r="B26" s="28"/>
      <c r="C26" s="76" t="s">
        <v>11</v>
      </c>
      <c r="D26" s="76" t="s">
        <v>12</v>
      </c>
      <c r="E26" s="77"/>
      <c r="F26" s="81">
        <v>0</v>
      </c>
      <c r="G26" s="32"/>
    </row>
    <row r="27" spans="1:7" ht="12.75" customHeight="1">
      <c r="A27" s="21"/>
      <c r="B27" s="28"/>
      <c r="C27" s="76" t="s">
        <v>13</v>
      </c>
      <c r="D27" s="76"/>
      <c r="E27" s="77"/>
      <c r="F27" s="81">
        <v>0</v>
      </c>
      <c r="G27" s="32"/>
    </row>
    <row r="28" spans="1:7" ht="12.75" customHeight="1">
      <c r="A28" s="21"/>
      <c r="B28" s="28"/>
      <c r="C28" s="76" t="s">
        <v>14</v>
      </c>
      <c r="D28" s="76"/>
      <c r="E28" s="77"/>
      <c r="F28" s="81" t="s">
        <v>0</v>
      </c>
      <c r="G28" s="33"/>
    </row>
    <row r="29" spans="1:7" ht="12.75" customHeight="1">
      <c r="A29" s="21"/>
      <c r="B29" s="28"/>
      <c r="C29" s="76"/>
      <c r="D29" s="76" t="s">
        <v>15</v>
      </c>
      <c r="E29" s="77"/>
      <c r="F29" s="64">
        <f>SUM(F30:F32)</f>
        <v>131049.02</v>
      </c>
      <c r="G29" s="33"/>
    </row>
    <row r="30" spans="1:7" ht="12.75" customHeight="1">
      <c r="A30" s="21"/>
      <c r="B30" s="28"/>
      <c r="C30" s="76"/>
      <c r="D30" s="76" t="s">
        <v>30</v>
      </c>
      <c r="E30" s="77" t="s">
        <v>138</v>
      </c>
      <c r="F30" s="80">
        <v>51645</v>
      </c>
      <c r="G30" s="33"/>
    </row>
    <row r="31" spans="1:7" ht="12.75" customHeight="1">
      <c r="A31" s="21"/>
      <c r="B31" s="28"/>
      <c r="C31" s="76"/>
      <c r="D31" s="76" t="s">
        <v>30</v>
      </c>
      <c r="E31" s="77" t="s">
        <v>206</v>
      </c>
      <c r="F31" s="80">
        <v>77916.67</v>
      </c>
      <c r="G31" s="33"/>
    </row>
    <row r="32" spans="1:7" ht="12.75" customHeight="1">
      <c r="A32" s="21"/>
      <c r="B32" s="28"/>
      <c r="C32" s="76"/>
      <c r="D32" s="78" t="s">
        <v>30</v>
      </c>
      <c r="E32" s="77" t="s">
        <v>44</v>
      </c>
      <c r="F32" s="80">
        <f>787.35+700</f>
        <v>1487.35</v>
      </c>
      <c r="G32" s="34"/>
    </row>
    <row r="33" spans="1:7" ht="12.75" customHeight="1">
      <c r="A33" s="21"/>
      <c r="B33" s="28"/>
      <c r="C33" s="21"/>
      <c r="D33" s="21"/>
      <c r="E33" s="21"/>
      <c r="F33" s="59"/>
      <c r="G33" s="33"/>
    </row>
    <row r="34" spans="1:7" s="37" customFormat="1" ht="15.75" customHeight="1">
      <c r="A34" s="35"/>
      <c r="B34" s="75" t="s">
        <v>16</v>
      </c>
      <c r="C34" s="35"/>
      <c r="D34" s="35"/>
      <c r="E34" s="36"/>
      <c r="F34" s="60"/>
      <c r="G34" s="84">
        <f>-(F36+F41+F52+F58+F65+F73+F75+F77+F79)</f>
        <v>-224429.75999999998</v>
      </c>
    </row>
    <row r="35" spans="1:7" ht="12.75" customHeight="1">
      <c r="A35" s="21"/>
      <c r="B35" s="28"/>
      <c r="C35" s="79" t="s">
        <v>17</v>
      </c>
      <c r="D35" s="21"/>
      <c r="F35" s="59" t="s">
        <v>0</v>
      </c>
      <c r="G35" s="33"/>
    </row>
    <row r="36" spans="1:7" ht="12.75" customHeight="1">
      <c r="A36" s="21"/>
      <c r="B36" s="28"/>
      <c r="D36" s="79" t="s">
        <v>18</v>
      </c>
      <c r="E36" s="38"/>
      <c r="F36" s="65">
        <f>SUM(F37:F39)</f>
        <v>29224.3</v>
      </c>
      <c r="G36" s="33"/>
    </row>
    <row r="37" spans="1:7" ht="12.75" customHeight="1">
      <c r="A37" s="21"/>
      <c r="B37" s="28"/>
      <c r="D37" s="21"/>
      <c r="E37" s="85" t="s">
        <v>108</v>
      </c>
      <c r="F37" s="87">
        <v>536.68</v>
      </c>
      <c r="G37" s="33"/>
    </row>
    <row r="38" spans="1:7" ht="12.75" customHeight="1">
      <c r="A38" s="21"/>
      <c r="B38" s="28"/>
      <c r="D38" s="21"/>
      <c r="E38" s="85" t="s">
        <v>109</v>
      </c>
      <c r="F38" s="96">
        <v>28687.62</v>
      </c>
      <c r="G38" s="33"/>
    </row>
    <row r="39" spans="1:7" ht="12.75" customHeight="1">
      <c r="A39" s="21"/>
      <c r="B39" s="28"/>
      <c r="D39" s="21"/>
      <c r="E39" s="85"/>
      <c r="F39" s="83"/>
      <c r="G39" s="33"/>
    </row>
    <row r="40" spans="1:7" ht="12.75" customHeight="1">
      <c r="A40" s="21"/>
      <c r="B40" s="28"/>
      <c r="D40" s="21"/>
      <c r="E40" s="38"/>
      <c r="F40" s="62"/>
      <c r="G40" s="33"/>
    </row>
    <row r="41" spans="1:7" ht="12.75" customHeight="1">
      <c r="A41" s="21"/>
      <c r="B41" s="28"/>
      <c r="C41" s="79" t="s">
        <v>19</v>
      </c>
      <c r="D41" s="21"/>
      <c r="E41" s="38"/>
      <c r="F41" s="65">
        <f>SUM(F42:F50)</f>
        <v>84808.73</v>
      </c>
      <c r="G41" s="33"/>
    </row>
    <row r="42" spans="1:7" ht="12.75" customHeight="1">
      <c r="A42" s="21"/>
      <c r="B42" s="28"/>
      <c r="C42" s="79"/>
      <c r="D42" s="21"/>
      <c r="E42" s="38" t="s">
        <v>78</v>
      </c>
      <c r="F42" s="86">
        <v>10235.41</v>
      </c>
      <c r="G42" s="33"/>
    </row>
    <row r="43" spans="1:7" ht="12.75" customHeight="1">
      <c r="A43" s="21"/>
      <c r="B43" s="28"/>
      <c r="C43" s="79"/>
      <c r="D43" s="21"/>
      <c r="E43" s="38" t="s">
        <v>79</v>
      </c>
      <c r="F43" s="86">
        <f>8417.03+981.06</f>
        <v>9398.09</v>
      </c>
      <c r="G43" s="33"/>
    </row>
    <row r="44" spans="1:7" ht="12.75" customHeight="1">
      <c r="A44" s="21"/>
      <c r="B44" s="28"/>
      <c r="C44" s="21"/>
      <c r="D44" s="21"/>
      <c r="E44" s="85" t="s">
        <v>133</v>
      </c>
      <c r="F44" s="87">
        <f>2345.34+318.8</f>
        <v>2664.1400000000003</v>
      </c>
      <c r="G44" s="33"/>
    </row>
    <row r="45" spans="1:256" ht="12.75" customHeight="1">
      <c r="A45" s="85"/>
      <c r="B45" s="77"/>
      <c r="C45" s="77"/>
      <c r="D45" s="77"/>
      <c r="E45" s="85" t="s">
        <v>121</v>
      </c>
      <c r="F45" s="105">
        <v>875.34</v>
      </c>
      <c r="G45" s="85"/>
      <c r="H45" s="77"/>
      <c r="I45" s="77"/>
      <c r="J45" s="77"/>
      <c r="K45" s="77"/>
      <c r="L45" s="77"/>
      <c r="M45" s="77"/>
      <c r="N45" s="77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 t="s">
        <v>81</v>
      </c>
      <c r="BE45" s="85" t="s">
        <v>81</v>
      </c>
      <c r="BF45" s="85" t="s">
        <v>81</v>
      </c>
      <c r="BG45" s="85" t="s">
        <v>81</v>
      </c>
      <c r="BH45" s="85" t="s">
        <v>81</v>
      </c>
      <c r="BI45" s="85" t="s">
        <v>81</v>
      </c>
      <c r="BJ45" s="85" t="s">
        <v>81</v>
      </c>
      <c r="BK45" s="85" t="s">
        <v>81</v>
      </c>
      <c r="BL45" s="85" t="s">
        <v>81</v>
      </c>
      <c r="BM45" s="85" t="s">
        <v>81</v>
      </c>
      <c r="BN45" s="85" t="s">
        <v>81</v>
      </c>
      <c r="BO45" s="85" t="s">
        <v>81</v>
      </c>
      <c r="BP45" s="85" t="s">
        <v>81</v>
      </c>
      <c r="BQ45" s="85" t="s">
        <v>81</v>
      </c>
      <c r="BR45" s="85" t="s">
        <v>81</v>
      </c>
      <c r="BS45" s="85" t="s">
        <v>81</v>
      </c>
      <c r="BT45" s="85" t="s">
        <v>81</v>
      </c>
      <c r="BU45" s="85" t="s">
        <v>81</v>
      </c>
      <c r="BV45" s="85" t="s">
        <v>81</v>
      </c>
      <c r="BW45" s="85" t="s">
        <v>81</v>
      </c>
      <c r="BX45" s="85" t="s">
        <v>81</v>
      </c>
      <c r="BY45" s="85" t="s">
        <v>81</v>
      </c>
      <c r="BZ45" s="85" t="s">
        <v>81</v>
      </c>
      <c r="CA45" s="85" t="s">
        <v>81</v>
      </c>
      <c r="CB45" s="85" t="s">
        <v>81</v>
      </c>
      <c r="CC45" s="85" t="s">
        <v>81</v>
      </c>
      <c r="CD45" s="85" t="s">
        <v>81</v>
      </c>
      <c r="CE45" s="85" t="s">
        <v>81</v>
      </c>
      <c r="CF45" s="85" t="s">
        <v>81</v>
      </c>
      <c r="CG45" s="85" t="s">
        <v>81</v>
      </c>
      <c r="CH45" s="85" t="s">
        <v>81</v>
      </c>
      <c r="CI45" s="85" t="s">
        <v>81</v>
      </c>
      <c r="CJ45" s="85" t="s">
        <v>81</v>
      </c>
      <c r="CK45" s="85" t="s">
        <v>81</v>
      </c>
      <c r="CL45" s="85" t="s">
        <v>81</v>
      </c>
      <c r="CM45" s="85" t="s">
        <v>81</v>
      </c>
      <c r="CN45" s="85" t="s">
        <v>81</v>
      </c>
      <c r="CO45" s="85" t="s">
        <v>81</v>
      </c>
      <c r="CP45" s="85" t="s">
        <v>81</v>
      </c>
      <c r="CQ45" s="85" t="s">
        <v>81</v>
      </c>
      <c r="CR45" s="85" t="s">
        <v>81</v>
      </c>
      <c r="CS45" s="85" t="s">
        <v>81</v>
      </c>
      <c r="CT45" s="85" t="s">
        <v>81</v>
      </c>
      <c r="CU45" s="85" t="s">
        <v>81</v>
      </c>
      <c r="CV45" s="85" t="s">
        <v>81</v>
      </c>
      <c r="CW45" s="85" t="s">
        <v>81</v>
      </c>
      <c r="CX45" s="85" t="s">
        <v>81</v>
      </c>
      <c r="CY45" s="85" t="s">
        <v>81</v>
      </c>
      <c r="CZ45" s="85" t="s">
        <v>81</v>
      </c>
      <c r="DA45" s="85" t="s">
        <v>81</v>
      </c>
      <c r="DB45" s="85" t="s">
        <v>81</v>
      </c>
      <c r="DC45" s="85" t="s">
        <v>81</v>
      </c>
      <c r="DD45" s="85" t="s">
        <v>81</v>
      </c>
      <c r="DE45" s="85" t="s">
        <v>81</v>
      </c>
      <c r="DF45" s="85" t="s">
        <v>81</v>
      </c>
      <c r="DG45" s="85" t="s">
        <v>81</v>
      </c>
      <c r="DH45" s="85" t="s">
        <v>81</v>
      </c>
      <c r="DI45" s="85" t="s">
        <v>81</v>
      </c>
      <c r="DJ45" s="85" t="s">
        <v>81</v>
      </c>
      <c r="DK45" s="85" t="s">
        <v>81</v>
      </c>
      <c r="DL45" s="85" t="s">
        <v>81</v>
      </c>
      <c r="DM45" s="85" t="s">
        <v>81</v>
      </c>
      <c r="DN45" s="85" t="s">
        <v>81</v>
      </c>
      <c r="DO45" s="85" t="s">
        <v>81</v>
      </c>
      <c r="DP45" s="85" t="s">
        <v>81</v>
      </c>
      <c r="DQ45" s="85" t="s">
        <v>81</v>
      </c>
      <c r="DR45" s="85" t="s">
        <v>81</v>
      </c>
      <c r="DS45" s="85" t="s">
        <v>81</v>
      </c>
      <c r="DT45" s="85" t="s">
        <v>81</v>
      </c>
      <c r="DU45" s="85" t="s">
        <v>81</v>
      </c>
      <c r="DV45" s="85" t="s">
        <v>81</v>
      </c>
      <c r="DW45" s="85" t="s">
        <v>81</v>
      </c>
      <c r="DX45" s="85" t="s">
        <v>81</v>
      </c>
      <c r="DY45" s="85" t="s">
        <v>81</v>
      </c>
      <c r="DZ45" s="85" t="s">
        <v>81</v>
      </c>
      <c r="EA45" s="85" t="s">
        <v>81</v>
      </c>
      <c r="EB45" s="85" t="s">
        <v>81</v>
      </c>
      <c r="EC45" s="85" t="s">
        <v>81</v>
      </c>
      <c r="ED45" s="85" t="s">
        <v>81</v>
      </c>
      <c r="EE45" s="85" t="s">
        <v>81</v>
      </c>
      <c r="EF45" s="85" t="s">
        <v>81</v>
      </c>
      <c r="EG45" s="85" t="s">
        <v>81</v>
      </c>
      <c r="EH45" s="85" t="s">
        <v>81</v>
      </c>
      <c r="EI45" s="85" t="s">
        <v>81</v>
      </c>
      <c r="EJ45" s="85" t="s">
        <v>81</v>
      </c>
      <c r="EK45" s="85" t="s">
        <v>81</v>
      </c>
      <c r="EL45" s="85" t="s">
        <v>81</v>
      </c>
      <c r="EM45" s="85" t="s">
        <v>81</v>
      </c>
      <c r="EN45" s="85" t="s">
        <v>81</v>
      </c>
      <c r="EO45" s="85" t="s">
        <v>81</v>
      </c>
      <c r="EP45" s="85" t="s">
        <v>81</v>
      </c>
      <c r="EQ45" s="85" t="s">
        <v>81</v>
      </c>
      <c r="ER45" s="85" t="s">
        <v>81</v>
      </c>
      <c r="ES45" s="85" t="s">
        <v>81</v>
      </c>
      <c r="ET45" s="85" t="s">
        <v>81</v>
      </c>
      <c r="EU45" s="85" t="s">
        <v>81</v>
      </c>
      <c r="EV45" s="85" t="s">
        <v>81</v>
      </c>
      <c r="EW45" s="85" t="s">
        <v>81</v>
      </c>
      <c r="EX45" s="85" t="s">
        <v>81</v>
      </c>
      <c r="EY45" s="85" t="s">
        <v>81</v>
      </c>
      <c r="EZ45" s="85" t="s">
        <v>81</v>
      </c>
      <c r="FA45" s="85" t="s">
        <v>81</v>
      </c>
      <c r="FB45" s="85" t="s">
        <v>81</v>
      </c>
      <c r="FC45" s="85" t="s">
        <v>81</v>
      </c>
      <c r="FD45" s="85" t="s">
        <v>81</v>
      </c>
      <c r="FE45" s="85" t="s">
        <v>81</v>
      </c>
      <c r="FF45" s="85" t="s">
        <v>81</v>
      </c>
      <c r="FG45" s="85" t="s">
        <v>81</v>
      </c>
      <c r="FH45" s="85" t="s">
        <v>81</v>
      </c>
      <c r="FI45" s="85" t="s">
        <v>81</v>
      </c>
      <c r="FJ45" s="85" t="s">
        <v>81</v>
      </c>
      <c r="FK45" s="85" t="s">
        <v>81</v>
      </c>
      <c r="FL45" s="85" t="s">
        <v>81</v>
      </c>
      <c r="FM45" s="85" t="s">
        <v>81</v>
      </c>
      <c r="FN45" s="85" t="s">
        <v>81</v>
      </c>
      <c r="FO45" s="85" t="s">
        <v>81</v>
      </c>
      <c r="FP45" s="85" t="s">
        <v>81</v>
      </c>
      <c r="FQ45" s="85" t="s">
        <v>81</v>
      </c>
      <c r="FR45" s="85" t="s">
        <v>81</v>
      </c>
      <c r="FS45" s="85" t="s">
        <v>81</v>
      </c>
      <c r="FT45" s="85" t="s">
        <v>81</v>
      </c>
      <c r="FU45" s="85" t="s">
        <v>81</v>
      </c>
      <c r="FV45" s="85" t="s">
        <v>81</v>
      </c>
      <c r="FW45" s="85" t="s">
        <v>81</v>
      </c>
      <c r="FX45" s="85" t="s">
        <v>81</v>
      </c>
      <c r="FY45" s="85" t="s">
        <v>81</v>
      </c>
      <c r="FZ45" s="85" t="s">
        <v>81</v>
      </c>
      <c r="GA45" s="85" t="s">
        <v>81</v>
      </c>
      <c r="GB45" s="85" t="s">
        <v>81</v>
      </c>
      <c r="GC45" s="85" t="s">
        <v>81</v>
      </c>
      <c r="GD45" s="85" t="s">
        <v>81</v>
      </c>
      <c r="GE45" s="85" t="s">
        <v>81</v>
      </c>
      <c r="GF45" s="85" t="s">
        <v>81</v>
      </c>
      <c r="GG45" s="85" t="s">
        <v>81</v>
      </c>
      <c r="GH45" s="85" t="s">
        <v>81</v>
      </c>
      <c r="GI45" s="85" t="s">
        <v>81</v>
      </c>
      <c r="GJ45" s="85" t="s">
        <v>81</v>
      </c>
      <c r="GK45" s="85" t="s">
        <v>81</v>
      </c>
      <c r="GL45" s="85" t="s">
        <v>81</v>
      </c>
      <c r="GM45" s="85" t="s">
        <v>81</v>
      </c>
      <c r="GN45" s="85" t="s">
        <v>81</v>
      </c>
      <c r="GO45" s="85" t="s">
        <v>81</v>
      </c>
      <c r="GP45" s="85" t="s">
        <v>81</v>
      </c>
      <c r="GQ45" s="85" t="s">
        <v>81</v>
      </c>
      <c r="GR45" s="85" t="s">
        <v>81</v>
      </c>
      <c r="GS45" s="85" t="s">
        <v>81</v>
      </c>
      <c r="GT45" s="85" t="s">
        <v>81</v>
      </c>
      <c r="GU45" s="85" t="s">
        <v>81</v>
      </c>
      <c r="GV45" s="85" t="s">
        <v>81</v>
      </c>
      <c r="GW45" s="85" t="s">
        <v>81</v>
      </c>
      <c r="GX45" s="85" t="s">
        <v>81</v>
      </c>
      <c r="GY45" s="85" t="s">
        <v>81</v>
      </c>
      <c r="GZ45" s="85" t="s">
        <v>81</v>
      </c>
      <c r="HA45" s="85" t="s">
        <v>81</v>
      </c>
      <c r="HB45" s="85" t="s">
        <v>81</v>
      </c>
      <c r="HC45" s="85" t="s">
        <v>81</v>
      </c>
      <c r="HD45" s="85" t="s">
        <v>81</v>
      </c>
      <c r="HE45" s="85" t="s">
        <v>81</v>
      </c>
      <c r="HF45" s="85" t="s">
        <v>81</v>
      </c>
      <c r="HG45" s="85" t="s">
        <v>81</v>
      </c>
      <c r="HH45" s="85" t="s">
        <v>81</v>
      </c>
      <c r="HI45" s="85" t="s">
        <v>81</v>
      </c>
      <c r="HJ45" s="85" t="s">
        <v>81</v>
      </c>
      <c r="HK45" s="85" t="s">
        <v>81</v>
      </c>
      <c r="HL45" s="85" t="s">
        <v>81</v>
      </c>
      <c r="HM45" s="85" t="s">
        <v>81</v>
      </c>
      <c r="HN45" s="85" t="s">
        <v>81</v>
      </c>
      <c r="HO45" s="85" t="s">
        <v>81</v>
      </c>
      <c r="HP45" s="85" t="s">
        <v>81</v>
      </c>
      <c r="HQ45" s="85" t="s">
        <v>81</v>
      </c>
      <c r="HR45" s="85" t="s">
        <v>81</v>
      </c>
      <c r="HS45" s="85" t="s">
        <v>81</v>
      </c>
      <c r="HT45" s="85" t="s">
        <v>81</v>
      </c>
      <c r="HU45" s="85" t="s">
        <v>81</v>
      </c>
      <c r="HV45" s="85" t="s">
        <v>81</v>
      </c>
      <c r="HW45" s="85" t="s">
        <v>81</v>
      </c>
      <c r="HX45" s="85" t="s">
        <v>81</v>
      </c>
      <c r="HY45" s="85" t="s">
        <v>81</v>
      </c>
      <c r="HZ45" s="85" t="s">
        <v>81</v>
      </c>
      <c r="IA45" s="85" t="s">
        <v>81</v>
      </c>
      <c r="IB45" s="85" t="s">
        <v>81</v>
      </c>
      <c r="IC45" s="85" t="s">
        <v>81</v>
      </c>
      <c r="ID45" s="85" t="s">
        <v>81</v>
      </c>
      <c r="IE45" s="85" t="s">
        <v>81</v>
      </c>
      <c r="IF45" s="85" t="s">
        <v>81</v>
      </c>
      <c r="IG45" s="85" t="s">
        <v>81</v>
      </c>
      <c r="IH45" s="85" t="s">
        <v>81</v>
      </c>
      <c r="II45" s="85" t="s">
        <v>81</v>
      </c>
      <c r="IJ45" s="85" t="s">
        <v>81</v>
      </c>
      <c r="IK45" s="85" t="s">
        <v>81</v>
      </c>
      <c r="IL45" s="85" t="s">
        <v>81</v>
      </c>
      <c r="IM45" s="85" t="s">
        <v>81</v>
      </c>
      <c r="IN45" s="85" t="s">
        <v>81</v>
      </c>
      <c r="IO45" s="85" t="s">
        <v>81</v>
      </c>
      <c r="IP45" s="85" t="s">
        <v>81</v>
      </c>
      <c r="IQ45" s="85" t="s">
        <v>81</v>
      </c>
      <c r="IR45" s="85" t="s">
        <v>81</v>
      </c>
      <c r="IS45" s="85" t="s">
        <v>81</v>
      </c>
      <c r="IT45" s="85" t="s">
        <v>81</v>
      </c>
      <c r="IU45" s="85" t="s">
        <v>81</v>
      </c>
      <c r="IV45" s="85" t="s">
        <v>81</v>
      </c>
    </row>
    <row r="46" spans="1:256" ht="12.75" customHeight="1">
      <c r="A46" s="77"/>
      <c r="B46" s="108"/>
      <c r="C46" s="77"/>
      <c r="D46" s="77"/>
      <c r="E46" s="85" t="s">
        <v>84</v>
      </c>
      <c r="F46" s="106">
        <v>24.2</v>
      </c>
      <c r="G46" s="85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7" ht="12.75" customHeight="1">
      <c r="A47" s="21"/>
      <c r="B47" s="28"/>
      <c r="C47" s="21"/>
      <c r="D47" s="21"/>
      <c r="E47" s="85" t="s">
        <v>139</v>
      </c>
      <c r="F47" s="87">
        <v>1188</v>
      </c>
      <c r="G47" s="33"/>
    </row>
    <row r="48" spans="1:7" ht="12.75" customHeight="1">
      <c r="A48" s="21"/>
      <c r="B48" s="28"/>
      <c r="C48" s="21"/>
      <c r="D48" s="21"/>
      <c r="E48" s="85" t="s">
        <v>87</v>
      </c>
      <c r="F48" s="109">
        <v>800</v>
      </c>
      <c r="G48" s="33"/>
    </row>
    <row r="49" spans="1:7" ht="12.75" customHeight="1">
      <c r="A49" s="21"/>
      <c r="B49" s="28"/>
      <c r="C49" s="21"/>
      <c r="D49" s="21"/>
      <c r="E49" s="85" t="s">
        <v>207</v>
      </c>
      <c r="F49" s="109">
        <v>957.1</v>
      </c>
      <c r="G49" s="33"/>
    </row>
    <row r="50" spans="1:7" ht="12.75" customHeight="1">
      <c r="A50" s="21"/>
      <c r="B50" s="28"/>
      <c r="C50" s="21"/>
      <c r="D50" s="21"/>
      <c r="E50" s="85" t="s">
        <v>208</v>
      </c>
      <c r="F50" s="109">
        <v>58666.45</v>
      </c>
      <c r="G50" s="33"/>
    </row>
    <row r="51" spans="1:7" ht="12.75" customHeight="1">
      <c r="A51" s="21"/>
      <c r="B51" s="28"/>
      <c r="C51" s="21"/>
      <c r="D51" s="21"/>
      <c r="E51" s="39"/>
      <c r="F51" s="62"/>
      <c r="G51" s="111"/>
    </row>
    <row r="52" spans="1:7" ht="12.75" customHeight="1">
      <c r="A52" s="21"/>
      <c r="B52" s="28"/>
      <c r="C52" s="79" t="s">
        <v>20</v>
      </c>
      <c r="D52" s="21"/>
      <c r="E52" s="38"/>
      <c r="F52" s="64">
        <f>SUM(F53:F55)</f>
        <v>19103.239999999998</v>
      </c>
      <c r="G52" s="33"/>
    </row>
    <row r="53" spans="1:7" ht="12.75" customHeight="1">
      <c r="A53" s="21"/>
      <c r="B53" s="28"/>
      <c r="C53" s="79"/>
      <c r="D53" s="21"/>
      <c r="E53" s="38" t="s">
        <v>141</v>
      </c>
      <c r="F53" s="91">
        <v>8998.32</v>
      </c>
      <c r="G53" s="33"/>
    </row>
    <row r="54" spans="1:7" ht="12.75" customHeight="1">
      <c r="A54" s="21"/>
      <c r="B54" s="28"/>
      <c r="C54" s="21"/>
      <c r="D54" s="21"/>
      <c r="E54" s="39" t="s">
        <v>142</v>
      </c>
      <c r="F54" s="87">
        <v>5936.12</v>
      </c>
      <c r="G54" s="33"/>
    </row>
    <row r="55" spans="1:7" ht="12.75" customHeight="1">
      <c r="A55" s="21"/>
      <c r="B55" s="28"/>
      <c r="C55" s="21"/>
      <c r="D55" s="21"/>
      <c r="E55" s="39" t="s">
        <v>135</v>
      </c>
      <c r="F55" s="87">
        <v>4168.8</v>
      </c>
      <c r="G55" s="33"/>
    </row>
    <row r="56" spans="1:7" ht="12.75" customHeight="1">
      <c r="A56" s="21"/>
      <c r="B56" s="28"/>
      <c r="C56" s="21"/>
      <c r="D56" s="21"/>
      <c r="E56" s="39"/>
      <c r="F56" s="67"/>
      <c r="G56" s="33"/>
    </row>
    <row r="57" spans="1:7" ht="12.75" customHeight="1">
      <c r="A57" s="21"/>
      <c r="B57" s="28"/>
      <c r="C57" s="21"/>
      <c r="D57" s="21"/>
      <c r="E57" s="39"/>
      <c r="F57" s="61"/>
      <c r="G57" s="33"/>
    </row>
    <row r="58" spans="1:7" ht="12.75" customHeight="1">
      <c r="A58" s="21"/>
      <c r="B58" s="28"/>
      <c r="C58" s="79" t="s">
        <v>21</v>
      </c>
      <c r="D58" s="21"/>
      <c r="E58" s="38"/>
      <c r="F58" s="65">
        <f>SUM(F59:F63)</f>
        <v>63315.310000000005</v>
      </c>
      <c r="G58" s="33"/>
    </row>
    <row r="59" spans="1:7" ht="12.75" customHeight="1">
      <c r="A59" s="21"/>
      <c r="B59" s="28"/>
      <c r="D59" s="92" t="s">
        <v>22</v>
      </c>
      <c r="E59" s="41"/>
      <c r="F59" s="90">
        <f>39742.04+627.05+2525.08+1260.1</f>
        <v>44154.270000000004</v>
      </c>
      <c r="G59" s="33"/>
    </row>
    <row r="60" spans="1:7" ht="12.75" customHeight="1">
      <c r="A60" s="21"/>
      <c r="B60" s="28"/>
      <c r="D60" s="92" t="s">
        <v>23</v>
      </c>
      <c r="E60" s="41"/>
      <c r="F60" s="87">
        <f>15674.48+600.97+299.9</f>
        <v>16575.35</v>
      </c>
      <c r="G60" s="33"/>
    </row>
    <row r="61" spans="1:7" ht="12.75" customHeight="1">
      <c r="A61" s="21"/>
      <c r="B61" s="28"/>
      <c r="D61" s="92" t="s">
        <v>24</v>
      </c>
      <c r="E61" s="41"/>
      <c r="F61" s="87">
        <v>2585.69</v>
      </c>
      <c r="G61" s="33"/>
    </row>
    <row r="62" spans="1:7" ht="12.75" customHeight="1">
      <c r="A62" s="21"/>
      <c r="B62" s="28"/>
      <c r="D62" s="92" t="s">
        <v>25</v>
      </c>
      <c r="E62" s="41"/>
      <c r="F62" s="87">
        <v>0</v>
      </c>
      <c r="G62" s="33"/>
    </row>
    <row r="63" spans="1:7" ht="12.75" customHeight="1">
      <c r="A63" s="21"/>
      <c r="B63" s="28"/>
      <c r="D63" s="92" t="s">
        <v>26</v>
      </c>
      <c r="E63" s="41"/>
      <c r="F63" s="87">
        <v>0</v>
      </c>
      <c r="G63" s="33"/>
    </row>
    <row r="64" spans="1:7" ht="12.75" customHeight="1">
      <c r="A64" s="21"/>
      <c r="B64" s="28"/>
      <c r="D64" s="40"/>
      <c r="E64" s="41"/>
      <c r="F64" s="61"/>
      <c r="G64" s="33"/>
    </row>
    <row r="65" spans="1:7" ht="12.75" customHeight="1">
      <c r="A65" s="21"/>
      <c r="B65" s="28"/>
      <c r="C65" s="79" t="s">
        <v>27</v>
      </c>
      <c r="D65" s="21"/>
      <c r="E65" s="38"/>
      <c r="F65" s="65">
        <f>SUM(F66:F70)</f>
        <v>21869.33</v>
      </c>
      <c r="G65" s="33"/>
    </row>
    <row r="66" spans="1:7" ht="12.75" customHeight="1">
      <c r="A66" s="21"/>
      <c r="B66" s="28"/>
      <c r="C66" s="21"/>
      <c r="D66" s="92" t="s">
        <v>28</v>
      </c>
      <c r="E66" s="41"/>
      <c r="F66" s="90">
        <v>0</v>
      </c>
      <c r="G66" s="33"/>
    </row>
    <row r="67" spans="1:7" ht="12.75" customHeight="1">
      <c r="A67" s="21"/>
      <c r="B67" s="28"/>
      <c r="D67" s="92" t="s">
        <v>29</v>
      </c>
      <c r="E67" s="42"/>
      <c r="F67" s="87">
        <v>21869.33</v>
      </c>
      <c r="G67" s="33"/>
    </row>
    <row r="68" spans="1:7" ht="12.75" customHeight="1">
      <c r="A68" s="21"/>
      <c r="B68" s="28"/>
      <c r="D68" s="92" t="s">
        <v>31</v>
      </c>
      <c r="E68" s="41"/>
      <c r="F68" s="87">
        <v>0</v>
      </c>
      <c r="G68" s="33"/>
    </row>
    <row r="69" spans="1:7" ht="12.75" customHeight="1">
      <c r="A69" s="21"/>
      <c r="B69" s="28"/>
      <c r="D69" s="92" t="s">
        <v>32</v>
      </c>
      <c r="E69" s="41"/>
      <c r="F69" s="87"/>
      <c r="G69" s="33"/>
    </row>
    <row r="70" spans="1:7" ht="12.75" customHeight="1">
      <c r="A70" s="21"/>
      <c r="B70" s="28"/>
      <c r="D70" s="40"/>
      <c r="E70" s="93" t="s">
        <v>33</v>
      </c>
      <c r="F70" s="87">
        <v>0</v>
      </c>
      <c r="G70" s="33"/>
    </row>
    <row r="71" spans="1:7" ht="12.75" customHeight="1">
      <c r="A71" s="21"/>
      <c r="B71" s="28"/>
      <c r="D71" s="40"/>
      <c r="E71" s="42"/>
      <c r="F71" s="62"/>
      <c r="G71" s="33"/>
    </row>
    <row r="72" spans="1:7" ht="12.75" customHeight="1">
      <c r="A72" s="21"/>
      <c r="B72" s="28"/>
      <c r="C72" s="79" t="s">
        <v>34</v>
      </c>
      <c r="D72" s="21"/>
      <c r="E72" s="38"/>
      <c r="F72" s="59"/>
      <c r="G72" s="33"/>
    </row>
    <row r="73" spans="1:7" ht="12.75" customHeight="1">
      <c r="A73" s="21"/>
      <c r="B73" s="28"/>
      <c r="D73" s="21"/>
      <c r="E73" s="94" t="s">
        <v>35</v>
      </c>
      <c r="F73" s="66">
        <v>0</v>
      </c>
      <c r="G73" s="33"/>
    </row>
    <row r="74" spans="1:7" ht="12.75" customHeight="1">
      <c r="A74" s="21"/>
      <c r="B74" s="28"/>
      <c r="D74" s="21"/>
      <c r="E74" s="43"/>
      <c r="F74" s="59"/>
      <c r="G74" s="33"/>
    </row>
    <row r="75" spans="1:7" ht="12.75" customHeight="1">
      <c r="A75" s="21"/>
      <c r="B75" s="28"/>
      <c r="C75" s="79" t="s">
        <v>36</v>
      </c>
      <c r="D75" s="21"/>
      <c r="E75" s="38"/>
      <c r="F75" s="66">
        <v>0</v>
      </c>
      <c r="G75" s="33"/>
    </row>
    <row r="76" spans="1:7" ht="12.75" customHeight="1">
      <c r="A76" s="21"/>
      <c r="B76" s="28"/>
      <c r="C76" s="21"/>
      <c r="D76" s="21"/>
      <c r="E76" s="38"/>
      <c r="F76" s="59"/>
      <c r="G76" s="33"/>
    </row>
    <row r="77" spans="1:7" ht="12.75" customHeight="1">
      <c r="A77" s="21"/>
      <c r="B77" s="28"/>
      <c r="C77" s="79" t="s">
        <v>37</v>
      </c>
      <c r="D77" s="21"/>
      <c r="E77" s="38"/>
      <c r="F77" s="66">
        <v>0</v>
      </c>
      <c r="G77" s="33"/>
    </row>
    <row r="78" spans="1:7" ht="12.75" customHeight="1">
      <c r="A78" s="21"/>
      <c r="B78" s="28"/>
      <c r="C78" s="21"/>
      <c r="D78" s="21"/>
      <c r="E78" s="38"/>
      <c r="F78" s="59"/>
      <c r="G78" s="33"/>
    </row>
    <row r="79" spans="1:7" ht="12.75" customHeight="1">
      <c r="A79" s="21"/>
      <c r="B79" s="28"/>
      <c r="C79" s="79" t="s">
        <v>38</v>
      </c>
      <c r="D79" s="21"/>
      <c r="E79" s="38"/>
      <c r="F79" s="66">
        <f>SUM(F80:F84)</f>
        <v>6108.849999999999</v>
      </c>
      <c r="G79" s="33"/>
    </row>
    <row r="80" spans="1:7" ht="12.75" customHeight="1">
      <c r="A80" s="21"/>
      <c r="B80" s="28"/>
      <c r="C80" s="79"/>
      <c r="D80" s="21"/>
      <c r="E80" s="85" t="s">
        <v>127</v>
      </c>
      <c r="F80" s="81">
        <v>1207.84</v>
      </c>
      <c r="G80" s="33"/>
    </row>
    <row r="81" spans="1:7" ht="12.75" customHeight="1">
      <c r="A81" s="21"/>
      <c r="B81" s="28"/>
      <c r="C81" s="79"/>
      <c r="D81" s="21"/>
      <c r="E81" s="85" t="s">
        <v>143</v>
      </c>
      <c r="F81" s="81">
        <f>595.69+16.62</f>
        <v>612.3100000000001</v>
      </c>
      <c r="G81" s="33"/>
    </row>
    <row r="82" spans="1:7" ht="12.75" customHeight="1">
      <c r="A82" s="21"/>
      <c r="B82" s="28"/>
      <c r="C82" s="79"/>
      <c r="D82" s="21"/>
      <c r="E82" s="85" t="s">
        <v>182</v>
      </c>
      <c r="F82" s="81">
        <v>572</v>
      </c>
      <c r="G82" s="33"/>
    </row>
    <row r="83" spans="1:7" ht="12.75" customHeight="1">
      <c r="A83" s="21"/>
      <c r="B83" s="28"/>
      <c r="C83" s="79"/>
      <c r="D83" s="21"/>
      <c r="E83" s="85" t="s">
        <v>102</v>
      </c>
      <c r="F83" s="81">
        <v>2674.49</v>
      </c>
      <c r="G83" s="33"/>
    </row>
    <row r="84" spans="1:7" ht="12.75" customHeight="1">
      <c r="A84" s="21"/>
      <c r="B84" s="28"/>
      <c r="C84" s="79"/>
      <c r="D84" s="21"/>
      <c r="E84" s="85" t="s">
        <v>183</v>
      </c>
      <c r="F84" s="81">
        <v>1042.21</v>
      </c>
      <c r="G84" s="33"/>
    </row>
    <row r="85" spans="1:7" ht="12.75" customHeight="1">
      <c r="A85" s="21"/>
      <c r="B85" s="28"/>
      <c r="C85" s="21"/>
      <c r="D85" s="21"/>
      <c r="E85" s="43"/>
      <c r="F85" s="59" t="s">
        <v>0</v>
      </c>
      <c r="G85" s="33"/>
    </row>
    <row r="86" spans="1:9" ht="16.5" customHeight="1">
      <c r="A86" s="44"/>
      <c r="B86" s="75" t="s">
        <v>39</v>
      </c>
      <c r="C86" s="45"/>
      <c r="D86" s="45"/>
      <c r="E86" s="39"/>
      <c r="F86" s="59" t="s">
        <v>0</v>
      </c>
      <c r="G86" s="98">
        <f>SUM(G19:G79)</f>
        <v>26548.23000000001</v>
      </c>
      <c r="I86" s="70"/>
    </row>
    <row r="87" spans="1:7" ht="12.75" customHeight="1">
      <c r="A87" s="21"/>
      <c r="B87" s="97" t="s">
        <v>40</v>
      </c>
      <c r="C87" s="21"/>
      <c r="D87" s="21"/>
      <c r="E87" s="43"/>
      <c r="F87" s="59" t="s">
        <v>0</v>
      </c>
      <c r="G87" s="46"/>
    </row>
    <row r="88" spans="2:7" ht="12" customHeight="1">
      <c r="B88" s="47"/>
      <c r="E88" s="38"/>
      <c r="F88" s="59" t="s">
        <v>0</v>
      </c>
      <c r="G88" s="46"/>
    </row>
    <row r="89" spans="2:7" ht="16.5" customHeight="1">
      <c r="B89" s="75" t="s">
        <v>52</v>
      </c>
      <c r="C89" s="35"/>
      <c r="D89" s="35"/>
      <c r="E89" s="48"/>
      <c r="F89" s="60"/>
      <c r="G89" s="98">
        <f>SUM(F91:F93)</f>
        <v>-10467.06</v>
      </c>
    </row>
    <row r="90" spans="2:7" ht="12">
      <c r="B90" s="47"/>
      <c r="E90" s="38"/>
      <c r="F90" s="59"/>
      <c r="G90" s="46"/>
    </row>
    <row r="91" spans="2:7" ht="15">
      <c r="B91" s="28"/>
      <c r="C91" s="79" t="s">
        <v>49</v>
      </c>
      <c r="D91" s="21"/>
      <c r="E91" s="38"/>
      <c r="F91" s="64">
        <v>0</v>
      </c>
      <c r="G91" s="46"/>
    </row>
    <row r="92" spans="2:7" ht="15">
      <c r="B92" s="47"/>
      <c r="C92" s="79" t="s">
        <v>50</v>
      </c>
      <c r="E92" s="38"/>
      <c r="F92" s="71">
        <v>0</v>
      </c>
      <c r="G92" s="46"/>
    </row>
    <row r="93" spans="2:7" ht="15">
      <c r="B93" s="47"/>
      <c r="C93" s="79" t="s">
        <v>51</v>
      </c>
      <c r="E93" s="38"/>
      <c r="F93" s="66">
        <v>-10467.06</v>
      </c>
      <c r="G93" s="46"/>
    </row>
    <row r="94" spans="2:7" ht="12">
      <c r="B94" s="47"/>
      <c r="E94" s="38"/>
      <c r="F94" s="59"/>
      <c r="G94" s="46"/>
    </row>
    <row r="95" spans="2:7" ht="18">
      <c r="B95" s="75" t="s">
        <v>75</v>
      </c>
      <c r="C95" s="35"/>
      <c r="D95" s="35"/>
      <c r="E95" s="48"/>
      <c r="F95" s="69">
        <v>0</v>
      </c>
      <c r="G95" s="99">
        <v>0</v>
      </c>
    </row>
    <row r="96" spans="2:7" ht="12">
      <c r="B96" s="47"/>
      <c r="E96" s="38"/>
      <c r="F96" s="59"/>
      <c r="G96" s="46"/>
    </row>
    <row r="97" spans="2:7" ht="18">
      <c r="B97" s="75" t="s">
        <v>76</v>
      </c>
      <c r="C97" s="35"/>
      <c r="D97" s="35"/>
      <c r="E97" s="48"/>
      <c r="F97" s="60"/>
      <c r="G97" s="98">
        <f>F99-F100</f>
        <v>0</v>
      </c>
    </row>
    <row r="98" spans="2:7" ht="12">
      <c r="B98" s="47"/>
      <c r="E98" s="38"/>
      <c r="F98" s="59"/>
      <c r="G98" s="46"/>
    </row>
    <row r="99" spans="2:7" ht="14.25">
      <c r="B99" s="47"/>
      <c r="C99" s="79" t="s">
        <v>53</v>
      </c>
      <c r="E99" s="38"/>
      <c r="F99" s="68">
        <v>0</v>
      </c>
      <c r="G99" s="46"/>
    </row>
    <row r="100" spans="2:7" ht="14.25">
      <c r="B100" s="47"/>
      <c r="C100" s="79" t="s">
        <v>54</v>
      </c>
      <c r="E100" s="38"/>
      <c r="F100" s="68">
        <v>0</v>
      </c>
      <c r="G100" s="46"/>
    </row>
    <row r="101" spans="2:7" ht="12">
      <c r="B101" s="47"/>
      <c r="E101" s="38"/>
      <c r="F101" s="59"/>
      <c r="G101" s="46"/>
    </row>
    <row r="102" spans="2:7" ht="12">
      <c r="B102" s="47"/>
      <c r="E102" s="38"/>
      <c r="F102" s="59"/>
      <c r="G102" s="46"/>
    </row>
    <row r="103" spans="2:9" ht="18">
      <c r="B103" s="31"/>
      <c r="E103" s="100" t="s">
        <v>55</v>
      </c>
      <c r="F103" s="59"/>
      <c r="G103" s="101">
        <f>G86+G89+G95+G97</f>
        <v>16081.170000000011</v>
      </c>
      <c r="I103" s="70"/>
    </row>
    <row r="104" spans="2:7" ht="12">
      <c r="B104" s="49"/>
      <c r="C104" s="50"/>
      <c r="D104" s="50"/>
      <c r="E104" s="51"/>
      <c r="F104" s="52"/>
      <c r="G104" s="53"/>
    </row>
    <row r="109" spans="5:7" ht="15.75">
      <c r="E109" s="103" t="s">
        <v>111</v>
      </c>
      <c r="G109" s="107">
        <f>828267.98*2.96/100</f>
        <v>24516.732207999998</v>
      </c>
    </row>
    <row r="111" spans="5:7" ht="15.75">
      <c r="E111" s="103" t="s">
        <v>112</v>
      </c>
      <c r="G111" s="107">
        <f>-952694.23*2.96/100+0.47</f>
        <v>-28199.279208</v>
      </c>
    </row>
    <row r="113" spans="5:7" ht="18">
      <c r="E113" s="103" t="s">
        <v>160</v>
      </c>
      <c r="G113" s="104">
        <f>G103+G109+G111</f>
        <v>12398.623000000007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0" fitToWidth="1" horizontalDpi="300" verticalDpi="300" orientation="portrait" paperSize="9" scale="92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97"/>
  <sheetViews>
    <sheetView workbookViewId="0" topLeftCell="A1">
      <selection activeCell="G2" sqref="G2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60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13500.42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13438.88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145</v>
      </c>
      <c r="F21" s="80">
        <v>13438.88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SUM(F28:F28)</f>
        <v>61.54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44</v>
      </c>
      <c r="F28" s="80">
        <v>61.54</v>
      </c>
      <c r="G28" s="34"/>
    </row>
    <row r="29" spans="1:7" ht="12.75" customHeight="1">
      <c r="A29" s="21"/>
      <c r="B29" s="28"/>
      <c r="C29" s="21"/>
      <c r="D29" s="21"/>
      <c r="E29" s="21"/>
      <c r="F29" s="59"/>
      <c r="G29" s="33"/>
    </row>
    <row r="30" spans="1:7" s="37" customFormat="1" ht="15.75" customHeight="1">
      <c r="A30" s="35"/>
      <c r="B30" s="75" t="s">
        <v>16</v>
      </c>
      <c r="C30" s="35"/>
      <c r="D30" s="35"/>
      <c r="E30" s="36"/>
      <c r="F30" s="60"/>
      <c r="G30" s="84">
        <f>-(F32+F37+F42+F45+F52+F60+F62+F64+F66)</f>
        <v>-21628.82</v>
      </c>
    </row>
    <row r="31" spans="1:7" ht="12.75" customHeight="1">
      <c r="A31" s="21"/>
      <c r="B31" s="28"/>
      <c r="C31" s="79" t="s">
        <v>17</v>
      </c>
      <c r="D31" s="21"/>
      <c r="F31" s="59" t="s">
        <v>0</v>
      </c>
      <c r="G31" s="33"/>
    </row>
    <row r="32" spans="1:7" ht="12.75" customHeight="1">
      <c r="A32" s="21"/>
      <c r="B32" s="28"/>
      <c r="D32" s="79" t="s">
        <v>18</v>
      </c>
      <c r="E32" s="38"/>
      <c r="F32" s="65">
        <f>SUM(F33:F35)</f>
        <v>6591.76</v>
      </c>
      <c r="G32" s="33"/>
    </row>
    <row r="33" spans="1:7" ht="12.75" customHeight="1">
      <c r="A33" s="21"/>
      <c r="B33" s="28"/>
      <c r="D33" s="21"/>
      <c r="E33" s="85" t="s">
        <v>108</v>
      </c>
      <c r="F33" s="87">
        <v>19</v>
      </c>
      <c r="G33" s="33"/>
    </row>
    <row r="34" spans="1:7" ht="12.75" customHeight="1">
      <c r="A34" s="21"/>
      <c r="B34" s="28"/>
      <c r="D34" s="21"/>
      <c r="E34" s="85" t="s">
        <v>119</v>
      </c>
      <c r="F34" s="96">
        <v>6572.76</v>
      </c>
      <c r="G34" s="33"/>
    </row>
    <row r="35" spans="1:7" ht="12.75" customHeight="1">
      <c r="A35" s="21"/>
      <c r="B35" s="28"/>
      <c r="D35" s="21"/>
      <c r="E35" s="85"/>
      <c r="F35" s="83"/>
      <c r="G35" s="33"/>
    </row>
    <row r="36" spans="1:7" ht="12.75" customHeight="1">
      <c r="A36" s="21"/>
      <c r="B36" s="28"/>
      <c r="D36" s="21"/>
      <c r="E36" s="38"/>
      <c r="F36" s="62"/>
      <c r="G36" s="33"/>
    </row>
    <row r="37" spans="1:7" ht="12.75" customHeight="1">
      <c r="A37" s="21"/>
      <c r="B37" s="28"/>
      <c r="C37" s="79" t="s">
        <v>19</v>
      </c>
      <c r="D37" s="21"/>
      <c r="E37" s="38"/>
      <c r="F37" s="65">
        <f>SUM(F38:F40)</f>
        <v>14860.170000000002</v>
      </c>
      <c r="G37" s="33"/>
    </row>
    <row r="38" spans="1:7" ht="12.75" customHeight="1">
      <c r="A38" s="21"/>
      <c r="B38" s="28"/>
      <c r="C38" s="21"/>
      <c r="D38" s="21"/>
      <c r="E38" s="85" t="s">
        <v>147</v>
      </c>
      <c r="F38" s="87">
        <f>6310.56+925.25+2748</f>
        <v>9983.810000000001</v>
      </c>
      <c r="G38" s="33"/>
    </row>
    <row r="39" spans="1:256" ht="12.75" customHeight="1">
      <c r="A39" s="85"/>
      <c r="B39" s="77"/>
      <c r="C39" s="77"/>
      <c r="D39" s="77"/>
      <c r="E39" s="85" t="s">
        <v>121</v>
      </c>
      <c r="F39" s="105">
        <v>3605.36</v>
      </c>
      <c r="G39" s="85"/>
      <c r="H39" s="77"/>
      <c r="I39" s="77"/>
      <c r="J39" s="77"/>
      <c r="K39" s="77"/>
      <c r="L39" s="77"/>
      <c r="M39" s="77"/>
      <c r="N39" s="77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81</v>
      </c>
      <c r="BE39" s="85" t="s">
        <v>81</v>
      </c>
      <c r="BF39" s="85" t="s">
        <v>81</v>
      </c>
      <c r="BG39" s="85" t="s">
        <v>81</v>
      </c>
      <c r="BH39" s="85" t="s">
        <v>81</v>
      </c>
      <c r="BI39" s="85" t="s">
        <v>81</v>
      </c>
      <c r="BJ39" s="85" t="s">
        <v>81</v>
      </c>
      <c r="BK39" s="85" t="s">
        <v>81</v>
      </c>
      <c r="BL39" s="85" t="s">
        <v>81</v>
      </c>
      <c r="BM39" s="85" t="s">
        <v>81</v>
      </c>
      <c r="BN39" s="85" t="s">
        <v>81</v>
      </c>
      <c r="BO39" s="85" t="s">
        <v>81</v>
      </c>
      <c r="BP39" s="85" t="s">
        <v>81</v>
      </c>
      <c r="BQ39" s="85" t="s">
        <v>81</v>
      </c>
      <c r="BR39" s="85" t="s">
        <v>81</v>
      </c>
      <c r="BS39" s="85" t="s">
        <v>81</v>
      </c>
      <c r="BT39" s="85" t="s">
        <v>81</v>
      </c>
      <c r="BU39" s="85" t="s">
        <v>81</v>
      </c>
      <c r="BV39" s="85" t="s">
        <v>81</v>
      </c>
      <c r="BW39" s="85" t="s">
        <v>81</v>
      </c>
      <c r="BX39" s="85" t="s">
        <v>81</v>
      </c>
      <c r="BY39" s="85" t="s">
        <v>81</v>
      </c>
      <c r="BZ39" s="85" t="s">
        <v>81</v>
      </c>
      <c r="CA39" s="85" t="s">
        <v>81</v>
      </c>
      <c r="CB39" s="85" t="s">
        <v>81</v>
      </c>
      <c r="CC39" s="85" t="s">
        <v>81</v>
      </c>
      <c r="CD39" s="85" t="s">
        <v>81</v>
      </c>
      <c r="CE39" s="85" t="s">
        <v>81</v>
      </c>
      <c r="CF39" s="85" t="s">
        <v>81</v>
      </c>
      <c r="CG39" s="85" t="s">
        <v>81</v>
      </c>
      <c r="CH39" s="85" t="s">
        <v>81</v>
      </c>
      <c r="CI39" s="85" t="s">
        <v>81</v>
      </c>
      <c r="CJ39" s="85" t="s">
        <v>81</v>
      </c>
      <c r="CK39" s="85" t="s">
        <v>81</v>
      </c>
      <c r="CL39" s="85" t="s">
        <v>81</v>
      </c>
      <c r="CM39" s="85" t="s">
        <v>81</v>
      </c>
      <c r="CN39" s="85" t="s">
        <v>81</v>
      </c>
      <c r="CO39" s="85" t="s">
        <v>81</v>
      </c>
      <c r="CP39" s="85" t="s">
        <v>81</v>
      </c>
      <c r="CQ39" s="85" t="s">
        <v>81</v>
      </c>
      <c r="CR39" s="85" t="s">
        <v>81</v>
      </c>
      <c r="CS39" s="85" t="s">
        <v>81</v>
      </c>
      <c r="CT39" s="85" t="s">
        <v>81</v>
      </c>
      <c r="CU39" s="85" t="s">
        <v>81</v>
      </c>
      <c r="CV39" s="85" t="s">
        <v>81</v>
      </c>
      <c r="CW39" s="85" t="s">
        <v>81</v>
      </c>
      <c r="CX39" s="85" t="s">
        <v>81</v>
      </c>
      <c r="CY39" s="85" t="s">
        <v>81</v>
      </c>
      <c r="CZ39" s="85" t="s">
        <v>81</v>
      </c>
      <c r="DA39" s="85" t="s">
        <v>81</v>
      </c>
      <c r="DB39" s="85" t="s">
        <v>81</v>
      </c>
      <c r="DC39" s="85" t="s">
        <v>81</v>
      </c>
      <c r="DD39" s="85" t="s">
        <v>81</v>
      </c>
      <c r="DE39" s="85" t="s">
        <v>81</v>
      </c>
      <c r="DF39" s="85" t="s">
        <v>81</v>
      </c>
      <c r="DG39" s="85" t="s">
        <v>81</v>
      </c>
      <c r="DH39" s="85" t="s">
        <v>81</v>
      </c>
      <c r="DI39" s="85" t="s">
        <v>81</v>
      </c>
      <c r="DJ39" s="85" t="s">
        <v>81</v>
      </c>
      <c r="DK39" s="85" t="s">
        <v>81</v>
      </c>
      <c r="DL39" s="85" t="s">
        <v>81</v>
      </c>
      <c r="DM39" s="85" t="s">
        <v>81</v>
      </c>
      <c r="DN39" s="85" t="s">
        <v>81</v>
      </c>
      <c r="DO39" s="85" t="s">
        <v>81</v>
      </c>
      <c r="DP39" s="85" t="s">
        <v>81</v>
      </c>
      <c r="DQ39" s="85" t="s">
        <v>81</v>
      </c>
      <c r="DR39" s="85" t="s">
        <v>81</v>
      </c>
      <c r="DS39" s="85" t="s">
        <v>81</v>
      </c>
      <c r="DT39" s="85" t="s">
        <v>81</v>
      </c>
      <c r="DU39" s="85" t="s">
        <v>81</v>
      </c>
      <c r="DV39" s="85" t="s">
        <v>81</v>
      </c>
      <c r="DW39" s="85" t="s">
        <v>81</v>
      </c>
      <c r="DX39" s="85" t="s">
        <v>81</v>
      </c>
      <c r="DY39" s="85" t="s">
        <v>81</v>
      </c>
      <c r="DZ39" s="85" t="s">
        <v>81</v>
      </c>
      <c r="EA39" s="85" t="s">
        <v>81</v>
      </c>
      <c r="EB39" s="85" t="s">
        <v>81</v>
      </c>
      <c r="EC39" s="85" t="s">
        <v>81</v>
      </c>
      <c r="ED39" s="85" t="s">
        <v>81</v>
      </c>
      <c r="EE39" s="85" t="s">
        <v>81</v>
      </c>
      <c r="EF39" s="85" t="s">
        <v>81</v>
      </c>
      <c r="EG39" s="85" t="s">
        <v>81</v>
      </c>
      <c r="EH39" s="85" t="s">
        <v>81</v>
      </c>
      <c r="EI39" s="85" t="s">
        <v>81</v>
      </c>
      <c r="EJ39" s="85" t="s">
        <v>81</v>
      </c>
      <c r="EK39" s="85" t="s">
        <v>81</v>
      </c>
      <c r="EL39" s="85" t="s">
        <v>81</v>
      </c>
      <c r="EM39" s="85" t="s">
        <v>81</v>
      </c>
      <c r="EN39" s="85" t="s">
        <v>81</v>
      </c>
      <c r="EO39" s="85" t="s">
        <v>81</v>
      </c>
      <c r="EP39" s="85" t="s">
        <v>81</v>
      </c>
      <c r="EQ39" s="85" t="s">
        <v>81</v>
      </c>
      <c r="ER39" s="85" t="s">
        <v>81</v>
      </c>
      <c r="ES39" s="85" t="s">
        <v>81</v>
      </c>
      <c r="ET39" s="85" t="s">
        <v>81</v>
      </c>
      <c r="EU39" s="85" t="s">
        <v>81</v>
      </c>
      <c r="EV39" s="85" t="s">
        <v>81</v>
      </c>
      <c r="EW39" s="85" t="s">
        <v>81</v>
      </c>
      <c r="EX39" s="85" t="s">
        <v>81</v>
      </c>
      <c r="EY39" s="85" t="s">
        <v>81</v>
      </c>
      <c r="EZ39" s="85" t="s">
        <v>81</v>
      </c>
      <c r="FA39" s="85" t="s">
        <v>81</v>
      </c>
      <c r="FB39" s="85" t="s">
        <v>81</v>
      </c>
      <c r="FC39" s="85" t="s">
        <v>81</v>
      </c>
      <c r="FD39" s="85" t="s">
        <v>81</v>
      </c>
      <c r="FE39" s="85" t="s">
        <v>81</v>
      </c>
      <c r="FF39" s="85" t="s">
        <v>81</v>
      </c>
      <c r="FG39" s="85" t="s">
        <v>81</v>
      </c>
      <c r="FH39" s="85" t="s">
        <v>81</v>
      </c>
      <c r="FI39" s="85" t="s">
        <v>81</v>
      </c>
      <c r="FJ39" s="85" t="s">
        <v>81</v>
      </c>
      <c r="FK39" s="85" t="s">
        <v>81</v>
      </c>
      <c r="FL39" s="85" t="s">
        <v>81</v>
      </c>
      <c r="FM39" s="85" t="s">
        <v>81</v>
      </c>
      <c r="FN39" s="85" t="s">
        <v>81</v>
      </c>
      <c r="FO39" s="85" t="s">
        <v>81</v>
      </c>
      <c r="FP39" s="85" t="s">
        <v>81</v>
      </c>
      <c r="FQ39" s="85" t="s">
        <v>81</v>
      </c>
      <c r="FR39" s="85" t="s">
        <v>81</v>
      </c>
      <c r="FS39" s="85" t="s">
        <v>81</v>
      </c>
      <c r="FT39" s="85" t="s">
        <v>81</v>
      </c>
      <c r="FU39" s="85" t="s">
        <v>81</v>
      </c>
      <c r="FV39" s="85" t="s">
        <v>81</v>
      </c>
      <c r="FW39" s="85" t="s">
        <v>81</v>
      </c>
      <c r="FX39" s="85" t="s">
        <v>81</v>
      </c>
      <c r="FY39" s="85" t="s">
        <v>81</v>
      </c>
      <c r="FZ39" s="85" t="s">
        <v>81</v>
      </c>
      <c r="GA39" s="85" t="s">
        <v>81</v>
      </c>
      <c r="GB39" s="85" t="s">
        <v>81</v>
      </c>
      <c r="GC39" s="85" t="s">
        <v>81</v>
      </c>
      <c r="GD39" s="85" t="s">
        <v>81</v>
      </c>
      <c r="GE39" s="85" t="s">
        <v>81</v>
      </c>
      <c r="GF39" s="85" t="s">
        <v>81</v>
      </c>
      <c r="GG39" s="85" t="s">
        <v>81</v>
      </c>
      <c r="GH39" s="85" t="s">
        <v>81</v>
      </c>
      <c r="GI39" s="85" t="s">
        <v>81</v>
      </c>
      <c r="GJ39" s="85" t="s">
        <v>81</v>
      </c>
      <c r="GK39" s="85" t="s">
        <v>81</v>
      </c>
      <c r="GL39" s="85" t="s">
        <v>81</v>
      </c>
      <c r="GM39" s="85" t="s">
        <v>81</v>
      </c>
      <c r="GN39" s="85" t="s">
        <v>81</v>
      </c>
      <c r="GO39" s="85" t="s">
        <v>81</v>
      </c>
      <c r="GP39" s="85" t="s">
        <v>81</v>
      </c>
      <c r="GQ39" s="85" t="s">
        <v>81</v>
      </c>
      <c r="GR39" s="85" t="s">
        <v>81</v>
      </c>
      <c r="GS39" s="85" t="s">
        <v>81</v>
      </c>
      <c r="GT39" s="85" t="s">
        <v>81</v>
      </c>
      <c r="GU39" s="85" t="s">
        <v>81</v>
      </c>
      <c r="GV39" s="85" t="s">
        <v>81</v>
      </c>
      <c r="GW39" s="85" t="s">
        <v>81</v>
      </c>
      <c r="GX39" s="85" t="s">
        <v>81</v>
      </c>
      <c r="GY39" s="85" t="s">
        <v>81</v>
      </c>
      <c r="GZ39" s="85" t="s">
        <v>81</v>
      </c>
      <c r="HA39" s="85" t="s">
        <v>81</v>
      </c>
      <c r="HB39" s="85" t="s">
        <v>81</v>
      </c>
      <c r="HC39" s="85" t="s">
        <v>81</v>
      </c>
      <c r="HD39" s="85" t="s">
        <v>81</v>
      </c>
      <c r="HE39" s="85" t="s">
        <v>81</v>
      </c>
      <c r="HF39" s="85" t="s">
        <v>81</v>
      </c>
      <c r="HG39" s="85" t="s">
        <v>81</v>
      </c>
      <c r="HH39" s="85" t="s">
        <v>81</v>
      </c>
      <c r="HI39" s="85" t="s">
        <v>81</v>
      </c>
      <c r="HJ39" s="85" t="s">
        <v>81</v>
      </c>
      <c r="HK39" s="85" t="s">
        <v>81</v>
      </c>
      <c r="HL39" s="85" t="s">
        <v>81</v>
      </c>
      <c r="HM39" s="85" t="s">
        <v>81</v>
      </c>
      <c r="HN39" s="85" t="s">
        <v>81</v>
      </c>
      <c r="HO39" s="85" t="s">
        <v>81</v>
      </c>
      <c r="HP39" s="85" t="s">
        <v>81</v>
      </c>
      <c r="HQ39" s="85" t="s">
        <v>81</v>
      </c>
      <c r="HR39" s="85" t="s">
        <v>81</v>
      </c>
      <c r="HS39" s="85" t="s">
        <v>81</v>
      </c>
      <c r="HT39" s="85" t="s">
        <v>81</v>
      </c>
      <c r="HU39" s="85" t="s">
        <v>81</v>
      </c>
      <c r="HV39" s="85" t="s">
        <v>81</v>
      </c>
      <c r="HW39" s="85" t="s">
        <v>81</v>
      </c>
      <c r="HX39" s="85" t="s">
        <v>81</v>
      </c>
      <c r="HY39" s="85" t="s">
        <v>81</v>
      </c>
      <c r="HZ39" s="85" t="s">
        <v>81</v>
      </c>
      <c r="IA39" s="85" t="s">
        <v>81</v>
      </c>
      <c r="IB39" s="85" t="s">
        <v>81</v>
      </c>
      <c r="IC39" s="85" t="s">
        <v>81</v>
      </c>
      <c r="ID39" s="85" t="s">
        <v>81</v>
      </c>
      <c r="IE39" s="85" t="s">
        <v>81</v>
      </c>
      <c r="IF39" s="85" t="s">
        <v>81</v>
      </c>
      <c r="IG39" s="85" t="s">
        <v>81</v>
      </c>
      <c r="IH39" s="85" t="s">
        <v>81</v>
      </c>
      <c r="II39" s="85" t="s">
        <v>81</v>
      </c>
      <c r="IJ39" s="85" t="s">
        <v>81</v>
      </c>
      <c r="IK39" s="85" t="s">
        <v>81</v>
      </c>
      <c r="IL39" s="85" t="s">
        <v>81</v>
      </c>
      <c r="IM39" s="85" t="s">
        <v>81</v>
      </c>
      <c r="IN39" s="85" t="s">
        <v>81</v>
      </c>
      <c r="IO39" s="85" t="s">
        <v>81</v>
      </c>
      <c r="IP39" s="85" t="s">
        <v>81</v>
      </c>
      <c r="IQ39" s="85" t="s">
        <v>81</v>
      </c>
      <c r="IR39" s="85" t="s">
        <v>81</v>
      </c>
      <c r="IS39" s="85" t="s">
        <v>81</v>
      </c>
      <c r="IT39" s="85" t="s">
        <v>81</v>
      </c>
      <c r="IU39" s="85" t="s">
        <v>81</v>
      </c>
      <c r="IV39" s="85" t="s">
        <v>81</v>
      </c>
    </row>
    <row r="40" spans="1:7" ht="12.75" customHeight="1">
      <c r="A40" s="21"/>
      <c r="B40" s="28"/>
      <c r="C40" s="21"/>
      <c r="D40" s="21"/>
      <c r="E40" s="85" t="s">
        <v>139</v>
      </c>
      <c r="F40" s="87">
        <v>1271</v>
      </c>
      <c r="G40" s="33"/>
    </row>
    <row r="41" spans="1:7" ht="12.75" customHeight="1">
      <c r="A41" s="21"/>
      <c r="B41" s="28"/>
      <c r="C41" s="21"/>
      <c r="D41" s="21"/>
      <c r="E41" s="39"/>
      <c r="F41" s="62"/>
      <c r="G41" s="111"/>
    </row>
    <row r="42" spans="1:7" ht="12.75" customHeight="1">
      <c r="A42" s="21"/>
      <c r="B42" s="28"/>
      <c r="C42" s="79" t="s">
        <v>20</v>
      </c>
      <c r="D42" s="21"/>
      <c r="E42" s="38"/>
      <c r="F42" s="64">
        <v>0</v>
      </c>
      <c r="G42" s="33"/>
    </row>
    <row r="43" spans="1:7" ht="12.75" customHeight="1">
      <c r="A43" s="21"/>
      <c r="B43" s="28"/>
      <c r="C43" s="21"/>
      <c r="D43" s="21"/>
      <c r="E43" s="39"/>
      <c r="F43" s="67"/>
      <c r="G43" s="33"/>
    </row>
    <row r="44" spans="1:7" ht="12.75" customHeight="1">
      <c r="A44" s="21"/>
      <c r="B44" s="28"/>
      <c r="C44" s="21"/>
      <c r="D44" s="21"/>
      <c r="E44" s="39"/>
      <c r="F44" s="61"/>
      <c r="G44" s="33"/>
    </row>
    <row r="45" spans="1:7" ht="12.75" customHeight="1">
      <c r="A45" s="21"/>
      <c r="B45" s="28"/>
      <c r="C45" s="79" t="s">
        <v>21</v>
      </c>
      <c r="D45" s="21"/>
      <c r="E45" s="38"/>
      <c r="F45" s="65">
        <f>SUM(F46:F50)</f>
        <v>0</v>
      </c>
      <c r="G45" s="33"/>
    </row>
    <row r="46" spans="1:7" ht="12.75" customHeight="1">
      <c r="A46" s="21"/>
      <c r="B46" s="28"/>
      <c r="D46" s="92" t="s">
        <v>22</v>
      </c>
      <c r="E46" s="41"/>
      <c r="F46" s="90">
        <v>0</v>
      </c>
      <c r="G46" s="33"/>
    </row>
    <row r="47" spans="1:7" ht="12.75" customHeight="1">
      <c r="A47" s="21"/>
      <c r="B47" s="28"/>
      <c r="D47" s="92" t="s">
        <v>23</v>
      </c>
      <c r="E47" s="41"/>
      <c r="F47" s="87">
        <v>0</v>
      </c>
      <c r="G47" s="33"/>
    </row>
    <row r="48" spans="1:7" ht="12.75" customHeight="1">
      <c r="A48" s="21"/>
      <c r="B48" s="28"/>
      <c r="D48" s="92" t="s">
        <v>24</v>
      </c>
      <c r="E48" s="41"/>
      <c r="F48" s="87">
        <v>0</v>
      </c>
      <c r="G48" s="33"/>
    </row>
    <row r="49" spans="1:7" ht="12.75" customHeight="1">
      <c r="A49" s="21"/>
      <c r="B49" s="28"/>
      <c r="D49" s="92" t="s">
        <v>25</v>
      </c>
      <c r="E49" s="41"/>
      <c r="F49" s="87">
        <v>0</v>
      </c>
      <c r="G49" s="33"/>
    </row>
    <row r="50" spans="1:7" ht="12.75" customHeight="1">
      <c r="A50" s="21"/>
      <c r="B50" s="28"/>
      <c r="D50" s="92" t="s">
        <v>26</v>
      </c>
      <c r="E50" s="41"/>
      <c r="F50" s="87">
        <v>0</v>
      </c>
      <c r="G50" s="33"/>
    </row>
    <row r="51" spans="1:7" ht="12.75" customHeight="1">
      <c r="A51" s="21"/>
      <c r="B51" s="28"/>
      <c r="D51" s="40"/>
      <c r="E51" s="41"/>
      <c r="F51" s="61"/>
      <c r="G51" s="33"/>
    </row>
    <row r="52" spans="1:7" ht="12.75" customHeight="1">
      <c r="A52" s="21"/>
      <c r="B52" s="28"/>
      <c r="C52" s="79" t="s">
        <v>27</v>
      </c>
      <c r="D52" s="21"/>
      <c r="E52" s="38"/>
      <c r="F52" s="65">
        <f>SUM(F53:F57)</f>
        <v>0</v>
      </c>
      <c r="G52" s="33"/>
    </row>
    <row r="53" spans="1:7" ht="12.75" customHeight="1">
      <c r="A53" s="21"/>
      <c r="B53" s="28"/>
      <c r="C53" s="21"/>
      <c r="D53" s="92" t="s">
        <v>28</v>
      </c>
      <c r="E53" s="41"/>
      <c r="F53" s="90">
        <v>0</v>
      </c>
      <c r="G53" s="33"/>
    </row>
    <row r="54" spans="1:7" ht="12.75" customHeight="1">
      <c r="A54" s="21"/>
      <c r="B54" s="28"/>
      <c r="D54" s="92" t="s">
        <v>29</v>
      </c>
      <c r="E54" s="42"/>
      <c r="F54" s="87">
        <v>0</v>
      </c>
      <c r="G54" s="33"/>
    </row>
    <row r="55" spans="1:7" ht="12.75" customHeight="1">
      <c r="A55" s="21"/>
      <c r="B55" s="28"/>
      <c r="D55" s="92" t="s">
        <v>31</v>
      </c>
      <c r="E55" s="41"/>
      <c r="F55" s="87">
        <v>0</v>
      </c>
      <c r="G55" s="33"/>
    </row>
    <row r="56" spans="1:7" ht="12.75" customHeight="1">
      <c r="A56" s="21"/>
      <c r="B56" s="28"/>
      <c r="D56" s="92" t="s">
        <v>32</v>
      </c>
      <c r="E56" s="41"/>
      <c r="F56" s="87"/>
      <c r="G56" s="33"/>
    </row>
    <row r="57" spans="1:7" ht="12.75" customHeight="1">
      <c r="A57" s="21"/>
      <c r="B57" s="28"/>
      <c r="D57" s="40"/>
      <c r="E57" s="93" t="s">
        <v>33</v>
      </c>
      <c r="F57" s="87">
        <v>0</v>
      </c>
      <c r="G57" s="33"/>
    </row>
    <row r="58" spans="1:7" ht="12.75" customHeight="1">
      <c r="A58" s="21"/>
      <c r="B58" s="28"/>
      <c r="D58" s="40"/>
      <c r="E58" s="42"/>
      <c r="F58" s="62"/>
      <c r="G58" s="33"/>
    </row>
    <row r="59" spans="1:7" ht="12.75" customHeight="1">
      <c r="A59" s="21"/>
      <c r="B59" s="28"/>
      <c r="C59" s="79" t="s">
        <v>34</v>
      </c>
      <c r="D59" s="21"/>
      <c r="E59" s="38"/>
      <c r="F59" s="59"/>
      <c r="G59" s="33"/>
    </row>
    <row r="60" spans="1:7" ht="12.75" customHeight="1">
      <c r="A60" s="21"/>
      <c r="B60" s="28"/>
      <c r="D60" s="21"/>
      <c r="E60" s="94" t="s">
        <v>35</v>
      </c>
      <c r="F60" s="66">
        <v>0</v>
      </c>
      <c r="G60" s="33"/>
    </row>
    <row r="61" spans="1:7" ht="12.75" customHeight="1">
      <c r="A61" s="21"/>
      <c r="B61" s="28"/>
      <c r="D61" s="21"/>
      <c r="E61" s="43"/>
      <c r="F61" s="59"/>
      <c r="G61" s="33"/>
    </row>
    <row r="62" spans="1:7" ht="12.75" customHeight="1">
      <c r="A62" s="21"/>
      <c r="B62" s="28"/>
      <c r="C62" s="79" t="s">
        <v>36</v>
      </c>
      <c r="D62" s="21"/>
      <c r="E62" s="38"/>
      <c r="F62" s="66">
        <v>0</v>
      </c>
      <c r="G62" s="33"/>
    </row>
    <row r="63" spans="1:7" ht="12.75" customHeight="1">
      <c r="A63" s="21"/>
      <c r="B63" s="28"/>
      <c r="C63" s="21"/>
      <c r="D63" s="21"/>
      <c r="E63" s="38"/>
      <c r="F63" s="59"/>
      <c r="G63" s="33"/>
    </row>
    <row r="64" spans="1:7" ht="12.75" customHeight="1">
      <c r="A64" s="21"/>
      <c r="B64" s="28"/>
      <c r="C64" s="79" t="s">
        <v>37</v>
      </c>
      <c r="D64" s="21"/>
      <c r="E64" s="38"/>
      <c r="F64" s="66">
        <v>0</v>
      </c>
      <c r="G64" s="33"/>
    </row>
    <row r="65" spans="1:7" ht="12.75" customHeight="1">
      <c r="A65" s="21"/>
      <c r="B65" s="28"/>
      <c r="C65" s="21"/>
      <c r="D65" s="21"/>
      <c r="E65" s="38"/>
      <c r="F65" s="59"/>
      <c r="G65" s="33"/>
    </row>
    <row r="66" spans="1:7" ht="12.75" customHeight="1">
      <c r="A66" s="21"/>
      <c r="B66" s="28"/>
      <c r="C66" s="79" t="s">
        <v>38</v>
      </c>
      <c r="D66" s="21"/>
      <c r="E66" s="38"/>
      <c r="F66" s="66">
        <f>SUM(F67:F68)</f>
        <v>176.89</v>
      </c>
      <c r="G66" s="33"/>
    </row>
    <row r="67" spans="1:7" ht="12.75" customHeight="1">
      <c r="A67" s="21"/>
      <c r="B67" s="28"/>
      <c r="C67" s="79"/>
      <c r="D67" s="21"/>
      <c r="E67" s="85" t="s">
        <v>127</v>
      </c>
      <c r="F67" s="81">
        <v>79.64</v>
      </c>
      <c r="G67" s="33"/>
    </row>
    <row r="68" spans="1:7" ht="12.75" customHeight="1">
      <c r="A68" s="21"/>
      <c r="B68" s="28"/>
      <c r="C68" s="79"/>
      <c r="D68" s="21"/>
      <c r="E68" s="85" t="s">
        <v>148</v>
      </c>
      <c r="F68" s="81">
        <v>97.25</v>
      </c>
      <c r="G68" s="33"/>
    </row>
    <row r="69" spans="1:7" ht="12.75" customHeight="1">
      <c r="A69" s="21"/>
      <c r="B69" s="28"/>
      <c r="C69" s="21"/>
      <c r="D69" s="21"/>
      <c r="E69" s="43"/>
      <c r="F69" s="59" t="s">
        <v>0</v>
      </c>
      <c r="G69" s="33"/>
    </row>
    <row r="70" spans="1:9" ht="16.5" customHeight="1">
      <c r="A70" s="44"/>
      <c r="B70" s="75" t="s">
        <v>39</v>
      </c>
      <c r="C70" s="45"/>
      <c r="D70" s="45"/>
      <c r="E70" s="39"/>
      <c r="F70" s="59" t="s">
        <v>0</v>
      </c>
      <c r="G70" s="98">
        <f>SUM(G19:G66)</f>
        <v>-8128.4</v>
      </c>
      <c r="I70" s="70"/>
    </row>
    <row r="71" spans="1:7" ht="12.75" customHeight="1">
      <c r="A71" s="21"/>
      <c r="B71" s="97" t="s">
        <v>40</v>
      </c>
      <c r="C71" s="21"/>
      <c r="D71" s="21"/>
      <c r="E71" s="43"/>
      <c r="F71" s="59" t="s">
        <v>0</v>
      </c>
      <c r="G71" s="46"/>
    </row>
    <row r="72" spans="2:7" ht="12" customHeight="1">
      <c r="B72" s="47"/>
      <c r="E72" s="38"/>
      <c r="F72" s="59" t="s">
        <v>0</v>
      </c>
      <c r="G72" s="46"/>
    </row>
    <row r="73" spans="2:7" ht="16.5" customHeight="1">
      <c r="B73" s="75" t="s">
        <v>52</v>
      </c>
      <c r="C73" s="35"/>
      <c r="D73" s="35"/>
      <c r="E73" s="48"/>
      <c r="F73" s="60"/>
      <c r="G73" s="98">
        <f>SUM(F75:F77)</f>
        <v>0</v>
      </c>
    </row>
    <row r="74" spans="2:7" ht="12">
      <c r="B74" s="47"/>
      <c r="E74" s="38"/>
      <c r="F74" s="59"/>
      <c r="G74" s="46"/>
    </row>
    <row r="75" spans="2:7" ht="15">
      <c r="B75" s="28"/>
      <c r="C75" s="79" t="s">
        <v>49</v>
      </c>
      <c r="D75" s="21"/>
      <c r="E75" s="38"/>
      <c r="F75" s="64">
        <v>0</v>
      </c>
      <c r="G75" s="46"/>
    </row>
    <row r="76" spans="2:7" ht="15">
      <c r="B76" s="47"/>
      <c r="C76" s="79" t="s">
        <v>50</v>
      </c>
      <c r="E76" s="38"/>
      <c r="F76" s="71">
        <v>0</v>
      </c>
      <c r="G76" s="46"/>
    </row>
    <row r="77" spans="2:7" ht="15">
      <c r="B77" s="47"/>
      <c r="C77" s="79" t="s">
        <v>51</v>
      </c>
      <c r="E77" s="38"/>
      <c r="F77" s="66">
        <v>0</v>
      </c>
      <c r="G77" s="46"/>
    </row>
    <row r="78" spans="2:7" ht="12">
      <c r="B78" s="47"/>
      <c r="E78" s="38"/>
      <c r="F78" s="59"/>
      <c r="G78" s="46"/>
    </row>
    <row r="79" spans="2:7" ht="18">
      <c r="B79" s="75" t="s">
        <v>75</v>
      </c>
      <c r="C79" s="35"/>
      <c r="D79" s="35"/>
      <c r="E79" s="48"/>
      <c r="F79" s="69">
        <v>0</v>
      </c>
      <c r="G79" s="99">
        <v>0</v>
      </c>
    </row>
    <row r="80" spans="2:7" ht="12">
      <c r="B80" s="47"/>
      <c r="E80" s="38"/>
      <c r="F80" s="59"/>
      <c r="G80" s="46"/>
    </row>
    <row r="81" spans="2:7" ht="18">
      <c r="B81" s="75" t="s">
        <v>76</v>
      </c>
      <c r="C81" s="35"/>
      <c r="D81" s="35"/>
      <c r="E81" s="48"/>
      <c r="F81" s="60"/>
      <c r="G81" s="98">
        <f>F83-F84</f>
        <v>10.37</v>
      </c>
    </row>
    <row r="82" spans="2:7" ht="12">
      <c r="B82" s="47"/>
      <c r="E82" s="38"/>
      <c r="F82" s="59"/>
      <c r="G82" s="46"/>
    </row>
    <row r="83" spans="2:7" ht="14.25">
      <c r="B83" s="47"/>
      <c r="C83" s="79" t="s">
        <v>53</v>
      </c>
      <c r="E83" s="38"/>
      <c r="F83" s="68">
        <v>10.37</v>
      </c>
      <c r="G83" s="46"/>
    </row>
    <row r="84" spans="2:7" ht="14.25">
      <c r="B84" s="47"/>
      <c r="C84" s="79" t="s">
        <v>54</v>
      </c>
      <c r="E84" s="38"/>
      <c r="F84" s="68">
        <v>0</v>
      </c>
      <c r="G84" s="46"/>
    </row>
    <row r="85" spans="2:7" ht="12">
      <c r="B85" s="47"/>
      <c r="E85" s="38"/>
      <c r="F85" s="59"/>
      <c r="G85" s="46"/>
    </row>
    <row r="86" spans="2:7" ht="12">
      <c r="B86" s="47"/>
      <c r="E86" s="38"/>
      <c r="F86" s="59"/>
      <c r="G86" s="46"/>
    </row>
    <row r="87" spans="2:9" ht="18">
      <c r="B87" s="31"/>
      <c r="E87" s="100" t="s">
        <v>55</v>
      </c>
      <c r="F87" s="59"/>
      <c r="G87" s="101">
        <f>G70+G73+G79+G81</f>
        <v>-8118.03</v>
      </c>
      <c r="I87" s="70"/>
    </row>
    <row r="88" spans="2:7" ht="12">
      <c r="B88" s="49"/>
      <c r="C88" s="50"/>
      <c r="D88" s="50"/>
      <c r="E88" s="51"/>
      <c r="F88" s="52"/>
      <c r="G88" s="53"/>
    </row>
    <row r="93" spans="5:7" ht="15.75">
      <c r="E93" s="103" t="s">
        <v>111</v>
      </c>
      <c r="G93" s="107">
        <f>828267.987*0.27/100</f>
        <v>2236.3235649</v>
      </c>
    </row>
    <row r="95" spans="5:7" ht="15.75">
      <c r="E95" s="103" t="s">
        <v>112</v>
      </c>
      <c r="G95" s="107">
        <f>-952694.23*0.27/100+5.1</f>
        <v>-2567.174421</v>
      </c>
    </row>
    <row r="97" spans="5:7" ht="18">
      <c r="E97" s="103" t="s">
        <v>104</v>
      </c>
      <c r="G97" s="104">
        <f>G87+G93+G95</f>
        <v>-8448.8808561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89" r:id="rId1"/>
  <rowBreaks count="1" manualBreakCount="1">
    <brk id="5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1"/>
  <sheetViews>
    <sheetView workbookViewId="0" topLeftCell="A1">
      <selection activeCell="F4" sqref="F4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6" t="s">
        <v>63</v>
      </c>
      <c r="C6" s="117"/>
      <c r="D6" s="117"/>
      <c r="E6" s="117"/>
      <c r="F6" s="117"/>
      <c r="G6" s="118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19" t="s">
        <v>189</v>
      </c>
      <c r="C11" s="120"/>
      <c r="D11" s="120"/>
      <c r="E11" s="120"/>
      <c r="F11" s="120"/>
      <c r="G11" s="120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19" t="s">
        <v>1</v>
      </c>
      <c r="C13" s="121"/>
      <c r="D13" s="121"/>
      <c r="E13" s="121"/>
      <c r="F13" s="121"/>
      <c r="G13" s="121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2">
        <v>2007</v>
      </c>
      <c r="G16" s="123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F20+F24+F25+F26+F28</f>
        <v>356926.04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SUM(F21:F22)</f>
        <v>287725.26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149</v>
      </c>
      <c r="F21" s="80">
        <f>115062.6+39334.33</f>
        <v>154396.93</v>
      </c>
      <c r="G21" s="32"/>
    </row>
    <row r="22" spans="1:7" ht="12.75" customHeight="1">
      <c r="A22" s="21"/>
      <c r="B22" s="28"/>
      <c r="C22" s="76"/>
      <c r="D22" s="76" t="s">
        <v>30</v>
      </c>
      <c r="E22" s="77" t="s">
        <v>150</v>
      </c>
      <c r="F22" s="80">
        <v>133328.33</v>
      </c>
      <c r="G22" s="32"/>
    </row>
    <row r="23" spans="1:7" ht="12.75" customHeight="1">
      <c r="A23" s="21"/>
      <c r="B23" s="28"/>
      <c r="C23" s="76" t="s">
        <v>8</v>
      </c>
      <c r="D23" s="76" t="s">
        <v>9</v>
      </c>
      <c r="E23" s="77"/>
      <c r="F23" s="81"/>
      <c r="G23" s="32"/>
    </row>
    <row r="24" spans="1:7" ht="12.75" customHeight="1">
      <c r="A24" s="21"/>
      <c r="B24" s="28"/>
      <c r="C24" s="76"/>
      <c r="D24" s="76" t="s">
        <v>10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11</v>
      </c>
      <c r="D25" s="76" t="s">
        <v>12</v>
      </c>
      <c r="E25" s="77"/>
      <c r="F25" s="81">
        <v>0</v>
      </c>
      <c r="G25" s="32"/>
    </row>
    <row r="26" spans="1:7" ht="12.75" customHeight="1">
      <c r="A26" s="21"/>
      <c r="B26" s="28"/>
      <c r="C26" s="76" t="s">
        <v>13</v>
      </c>
      <c r="D26" s="76"/>
      <c r="E26" s="77"/>
      <c r="F26" s="81">
        <v>0</v>
      </c>
      <c r="G26" s="32"/>
    </row>
    <row r="27" spans="1:7" ht="12.75" customHeight="1">
      <c r="A27" s="21"/>
      <c r="B27" s="28"/>
      <c r="C27" s="76" t="s">
        <v>14</v>
      </c>
      <c r="D27" s="76"/>
      <c r="E27" s="77"/>
      <c r="F27" s="81" t="s">
        <v>0</v>
      </c>
      <c r="G27" s="33"/>
    </row>
    <row r="28" spans="1:7" ht="12.75" customHeight="1">
      <c r="A28" s="21"/>
      <c r="B28" s="28"/>
      <c r="C28" s="76"/>
      <c r="D28" s="76" t="s">
        <v>15</v>
      </c>
      <c r="E28" s="77"/>
      <c r="F28" s="64">
        <f>SUM(F29:F30)</f>
        <v>69200.77999999998</v>
      </c>
      <c r="G28" s="33"/>
    </row>
    <row r="29" spans="1:7" ht="12.75" customHeight="1">
      <c r="A29" s="21"/>
      <c r="B29" s="28"/>
      <c r="C29" s="76"/>
      <c r="D29" s="76" t="s">
        <v>161</v>
      </c>
      <c r="E29" s="77" t="s">
        <v>116</v>
      </c>
      <c r="F29" s="80">
        <f>57688.95+11428.57</f>
        <v>69117.51999999999</v>
      </c>
      <c r="G29" s="33"/>
    </row>
    <row r="30" spans="1:7" ht="12.75" customHeight="1">
      <c r="A30" s="21"/>
      <c r="B30" s="28"/>
      <c r="C30" s="76"/>
      <c r="D30" s="78" t="s">
        <v>30</v>
      </c>
      <c r="E30" s="77" t="s">
        <v>44</v>
      </c>
      <c r="F30" s="80">
        <v>83.26</v>
      </c>
      <c r="G30" s="34"/>
    </row>
    <row r="31" spans="1:7" ht="12.75" customHeight="1">
      <c r="A31" s="21"/>
      <c r="B31" s="28"/>
      <c r="C31" s="21"/>
      <c r="D31" s="21"/>
      <c r="E31" s="21"/>
      <c r="F31" s="59"/>
      <c r="G31" s="33"/>
    </row>
    <row r="32" spans="1:7" s="37" customFormat="1" ht="15.75" customHeight="1">
      <c r="A32" s="35"/>
      <c r="B32" s="75" t="s">
        <v>16</v>
      </c>
      <c r="C32" s="35"/>
      <c r="D32" s="35"/>
      <c r="E32" s="36"/>
      <c r="F32" s="60"/>
      <c r="G32" s="84">
        <f>-(F34+F39+F53+F57+F64+F72+F74+F76+F78)</f>
        <v>-318096.29000000004</v>
      </c>
    </row>
    <row r="33" spans="1:7" ht="12.75" customHeight="1">
      <c r="A33" s="21"/>
      <c r="B33" s="28"/>
      <c r="C33" s="79" t="s">
        <v>17</v>
      </c>
      <c r="D33" s="21"/>
      <c r="F33" s="59" t="s">
        <v>0</v>
      </c>
      <c r="G33" s="33"/>
    </row>
    <row r="34" spans="1:7" ht="12.75" customHeight="1">
      <c r="A34" s="21"/>
      <c r="B34" s="28"/>
      <c r="D34" s="79" t="s">
        <v>18</v>
      </c>
      <c r="E34" s="38"/>
      <c r="F34" s="65">
        <f>SUM(F35:F37)</f>
        <v>13959.91</v>
      </c>
      <c r="G34" s="33"/>
    </row>
    <row r="35" spans="1:7" ht="12.75" customHeight="1">
      <c r="A35" s="21"/>
      <c r="B35" s="28"/>
      <c r="D35" s="21"/>
      <c r="E35" s="85" t="s">
        <v>151</v>
      </c>
      <c r="F35" s="87">
        <f>149.07+424.18</f>
        <v>573.25</v>
      </c>
      <c r="G35" s="33"/>
    </row>
    <row r="36" spans="1:7" ht="12.75" customHeight="1">
      <c r="A36" s="21"/>
      <c r="B36" s="28"/>
      <c r="D36" s="21"/>
      <c r="E36" s="85" t="s">
        <v>109</v>
      </c>
      <c r="F36" s="96">
        <v>13386.66</v>
      </c>
      <c r="G36" s="33"/>
    </row>
    <row r="37" spans="1:7" ht="12.75" customHeight="1">
      <c r="A37" s="21"/>
      <c r="B37" s="28"/>
      <c r="D37" s="21"/>
      <c r="E37" s="85"/>
      <c r="F37" s="83"/>
      <c r="G37" s="33"/>
    </row>
    <row r="38" spans="1:7" ht="12.75" customHeight="1">
      <c r="A38" s="21"/>
      <c r="B38" s="28"/>
      <c r="D38" s="21"/>
      <c r="E38" s="38"/>
      <c r="F38" s="62"/>
      <c r="G38" s="33"/>
    </row>
    <row r="39" spans="1:7" ht="12.75" customHeight="1">
      <c r="A39" s="21"/>
      <c r="B39" s="28"/>
      <c r="C39" s="79" t="s">
        <v>19</v>
      </c>
      <c r="D39" s="21"/>
      <c r="E39" s="38"/>
      <c r="F39" s="65">
        <f>SUM(F40:F51)</f>
        <v>223101.57</v>
      </c>
      <c r="G39" s="33"/>
    </row>
    <row r="40" spans="1:7" ht="12.75" customHeight="1">
      <c r="A40" s="21"/>
      <c r="B40" s="28"/>
      <c r="C40" s="21"/>
      <c r="D40" s="21"/>
      <c r="E40" s="85" t="s">
        <v>78</v>
      </c>
      <c r="F40" s="87">
        <v>3146.56</v>
      </c>
      <c r="G40" s="33"/>
    </row>
    <row r="41" spans="1:7" ht="12.75" customHeight="1">
      <c r="A41" s="21"/>
      <c r="B41" s="28"/>
      <c r="C41" s="21"/>
      <c r="D41" s="21"/>
      <c r="E41" s="85" t="s">
        <v>79</v>
      </c>
      <c r="F41" s="81">
        <v>205.26</v>
      </c>
      <c r="G41" s="46"/>
    </row>
    <row r="42" spans="1:7" ht="12.75" customHeight="1">
      <c r="A42" s="21"/>
      <c r="B42" s="28"/>
      <c r="C42" s="21"/>
      <c r="D42" s="21"/>
      <c r="E42" s="85" t="s">
        <v>152</v>
      </c>
      <c r="F42" s="81">
        <f>2985.95+731.33</f>
        <v>3717.2799999999997</v>
      </c>
      <c r="G42" s="46"/>
    </row>
    <row r="43" spans="1:256" ht="12.75" customHeight="1">
      <c r="A43" s="85"/>
      <c r="B43" s="77"/>
      <c r="C43" s="77"/>
      <c r="D43" s="77"/>
      <c r="E43" s="85" t="s">
        <v>121</v>
      </c>
      <c r="F43" s="105">
        <v>138.34</v>
      </c>
      <c r="G43" s="85"/>
      <c r="H43" s="77"/>
      <c r="I43" s="77"/>
      <c r="J43" s="77"/>
      <c r="K43" s="77"/>
      <c r="L43" s="77"/>
      <c r="M43" s="77"/>
      <c r="N43" s="77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 t="s">
        <v>81</v>
      </c>
      <c r="BE43" s="85" t="s">
        <v>81</v>
      </c>
      <c r="BF43" s="85" t="s">
        <v>81</v>
      </c>
      <c r="BG43" s="85" t="s">
        <v>81</v>
      </c>
      <c r="BH43" s="85" t="s">
        <v>81</v>
      </c>
      <c r="BI43" s="85" t="s">
        <v>81</v>
      </c>
      <c r="BJ43" s="85" t="s">
        <v>81</v>
      </c>
      <c r="BK43" s="85" t="s">
        <v>81</v>
      </c>
      <c r="BL43" s="85" t="s">
        <v>81</v>
      </c>
      <c r="BM43" s="85" t="s">
        <v>81</v>
      </c>
      <c r="BN43" s="85" t="s">
        <v>81</v>
      </c>
      <c r="BO43" s="85" t="s">
        <v>81</v>
      </c>
      <c r="BP43" s="85" t="s">
        <v>81</v>
      </c>
      <c r="BQ43" s="85" t="s">
        <v>81</v>
      </c>
      <c r="BR43" s="85" t="s">
        <v>81</v>
      </c>
      <c r="BS43" s="85" t="s">
        <v>81</v>
      </c>
      <c r="BT43" s="85" t="s">
        <v>81</v>
      </c>
      <c r="BU43" s="85" t="s">
        <v>81</v>
      </c>
      <c r="BV43" s="85" t="s">
        <v>81</v>
      </c>
      <c r="BW43" s="85" t="s">
        <v>81</v>
      </c>
      <c r="BX43" s="85" t="s">
        <v>81</v>
      </c>
      <c r="BY43" s="85" t="s">
        <v>81</v>
      </c>
      <c r="BZ43" s="85" t="s">
        <v>81</v>
      </c>
      <c r="CA43" s="85" t="s">
        <v>81</v>
      </c>
      <c r="CB43" s="85" t="s">
        <v>81</v>
      </c>
      <c r="CC43" s="85" t="s">
        <v>81</v>
      </c>
      <c r="CD43" s="85" t="s">
        <v>81</v>
      </c>
      <c r="CE43" s="85" t="s">
        <v>81</v>
      </c>
      <c r="CF43" s="85" t="s">
        <v>81</v>
      </c>
      <c r="CG43" s="85" t="s">
        <v>81</v>
      </c>
      <c r="CH43" s="85" t="s">
        <v>81</v>
      </c>
      <c r="CI43" s="85" t="s">
        <v>81</v>
      </c>
      <c r="CJ43" s="85" t="s">
        <v>81</v>
      </c>
      <c r="CK43" s="85" t="s">
        <v>81</v>
      </c>
      <c r="CL43" s="85" t="s">
        <v>81</v>
      </c>
      <c r="CM43" s="85" t="s">
        <v>81</v>
      </c>
      <c r="CN43" s="85" t="s">
        <v>81</v>
      </c>
      <c r="CO43" s="85" t="s">
        <v>81</v>
      </c>
      <c r="CP43" s="85" t="s">
        <v>81</v>
      </c>
      <c r="CQ43" s="85" t="s">
        <v>81</v>
      </c>
      <c r="CR43" s="85" t="s">
        <v>81</v>
      </c>
      <c r="CS43" s="85" t="s">
        <v>81</v>
      </c>
      <c r="CT43" s="85" t="s">
        <v>81</v>
      </c>
      <c r="CU43" s="85" t="s">
        <v>81</v>
      </c>
      <c r="CV43" s="85" t="s">
        <v>81</v>
      </c>
      <c r="CW43" s="85" t="s">
        <v>81</v>
      </c>
      <c r="CX43" s="85" t="s">
        <v>81</v>
      </c>
      <c r="CY43" s="85" t="s">
        <v>81</v>
      </c>
      <c r="CZ43" s="85" t="s">
        <v>81</v>
      </c>
      <c r="DA43" s="85" t="s">
        <v>81</v>
      </c>
      <c r="DB43" s="85" t="s">
        <v>81</v>
      </c>
      <c r="DC43" s="85" t="s">
        <v>81</v>
      </c>
      <c r="DD43" s="85" t="s">
        <v>81</v>
      </c>
      <c r="DE43" s="85" t="s">
        <v>81</v>
      </c>
      <c r="DF43" s="85" t="s">
        <v>81</v>
      </c>
      <c r="DG43" s="85" t="s">
        <v>81</v>
      </c>
      <c r="DH43" s="85" t="s">
        <v>81</v>
      </c>
      <c r="DI43" s="85" t="s">
        <v>81</v>
      </c>
      <c r="DJ43" s="85" t="s">
        <v>81</v>
      </c>
      <c r="DK43" s="85" t="s">
        <v>81</v>
      </c>
      <c r="DL43" s="85" t="s">
        <v>81</v>
      </c>
      <c r="DM43" s="85" t="s">
        <v>81</v>
      </c>
      <c r="DN43" s="85" t="s">
        <v>81</v>
      </c>
      <c r="DO43" s="85" t="s">
        <v>81</v>
      </c>
      <c r="DP43" s="85" t="s">
        <v>81</v>
      </c>
      <c r="DQ43" s="85" t="s">
        <v>81</v>
      </c>
      <c r="DR43" s="85" t="s">
        <v>81</v>
      </c>
      <c r="DS43" s="85" t="s">
        <v>81</v>
      </c>
      <c r="DT43" s="85" t="s">
        <v>81</v>
      </c>
      <c r="DU43" s="85" t="s">
        <v>81</v>
      </c>
      <c r="DV43" s="85" t="s">
        <v>81</v>
      </c>
      <c r="DW43" s="85" t="s">
        <v>81</v>
      </c>
      <c r="DX43" s="85" t="s">
        <v>81</v>
      </c>
      <c r="DY43" s="85" t="s">
        <v>81</v>
      </c>
      <c r="DZ43" s="85" t="s">
        <v>81</v>
      </c>
      <c r="EA43" s="85" t="s">
        <v>81</v>
      </c>
      <c r="EB43" s="85" t="s">
        <v>81</v>
      </c>
      <c r="EC43" s="85" t="s">
        <v>81</v>
      </c>
      <c r="ED43" s="85" t="s">
        <v>81</v>
      </c>
      <c r="EE43" s="85" t="s">
        <v>81</v>
      </c>
      <c r="EF43" s="85" t="s">
        <v>81</v>
      </c>
      <c r="EG43" s="85" t="s">
        <v>81</v>
      </c>
      <c r="EH43" s="85" t="s">
        <v>81</v>
      </c>
      <c r="EI43" s="85" t="s">
        <v>81</v>
      </c>
      <c r="EJ43" s="85" t="s">
        <v>81</v>
      </c>
      <c r="EK43" s="85" t="s">
        <v>81</v>
      </c>
      <c r="EL43" s="85" t="s">
        <v>81</v>
      </c>
      <c r="EM43" s="85" t="s">
        <v>81</v>
      </c>
      <c r="EN43" s="85" t="s">
        <v>81</v>
      </c>
      <c r="EO43" s="85" t="s">
        <v>81</v>
      </c>
      <c r="EP43" s="85" t="s">
        <v>81</v>
      </c>
      <c r="EQ43" s="85" t="s">
        <v>81</v>
      </c>
      <c r="ER43" s="85" t="s">
        <v>81</v>
      </c>
      <c r="ES43" s="85" t="s">
        <v>81</v>
      </c>
      <c r="ET43" s="85" t="s">
        <v>81</v>
      </c>
      <c r="EU43" s="85" t="s">
        <v>81</v>
      </c>
      <c r="EV43" s="85" t="s">
        <v>81</v>
      </c>
      <c r="EW43" s="85" t="s">
        <v>81</v>
      </c>
      <c r="EX43" s="85" t="s">
        <v>81</v>
      </c>
      <c r="EY43" s="85" t="s">
        <v>81</v>
      </c>
      <c r="EZ43" s="85" t="s">
        <v>81</v>
      </c>
      <c r="FA43" s="85" t="s">
        <v>81</v>
      </c>
      <c r="FB43" s="85" t="s">
        <v>81</v>
      </c>
      <c r="FC43" s="85" t="s">
        <v>81</v>
      </c>
      <c r="FD43" s="85" t="s">
        <v>81</v>
      </c>
      <c r="FE43" s="85" t="s">
        <v>81</v>
      </c>
      <c r="FF43" s="85" t="s">
        <v>81</v>
      </c>
      <c r="FG43" s="85" t="s">
        <v>81</v>
      </c>
      <c r="FH43" s="85" t="s">
        <v>81</v>
      </c>
      <c r="FI43" s="85" t="s">
        <v>81</v>
      </c>
      <c r="FJ43" s="85" t="s">
        <v>81</v>
      </c>
      <c r="FK43" s="85" t="s">
        <v>81</v>
      </c>
      <c r="FL43" s="85" t="s">
        <v>81</v>
      </c>
      <c r="FM43" s="85" t="s">
        <v>81</v>
      </c>
      <c r="FN43" s="85" t="s">
        <v>81</v>
      </c>
      <c r="FO43" s="85" t="s">
        <v>81</v>
      </c>
      <c r="FP43" s="85" t="s">
        <v>81</v>
      </c>
      <c r="FQ43" s="85" t="s">
        <v>81</v>
      </c>
      <c r="FR43" s="85" t="s">
        <v>81</v>
      </c>
      <c r="FS43" s="85" t="s">
        <v>81</v>
      </c>
      <c r="FT43" s="85" t="s">
        <v>81</v>
      </c>
      <c r="FU43" s="85" t="s">
        <v>81</v>
      </c>
      <c r="FV43" s="85" t="s">
        <v>81</v>
      </c>
      <c r="FW43" s="85" t="s">
        <v>81</v>
      </c>
      <c r="FX43" s="85" t="s">
        <v>81</v>
      </c>
      <c r="FY43" s="85" t="s">
        <v>81</v>
      </c>
      <c r="FZ43" s="85" t="s">
        <v>81</v>
      </c>
      <c r="GA43" s="85" t="s">
        <v>81</v>
      </c>
      <c r="GB43" s="85" t="s">
        <v>81</v>
      </c>
      <c r="GC43" s="85" t="s">
        <v>81</v>
      </c>
      <c r="GD43" s="85" t="s">
        <v>81</v>
      </c>
      <c r="GE43" s="85" t="s">
        <v>81</v>
      </c>
      <c r="GF43" s="85" t="s">
        <v>81</v>
      </c>
      <c r="GG43" s="85" t="s">
        <v>81</v>
      </c>
      <c r="GH43" s="85" t="s">
        <v>81</v>
      </c>
      <c r="GI43" s="85" t="s">
        <v>81</v>
      </c>
      <c r="GJ43" s="85" t="s">
        <v>81</v>
      </c>
      <c r="GK43" s="85" t="s">
        <v>81</v>
      </c>
      <c r="GL43" s="85" t="s">
        <v>81</v>
      </c>
      <c r="GM43" s="85" t="s">
        <v>81</v>
      </c>
      <c r="GN43" s="85" t="s">
        <v>81</v>
      </c>
      <c r="GO43" s="85" t="s">
        <v>81</v>
      </c>
      <c r="GP43" s="85" t="s">
        <v>81</v>
      </c>
      <c r="GQ43" s="85" t="s">
        <v>81</v>
      </c>
      <c r="GR43" s="85" t="s">
        <v>81</v>
      </c>
      <c r="GS43" s="85" t="s">
        <v>81</v>
      </c>
      <c r="GT43" s="85" t="s">
        <v>81</v>
      </c>
      <c r="GU43" s="85" t="s">
        <v>81</v>
      </c>
      <c r="GV43" s="85" t="s">
        <v>81</v>
      </c>
      <c r="GW43" s="85" t="s">
        <v>81</v>
      </c>
      <c r="GX43" s="85" t="s">
        <v>81</v>
      </c>
      <c r="GY43" s="85" t="s">
        <v>81</v>
      </c>
      <c r="GZ43" s="85" t="s">
        <v>81</v>
      </c>
      <c r="HA43" s="85" t="s">
        <v>81</v>
      </c>
      <c r="HB43" s="85" t="s">
        <v>81</v>
      </c>
      <c r="HC43" s="85" t="s">
        <v>81</v>
      </c>
      <c r="HD43" s="85" t="s">
        <v>81</v>
      </c>
      <c r="HE43" s="85" t="s">
        <v>81</v>
      </c>
      <c r="HF43" s="85" t="s">
        <v>81</v>
      </c>
      <c r="HG43" s="85" t="s">
        <v>81</v>
      </c>
      <c r="HH43" s="85" t="s">
        <v>81</v>
      </c>
      <c r="HI43" s="85" t="s">
        <v>81</v>
      </c>
      <c r="HJ43" s="85" t="s">
        <v>81</v>
      </c>
      <c r="HK43" s="85" t="s">
        <v>81</v>
      </c>
      <c r="HL43" s="85" t="s">
        <v>81</v>
      </c>
      <c r="HM43" s="85" t="s">
        <v>81</v>
      </c>
      <c r="HN43" s="85" t="s">
        <v>81</v>
      </c>
      <c r="HO43" s="85" t="s">
        <v>81</v>
      </c>
      <c r="HP43" s="85" t="s">
        <v>81</v>
      </c>
      <c r="HQ43" s="85" t="s">
        <v>81</v>
      </c>
      <c r="HR43" s="85" t="s">
        <v>81</v>
      </c>
      <c r="HS43" s="85" t="s">
        <v>81</v>
      </c>
      <c r="HT43" s="85" t="s">
        <v>81</v>
      </c>
      <c r="HU43" s="85" t="s">
        <v>81</v>
      </c>
      <c r="HV43" s="85" t="s">
        <v>81</v>
      </c>
      <c r="HW43" s="85" t="s">
        <v>81</v>
      </c>
      <c r="HX43" s="85" t="s">
        <v>81</v>
      </c>
      <c r="HY43" s="85" t="s">
        <v>81</v>
      </c>
      <c r="HZ43" s="85" t="s">
        <v>81</v>
      </c>
      <c r="IA43" s="85" t="s">
        <v>81</v>
      </c>
      <c r="IB43" s="85" t="s">
        <v>81</v>
      </c>
      <c r="IC43" s="85" t="s">
        <v>81</v>
      </c>
      <c r="ID43" s="85" t="s">
        <v>81</v>
      </c>
      <c r="IE43" s="85" t="s">
        <v>81</v>
      </c>
      <c r="IF43" s="85" t="s">
        <v>81</v>
      </c>
      <c r="IG43" s="85" t="s">
        <v>81</v>
      </c>
      <c r="IH43" s="85" t="s">
        <v>81</v>
      </c>
      <c r="II43" s="85" t="s">
        <v>81</v>
      </c>
      <c r="IJ43" s="85" t="s">
        <v>81</v>
      </c>
      <c r="IK43" s="85" t="s">
        <v>81</v>
      </c>
      <c r="IL43" s="85" t="s">
        <v>81</v>
      </c>
      <c r="IM43" s="85" t="s">
        <v>81</v>
      </c>
      <c r="IN43" s="85" t="s">
        <v>81</v>
      </c>
      <c r="IO43" s="85" t="s">
        <v>81</v>
      </c>
      <c r="IP43" s="85" t="s">
        <v>81</v>
      </c>
      <c r="IQ43" s="85" t="s">
        <v>81</v>
      </c>
      <c r="IR43" s="85" t="s">
        <v>81</v>
      </c>
      <c r="IS43" s="85" t="s">
        <v>81</v>
      </c>
      <c r="IT43" s="85" t="s">
        <v>81</v>
      </c>
      <c r="IU43" s="85" t="s">
        <v>81</v>
      </c>
      <c r="IV43" s="85" t="s">
        <v>81</v>
      </c>
    </row>
    <row r="44" spans="1:256" ht="12.75" customHeight="1">
      <c r="A44" s="77"/>
      <c r="B44" s="108"/>
      <c r="C44" s="77"/>
      <c r="D44" s="77"/>
      <c r="E44" s="85" t="s">
        <v>84</v>
      </c>
      <c r="F44" s="106">
        <v>73.8</v>
      </c>
      <c r="G44" s="85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256" ht="12.75" customHeight="1">
      <c r="A45" s="77"/>
      <c r="B45" s="108"/>
      <c r="C45" s="77"/>
      <c r="D45" s="77"/>
      <c r="E45" s="85" t="s">
        <v>139</v>
      </c>
      <c r="F45" s="81">
        <v>1298.2</v>
      </c>
      <c r="G45" s="85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</row>
    <row r="46" spans="1:256" ht="12.75" customHeight="1">
      <c r="A46" s="77"/>
      <c r="B46" s="108"/>
      <c r="C46" s="77"/>
      <c r="D46" s="77"/>
      <c r="E46" s="85" t="s">
        <v>86</v>
      </c>
      <c r="F46" s="106">
        <f>500+152</f>
        <v>652</v>
      </c>
      <c r="G46" s="85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256" ht="12.75" customHeight="1">
      <c r="A47" s="77"/>
      <c r="B47" s="108"/>
      <c r="C47" s="77"/>
      <c r="D47" s="77"/>
      <c r="E47" s="85" t="s">
        <v>134</v>
      </c>
      <c r="F47" s="106">
        <v>1430.38</v>
      </c>
      <c r="G47" s="85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1:256" ht="12.75" customHeight="1">
      <c r="A48" s="77"/>
      <c r="B48" s="108"/>
      <c r="C48" s="77"/>
      <c r="D48" s="77"/>
      <c r="E48" s="85" t="s">
        <v>153</v>
      </c>
      <c r="F48" s="106">
        <v>80880.69</v>
      </c>
      <c r="G48" s="85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1:7" ht="12.75" customHeight="1">
      <c r="A49" s="21"/>
      <c r="B49" s="28"/>
      <c r="C49" s="21"/>
      <c r="D49" s="21"/>
      <c r="E49" s="85" t="s">
        <v>154</v>
      </c>
      <c r="F49" s="87">
        <v>119398.59</v>
      </c>
      <c r="G49" s="33"/>
    </row>
    <row r="50" spans="1:7" ht="12.75" customHeight="1">
      <c r="A50" s="21"/>
      <c r="B50" s="28"/>
      <c r="C50" s="21"/>
      <c r="D50" s="21"/>
      <c r="E50" s="85" t="s">
        <v>70</v>
      </c>
      <c r="F50" s="96">
        <v>10500</v>
      </c>
      <c r="G50" s="33"/>
    </row>
    <row r="51" spans="1:7" ht="12.75" customHeight="1">
      <c r="A51" s="21"/>
      <c r="B51" s="28"/>
      <c r="C51" s="21"/>
      <c r="D51" s="21"/>
      <c r="E51" s="85" t="s">
        <v>140</v>
      </c>
      <c r="F51" s="96">
        <v>1660.47</v>
      </c>
      <c r="G51" s="33"/>
    </row>
    <row r="52" spans="1:7" ht="12.75" customHeight="1">
      <c r="A52" s="21"/>
      <c r="B52" s="28"/>
      <c r="C52" s="21"/>
      <c r="D52" s="21"/>
      <c r="E52" s="39"/>
      <c r="F52" s="62"/>
      <c r="G52" s="111"/>
    </row>
    <row r="53" spans="1:7" ht="12.75" customHeight="1">
      <c r="A53" s="21"/>
      <c r="B53" s="28"/>
      <c r="C53" s="79" t="s">
        <v>20</v>
      </c>
      <c r="D53" s="21"/>
      <c r="E53" s="38"/>
      <c r="F53" s="64">
        <f>SUM(F54:F55)</f>
        <v>1797.1</v>
      </c>
      <c r="G53" s="33"/>
    </row>
    <row r="54" spans="1:7" ht="12.75" customHeight="1">
      <c r="A54" s="21"/>
      <c r="B54" s="28"/>
      <c r="C54" s="21"/>
      <c r="D54" s="21"/>
      <c r="E54" s="85" t="s">
        <v>142</v>
      </c>
      <c r="F54" s="90">
        <v>1507.6</v>
      </c>
      <c r="G54" s="33"/>
    </row>
    <row r="55" spans="1:7" ht="12.75" customHeight="1">
      <c r="A55" s="21"/>
      <c r="B55" s="28"/>
      <c r="C55" s="21"/>
      <c r="D55" s="21"/>
      <c r="E55" s="85" t="s">
        <v>209</v>
      </c>
      <c r="F55" s="90">
        <v>289.5</v>
      </c>
      <c r="G55" s="33"/>
    </row>
    <row r="56" spans="1:7" ht="12.75" customHeight="1">
      <c r="A56" s="21"/>
      <c r="B56" s="28"/>
      <c r="C56" s="21"/>
      <c r="D56" s="21"/>
      <c r="E56" s="39"/>
      <c r="F56" s="61"/>
      <c r="G56" s="33"/>
    </row>
    <row r="57" spans="1:7" ht="12.75" customHeight="1">
      <c r="A57" s="21"/>
      <c r="B57" s="28"/>
      <c r="C57" s="79" t="s">
        <v>21</v>
      </c>
      <c r="D57" s="21"/>
      <c r="E57" s="38"/>
      <c r="F57" s="65">
        <f>SUM(F58:F62)</f>
        <v>69648</v>
      </c>
      <c r="G57" s="33"/>
    </row>
    <row r="58" spans="1:7" ht="12.75" customHeight="1">
      <c r="A58" s="21"/>
      <c r="B58" s="28"/>
      <c r="D58" s="92" t="s">
        <v>22</v>
      </c>
      <c r="E58" s="41"/>
      <c r="F58" s="90">
        <f>39921.33+1260.1</f>
        <v>41181.43</v>
      </c>
      <c r="G58" s="33"/>
    </row>
    <row r="59" spans="1:7" ht="12.75" customHeight="1">
      <c r="A59" s="21"/>
      <c r="B59" s="28"/>
      <c r="D59" s="92" t="s">
        <v>23</v>
      </c>
      <c r="E59" s="41"/>
      <c r="F59" s="87">
        <f>28166.67+299.9-1514</f>
        <v>26952.57</v>
      </c>
      <c r="G59" s="33"/>
    </row>
    <row r="60" spans="1:7" ht="12.75" customHeight="1">
      <c r="A60" s="21"/>
      <c r="B60" s="28"/>
      <c r="D60" s="92" t="s">
        <v>24</v>
      </c>
      <c r="E60" s="41"/>
      <c r="F60" s="87">
        <v>1514</v>
      </c>
      <c r="G60" s="33"/>
    </row>
    <row r="61" spans="1:7" ht="12.75" customHeight="1">
      <c r="A61" s="21"/>
      <c r="B61" s="28"/>
      <c r="D61" s="92" t="s">
        <v>25</v>
      </c>
      <c r="E61" s="41"/>
      <c r="F61" s="87">
        <v>0</v>
      </c>
      <c r="G61" s="33"/>
    </row>
    <row r="62" spans="1:7" ht="12.75" customHeight="1">
      <c r="A62" s="21"/>
      <c r="B62" s="28"/>
      <c r="D62" s="92" t="s">
        <v>26</v>
      </c>
      <c r="E62" s="41"/>
      <c r="F62" s="87">
        <v>0</v>
      </c>
      <c r="G62" s="33"/>
    </row>
    <row r="63" spans="1:7" ht="12.75" customHeight="1">
      <c r="A63" s="21"/>
      <c r="B63" s="28"/>
      <c r="D63" s="40"/>
      <c r="E63" s="41"/>
      <c r="F63" s="61"/>
      <c r="G63" s="33"/>
    </row>
    <row r="64" spans="1:7" ht="12.75" customHeight="1">
      <c r="A64" s="21"/>
      <c r="B64" s="28"/>
      <c r="C64" s="79" t="s">
        <v>27</v>
      </c>
      <c r="D64" s="21"/>
      <c r="E64" s="38"/>
      <c r="F64" s="65">
        <f>SUM(F65:F69)</f>
        <v>8509.33</v>
      </c>
      <c r="G64" s="33"/>
    </row>
    <row r="65" spans="1:7" ht="12.75" customHeight="1">
      <c r="A65" s="21"/>
      <c r="B65" s="28"/>
      <c r="C65" s="21"/>
      <c r="D65" s="92" t="s">
        <v>28</v>
      </c>
      <c r="E65" s="41"/>
      <c r="F65" s="90">
        <v>172.9</v>
      </c>
      <c r="G65" s="33"/>
    </row>
    <row r="66" spans="1:7" ht="12.75" customHeight="1">
      <c r="A66" s="21"/>
      <c r="B66" s="28"/>
      <c r="D66" s="92" t="s">
        <v>29</v>
      </c>
      <c r="E66" s="42"/>
      <c r="F66" s="87">
        <v>8336.43</v>
      </c>
      <c r="G66" s="33"/>
    </row>
    <row r="67" spans="1:7" ht="12.75" customHeight="1">
      <c r="A67" s="21"/>
      <c r="B67" s="28"/>
      <c r="D67" s="92" t="s">
        <v>31</v>
      </c>
      <c r="E67" s="41"/>
      <c r="F67" s="87">
        <v>0</v>
      </c>
      <c r="G67" s="33"/>
    </row>
    <row r="68" spans="1:7" ht="12.75" customHeight="1">
      <c r="A68" s="21"/>
      <c r="B68" s="28"/>
      <c r="D68" s="92" t="s">
        <v>32</v>
      </c>
      <c r="E68" s="41"/>
      <c r="F68" s="87"/>
      <c r="G68" s="33"/>
    </row>
    <row r="69" spans="1:7" ht="12.75" customHeight="1">
      <c r="A69" s="21"/>
      <c r="B69" s="28"/>
      <c r="D69" s="40"/>
      <c r="E69" s="93" t="s">
        <v>33</v>
      </c>
      <c r="F69" s="87">
        <v>0</v>
      </c>
      <c r="G69" s="33"/>
    </row>
    <row r="70" spans="1:7" ht="12.75" customHeight="1">
      <c r="A70" s="21"/>
      <c r="B70" s="28"/>
      <c r="D70" s="40"/>
      <c r="E70" s="42"/>
      <c r="F70" s="62"/>
      <c r="G70" s="33"/>
    </row>
    <row r="71" spans="1:7" ht="12.75" customHeight="1">
      <c r="A71" s="21"/>
      <c r="B71" s="28"/>
      <c r="C71" s="79" t="s">
        <v>34</v>
      </c>
      <c r="D71" s="21"/>
      <c r="E71" s="38"/>
      <c r="F71" s="59"/>
      <c r="G71" s="33"/>
    </row>
    <row r="72" spans="1:7" ht="12.75" customHeight="1">
      <c r="A72" s="21"/>
      <c r="B72" s="28"/>
      <c r="D72" s="21"/>
      <c r="E72" s="94" t="s">
        <v>35</v>
      </c>
      <c r="F72" s="66">
        <v>0</v>
      </c>
      <c r="G72" s="33"/>
    </row>
    <row r="73" spans="1:7" ht="12.75" customHeight="1">
      <c r="A73" s="21"/>
      <c r="B73" s="28"/>
      <c r="D73" s="21"/>
      <c r="E73" s="43"/>
      <c r="F73" s="59"/>
      <c r="G73" s="33"/>
    </row>
    <row r="74" spans="1:7" ht="12.75" customHeight="1">
      <c r="A74" s="21"/>
      <c r="B74" s="28"/>
      <c r="C74" s="79" t="s">
        <v>36</v>
      </c>
      <c r="D74" s="21"/>
      <c r="E74" s="38"/>
      <c r="F74" s="66">
        <v>0</v>
      </c>
      <c r="G74" s="33"/>
    </row>
    <row r="75" spans="1:7" ht="12.75" customHeight="1">
      <c r="A75" s="21"/>
      <c r="B75" s="28"/>
      <c r="C75" s="21"/>
      <c r="D75" s="21"/>
      <c r="E75" s="38"/>
      <c r="F75" s="59"/>
      <c r="G75" s="33"/>
    </row>
    <row r="76" spans="1:7" ht="12.75" customHeight="1">
      <c r="A76" s="21"/>
      <c r="B76" s="28"/>
      <c r="C76" s="79" t="s">
        <v>37</v>
      </c>
      <c r="D76" s="21"/>
      <c r="E76" s="38"/>
      <c r="F76" s="66">
        <v>0</v>
      </c>
      <c r="G76" s="33"/>
    </row>
    <row r="77" spans="1:7" ht="12.75" customHeight="1">
      <c r="A77" s="21"/>
      <c r="B77" s="28"/>
      <c r="C77" s="21"/>
      <c r="D77" s="21"/>
      <c r="E77" s="38"/>
      <c r="F77" s="59"/>
      <c r="G77" s="33"/>
    </row>
    <row r="78" spans="1:7" ht="12.75" customHeight="1">
      <c r="A78" s="21"/>
      <c r="B78" s="28"/>
      <c r="C78" s="79" t="s">
        <v>38</v>
      </c>
      <c r="D78" s="21"/>
      <c r="E78" s="38"/>
      <c r="F78" s="66">
        <f>SUM(F79:F82)</f>
        <v>1080.38</v>
      </c>
      <c r="G78" s="33"/>
    </row>
    <row r="79" spans="1:7" ht="12.75" customHeight="1">
      <c r="A79" s="21"/>
      <c r="B79" s="28"/>
      <c r="C79" s="79"/>
      <c r="D79" s="21"/>
      <c r="E79" s="85" t="s">
        <v>127</v>
      </c>
      <c r="F79" s="81">
        <v>110.76</v>
      </c>
      <c r="G79" s="33"/>
    </row>
    <row r="80" spans="1:7" ht="12.75" customHeight="1">
      <c r="A80" s="21"/>
      <c r="B80" s="28"/>
      <c r="C80" s="79"/>
      <c r="D80" s="21"/>
      <c r="E80" s="85" t="s">
        <v>128</v>
      </c>
      <c r="F80" s="81">
        <v>26</v>
      </c>
      <c r="G80" s="33"/>
    </row>
    <row r="81" spans="1:7" ht="12.75" customHeight="1">
      <c r="A81" s="21"/>
      <c r="B81" s="28"/>
      <c r="C81" s="79"/>
      <c r="D81" s="21"/>
      <c r="E81" s="85" t="s">
        <v>102</v>
      </c>
      <c r="F81" s="81">
        <v>509.63</v>
      </c>
      <c r="G81" s="33"/>
    </row>
    <row r="82" spans="1:7" ht="12.75" customHeight="1">
      <c r="A82" s="21"/>
      <c r="B82" s="28"/>
      <c r="C82" s="79"/>
      <c r="D82" s="21"/>
      <c r="E82" s="85" t="s">
        <v>155</v>
      </c>
      <c r="F82" s="81">
        <v>433.99</v>
      </c>
      <c r="G82" s="33"/>
    </row>
    <row r="83" spans="1:7" ht="12.75" customHeight="1">
      <c r="A83" s="21"/>
      <c r="B83" s="28"/>
      <c r="C83" s="21"/>
      <c r="D83" s="21"/>
      <c r="E83" s="43"/>
      <c r="F83" s="59" t="s">
        <v>0</v>
      </c>
      <c r="G83" s="33"/>
    </row>
    <row r="84" spans="1:9" ht="16.5" customHeight="1">
      <c r="A84" s="44"/>
      <c r="B84" s="75" t="s">
        <v>39</v>
      </c>
      <c r="C84" s="45"/>
      <c r="D84" s="45"/>
      <c r="E84" s="39"/>
      <c r="F84" s="59" t="s">
        <v>0</v>
      </c>
      <c r="G84" s="98">
        <f>SUM(G19:G78)</f>
        <v>38829.74999999994</v>
      </c>
      <c r="I84" s="70"/>
    </row>
    <row r="85" spans="1:7" ht="12.75" customHeight="1">
      <c r="A85" s="21"/>
      <c r="B85" s="97" t="s">
        <v>40</v>
      </c>
      <c r="C85" s="21"/>
      <c r="D85" s="21"/>
      <c r="E85" s="43"/>
      <c r="F85" s="59" t="s">
        <v>0</v>
      </c>
      <c r="G85" s="46"/>
    </row>
    <row r="86" spans="2:7" ht="12" customHeight="1">
      <c r="B86" s="47"/>
      <c r="E86" s="38"/>
      <c r="F86" s="59" t="s">
        <v>0</v>
      </c>
      <c r="G86" s="46"/>
    </row>
    <row r="87" spans="2:7" ht="16.5" customHeight="1">
      <c r="B87" s="75" t="s">
        <v>52</v>
      </c>
      <c r="C87" s="35"/>
      <c r="D87" s="35"/>
      <c r="E87" s="48"/>
      <c r="F87" s="60"/>
      <c r="G87" s="98">
        <f>SUM(F89:F91)</f>
        <v>-5</v>
      </c>
    </row>
    <row r="88" spans="2:7" ht="12">
      <c r="B88" s="47"/>
      <c r="E88" s="38"/>
      <c r="F88" s="59"/>
      <c r="G88" s="46"/>
    </row>
    <row r="89" spans="2:7" ht="15">
      <c r="B89" s="28"/>
      <c r="C89" s="79" t="s">
        <v>49</v>
      </c>
      <c r="D89" s="21"/>
      <c r="E89" s="38"/>
      <c r="F89" s="64">
        <v>0</v>
      </c>
      <c r="G89" s="46"/>
    </row>
    <row r="90" spans="2:7" ht="15">
      <c r="B90" s="47"/>
      <c r="C90" s="79" t="s">
        <v>50</v>
      </c>
      <c r="E90" s="38"/>
      <c r="F90" s="71">
        <v>0</v>
      </c>
      <c r="G90" s="46"/>
    </row>
    <row r="91" spans="2:7" ht="15">
      <c r="B91" s="47"/>
      <c r="C91" s="79" t="s">
        <v>51</v>
      </c>
      <c r="E91" s="38"/>
      <c r="F91" s="66">
        <v>-5</v>
      </c>
      <c r="G91" s="46"/>
    </row>
    <row r="92" spans="2:7" ht="12">
      <c r="B92" s="47"/>
      <c r="E92" s="38"/>
      <c r="F92" s="59"/>
      <c r="G92" s="46"/>
    </row>
    <row r="93" spans="2:7" ht="18">
      <c r="B93" s="75" t="s">
        <v>75</v>
      </c>
      <c r="C93" s="35"/>
      <c r="D93" s="35"/>
      <c r="E93" s="48"/>
      <c r="F93" s="69">
        <v>0</v>
      </c>
      <c r="G93" s="99">
        <v>0</v>
      </c>
    </row>
    <row r="94" spans="2:7" ht="12">
      <c r="B94" s="47"/>
      <c r="E94" s="38"/>
      <c r="F94" s="59"/>
      <c r="G94" s="46"/>
    </row>
    <row r="95" spans="2:7" ht="18">
      <c r="B95" s="75" t="s">
        <v>76</v>
      </c>
      <c r="C95" s="35"/>
      <c r="D95" s="35"/>
      <c r="E95" s="48"/>
      <c r="F95" s="60"/>
      <c r="G95" s="98">
        <f>F97-F98</f>
        <v>-367.25</v>
      </c>
    </row>
    <row r="96" spans="2:7" ht="12">
      <c r="B96" s="47"/>
      <c r="E96" s="38"/>
      <c r="F96" s="59"/>
      <c r="G96" s="46"/>
    </row>
    <row r="97" spans="2:7" ht="14.25">
      <c r="B97" s="47"/>
      <c r="C97" s="79" t="s">
        <v>53</v>
      </c>
      <c r="E97" s="38"/>
      <c r="F97" s="68">
        <v>0</v>
      </c>
      <c r="G97" s="46"/>
    </row>
    <row r="98" spans="2:7" ht="14.25">
      <c r="B98" s="47"/>
      <c r="C98" s="79" t="s">
        <v>54</v>
      </c>
      <c r="E98" s="38"/>
      <c r="F98" s="68">
        <v>367.25</v>
      </c>
      <c r="G98" s="46"/>
    </row>
    <row r="99" spans="2:7" ht="12">
      <c r="B99" s="47"/>
      <c r="E99" s="38"/>
      <c r="F99" s="59"/>
      <c r="G99" s="46"/>
    </row>
    <row r="100" spans="2:7" ht="12">
      <c r="B100" s="47"/>
      <c r="E100" s="38"/>
      <c r="F100" s="59"/>
      <c r="G100" s="46"/>
    </row>
    <row r="101" spans="2:9" ht="18">
      <c r="B101" s="31"/>
      <c r="E101" s="100" t="s">
        <v>55</v>
      </c>
      <c r="F101" s="59"/>
      <c r="G101" s="101">
        <f>G84+G87+G93+G95</f>
        <v>38457.49999999994</v>
      </c>
      <c r="I101" s="70"/>
    </row>
    <row r="102" spans="2:7" ht="12">
      <c r="B102" s="49"/>
      <c r="C102" s="50"/>
      <c r="D102" s="50"/>
      <c r="E102" s="51"/>
      <c r="F102" s="52"/>
      <c r="G102" s="53"/>
    </row>
    <row r="107" spans="5:7" ht="15.75">
      <c r="E107" s="103" t="s">
        <v>111</v>
      </c>
      <c r="G107" s="107">
        <f>828267.98*4.08/100</f>
        <v>33793.333584</v>
      </c>
    </row>
    <row r="109" spans="5:7" ht="15.75">
      <c r="E109" s="103" t="s">
        <v>112</v>
      </c>
      <c r="G109" s="107">
        <f>-952694.23*4.08/100+1.61</f>
        <v>-38868.314584</v>
      </c>
    </row>
    <row r="111" spans="5:7" ht="18">
      <c r="E111" s="103" t="s">
        <v>160</v>
      </c>
      <c r="G111" s="104">
        <f>G101+G107+G109</f>
        <v>33382.51899999995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80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2008-06-03T13:23:56Z</cp:lastPrinted>
  <dcterms:created xsi:type="dcterms:W3CDTF">1997-08-28T16:58:31Z</dcterms:created>
  <dcterms:modified xsi:type="dcterms:W3CDTF">2009-09-29T07:55:41Z</dcterms:modified>
  <cp:category/>
  <cp:version/>
  <cp:contentType/>
  <cp:contentStatus/>
</cp:coreProperties>
</file>