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100" windowHeight="5835" activeTab="0"/>
  </bookViews>
  <sheets>
    <sheet name="Triennale 2006-2008" sheetId="1" r:id="rId1"/>
    <sheet name=" relazione triennale" sheetId="2" r:id="rId2"/>
  </sheets>
  <definedNames/>
  <calcPr fullCalcOnLoad="1"/>
</workbook>
</file>

<file path=xl/sharedStrings.xml><?xml version="1.0" encoding="utf-8"?>
<sst xmlns="http://schemas.openxmlformats.org/spreadsheetml/2006/main" count="240" uniqueCount="223">
  <si>
    <t>A. S. P. e F.</t>
  </si>
  <si>
    <t>Azienda Servizi alla Persona e alla Famiglia</t>
  </si>
  <si>
    <t>D'ESTE</t>
  </si>
  <si>
    <t>Domiciliare</t>
  </si>
  <si>
    <t>Residenze</t>
  </si>
  <si>
    <t>Giovanile</t>
  </si>
  <si>
    <t>Palatè</t>
  </si>
  <si>
    <t>A</t>
  </si>
  <si>
    <t>VALORE DELLA PRODUZIONE</t>
  </si>
  <si>
    <t xml:space="preserve"> 1) Ricavi delle vendite e prestazioni</t>
  </si>
  <si>
    <t>a)</t>
  </si>
  <si>
    <t>b)</t>
  </si>
  <si>
    <t>d)</t>
  </si>
  <si>
    <t>f)</t>
  </si>
  <si>
    <t>h)</t>
  </si>
  <si>
    <t>l)</t>
  </si>
  <si>
    <t>m)</t>
  </si>
  <si>
    <t xml:space="preserve"> 2) Variazione delle rimanenze</t>
  </si>
  <si>
    <t xml:space="preserve"> 3) Variazione dei lavori in corso su ordinazione</t>
  </si>
  <si>
    <t xml:space="preserve"> 4) Incrementi di immobilizz. per lavori interni</t>
  </si>
  <si>
    <t xml:space="preserve"> 5) Altri ricavi e proventi</t>
  </si>
  <si>
    <t>Contributi</t>
  </si>
  <si>
    <t>Altri ricavi e proventi vari</t>
  </si>
  <si>
    <t>TOTALE PARZIALE PER SERVIZIO</t>
  </si>
  <si>
    <t xml:space="preserve">          </t>
  </si>
  <si>
    <t>B</t>
  </si>
  <si>
    <t>COSTI DELLA PRODUZIONE</t>
  </si>
  <si>
    <t xml:space="preserve"> 6) Costi per mat. prime, sussidiarie, di consumo e merci</t>
  </si>
  <si>
    <t xml:space="preserve"> - Cancelleria</t>
  </si>
  <si>
    <t xml:space="preserve"> - Carburanti e lubrificanti</t>
  </si>
  <si>
    <t xml:space="preserve"> - Teleriscaldamento</t>
  </si>
  <si>
    <t xml:space="preserve"> 7) Costi per servizi</t>
  </si>
  <si>
    <t xml:space="preserve"> - Energia elettrica</t>
  </si>
  <si>
    <t xml:space="preserve"> - Compensi agli amministratori</t>
  </si>
  <si>
    <t xml:space="preserve"> - Compensi ai sindaci</t>
  </si>
  <si>
    <t xml:space="preserve"> - Spese lavanderia biancheria piana</t>
  </si>
  <si>
    <t xml:space="preserve"> - Servizio di pulizia</t>
  </si>
  <si>
    <t xml:space="preserve"> - Spese telefoniche</t>
  </si>
  <si>
    <t xml:space="preserve"> - Spese postali e di affrancatura</t>
  </si>
  <si>
    <t xml:space="preserve"> - Spese viaggi e trasferte</t>
  </si>
  <si>
    <t xml:space="preserve"> 8) Costi per godimento beni di terzi</t>
  </si>
  <si>
    <t xml:space="preserve"> - Affitti e locazioni</t>
  </si>
  <si>
    <t xml:space="preserve"> - Spese condominiali</t>
  </si>
  <si>
    <t xml:space="preserve"> - Noleggio strutture e attrezzature</t>
  </si>
  <si>
    <t xml:space="preserve"> 9) Costi per il personale</t>
  </si>
  <si>
    <t xml:space="preserve"> - Salari e stipendi</t>
  </si>
  <si>
    <t xml:space="preserve"> - Trattamento di fine rapporto</t>
  </si>
  <si>
    <t xml:space="preserve"> 10) Ammortamenti e svalutazioni</t>
  </si>
  <si>
    <t xml:space="preserve"> - Svalut. dei crediti compresi nell'attivo circolante</t>
  </si>
  <si>
    <t xml:space="preserve"> 11)</t>
  </si>
  <si>
    <t xml:space="preserve">Variazioni delle rimanenze </t>
  </si>
  <si>
    <t xml:space="preserve"> - Rimanenze iniziali</t>
  </si>
  <si>
    <t xml:space="preserve"> - (Rimanenze finali)</t>
  </si>
  <si>
    <t xml:space="preserve"> 12)</t>
  </si>
  <si>
    <t>Accantonamenti per rischi</t>
  </si>
  <si>
    <t xml:space="preserve"> - Accantonamento a fondo rischi</t>
  </si>
  <si>
    <t xml:space="preserve"> 13)</t>
  </si>
  <si>
    <t>Altri accantonamenti</t>
  </si>
  <si>
    <t xml:space="preserve"> 14)</t>
  </si>
  <si>
    <t>Oneri diversi di gestione</t>
  </si>
  <si>
    <t xml:space="preserve"> - Imposte di bollo</t>
  </si>
  <si>
    <t xml:space="preserve"> - Tasse di circolazione automezzi</t>
  </si>
  <si>
    <t>C</t>
  </si>
  <si>
    <t>PROVENTI E ONERI FINANZIARI</t>
  </si>
  <si>
    <t xml:space="preserve"> 15)</t>
  </si>
  <si>
    <t>Proventi da partecipazioni</t>
  </si>
  <si>
    <t xml:space="preserve"> 16)</t>
  </si>
  <si>
    <t>Altri proventi finanziari</t>
  </si>
  <si>
    <t xml:space="preserve"> 17)</t>
  </si>
  <si>
    <t>Interessi e altri oneri finanziari</t>
  </si>
  <si>
    <t>D</t>
  </si>
  <si>
    <t>E</t>
  </si>
  <si>
    <t>PROVENTI E ONERI STRAORDINARI</t>
  </si>
  <si>
    <t xml:space="preserve"> 20)</t>
  </si>
  <si>
    <t xml:space="preserve"> 21)</t>
  </si>
  <si>
    <t>Oneri</t>
  </si>
  <si>
    <t xml:space="preserve"> 22)</t>
  </si>
  <si>
    <t>Tariffe Centro Diurno Integrato</t>
  </si>
  <si>
    <t xml:space="preserve"> - Fornitura pasti altri Cdr</t>
  </si>
  <si>
    <t xml:space="preserve"> - Acquisto generi alimentari</t>
  </si>
  <si>
    <t xml:space="preserve"> - Acquisto mat. medico per assist. farm. e sanit.</t>
  </si>
  <si>
    <t xml:space="preserve"> - Acquisti per attività di animazione</t>
  </si>
  <si>
    <t xml:space="preserve"> - Acquisto farmaci</t>
  </si>
  <si>
    <t xml:space="preserve"> - Compensi medici</t>
  </si>
  <si>
    <t xml:space="preserve"> - Compensi podologo</t>
  </si>
  <si>
    <t xml:space="preserve"> - Compensi fisioterapisti</t>
  </si>
  <si>
    <t xml:space="preserve"> - Acquisto pasti da CdR Rist.</t>
  </si>
  <si>
    <t xml:space="preserve"> - Prestazioni medicina specialistica</t>
  </si>
  <si>
    <t xml:space="preserve"> - Assistenza informatica</t>
  </si>
  <si>
    <t xml:space="preserve"> - Contributi ad associzioni sindac. e di categoria</t>
  </si>
  <si>
    <t>RETT. DI VALORE DI ATTIVITA' FINANZIARIE</t>
  </si>
  <si>
    <t>AVANZO / DISAVANZO DI GESTIONE</t>
  </si>
  <si>
    <t xml:space="preserve"> - Confezionamento e consegna pasti</t>
  </si>
  <si>
    <t>Proventi Trasporti</t>
  </si>
  <si>
    <t>Rette Comunità Alloggio Handicap</t>
  </si>
  <si>
    <t xml:space="preserve"> - Acquisto pannoloni</t>
  </si>
  <si>
    <t xml:space="preserve"> - Trasporti c/terzi</t>
  </si>
  <si>
    <t xml:space="preserve"> - Spese formazione</t>
  </si>
  <si>
    <t xml:space="preserve"> - Rimborso spese ospiti</t>
  </si>
  <si>
    <t xml:space="preserve"> - Servizio assistenza geriatrica conv.e pulizia</t>
  </si>
  <si>
    <t xml:space="preserve"> - Spese gestione CAG</t>
  </si>
  <si>
    <t xml:space="preserve"> - Spese gestione Comunita' alloggio handicap</t>
  </si>
  <si>
    <t xml:space="preserve"> - Spese gestione Servizio Domiciliare Minori</t>
  </si>
  <si>
    <t xml:space="preserve"> - Spese di Vigilanza</t>
  </si>
  <si>
    <t xml:space="preserve"> - Ammortamento immob.immateriali</t>
  </si>
  <si>
    <t xml:space="preserve">Imposte dell'esercizio </t>
  </si>
  <si>
    <t>Proventi Area Minori</t>
  </si>
  <si>
    <t xml:space="preserve">    Costi comuni</t>
  </si>
  <si>
    <t xml:space="preserve"> - Ammortamento immob materiali</t>
  </si>
  <si>
    <t>Il bilancio triennale è stato effettuato in ragione delle seguenti variazioni:</t>
  </si>
  <si>
    <t>RICAVI</t>
  </si>
  <si>
    <t>C.D.I.</t>
  </si>
  <si>
    <t>Area Minori</t>
  </si>
  <si>
    <t>Quote forfettarie S.S.N.</t>
  </si>
  <si>
    <t>COSTI</t>
  </si>
  <si>
    <t>Rette RSA "Luigi Bianchi"</t>
  </si>
  <si>
    <t>Rette RSA "Isabella D'Este"</t>
  </si>
  <si>
    <t xml:space="preserve"> - Regione Lombardia ex-circolare 4</t>
  </si>
  <si>
    <t xml:space="preserve"> -A.S.L. Quote forfettarie SSN</t>
  </si>
  <si>
    <t xml:space="preserve"> - Spese manutenzione automezzi</t>
  </si>
  <si>
    <t xml:space="preserve"> - Altre spese automezzi</t>
  </si>
  <si>
    <t xml:space="preserve"> - Spese di rappresentanza</t>
  </si>
  <si>
    <t xml:space="preserve"> - Rimborso Spese Km.</t>
  </si>
  <si>
    <t xml:space="preserve"> - Locazione sollevatori</t>
  </si>
  <si>
    <t xml:space="preserve"> - Tasse di concessione governative</t>
  </si>
  <si>
    <t xml:space="preserve"> - Imposta di registro</t>
  </si>
  <si>
    <t>R.S.A. "ISABELLA D'ESTE" E "LUIGI BIANCHI"</t>
  </si>
  <si>
    <t xml:space="preserve"> - Regione Piano di Zona</t>
  </si>
  <si>
    <t xml:space="preserve"> - Servizio voucher socio-sanitario</t>
  </si>
  <si>
    <t>Proventi per conferimento</t>
  </si>
  <si>
    <t>n)</t>
  </si>
  <si>
    <t>o)</t>
  </si>
  <si>
    <t>IMPOSTE D'ESERCIZIO</t>
  </si>
  <si>
    <t>c)</t>
  </si>
  <si>
    <t>Proventi Fisioterapia</t>
  </si>
  <si>
    <t xml:space="preserve"> - </t>
  </si>
  <si>
    <t xml:space="preserve"> -</t>
  </si>
  <si>
    <t>Acquisto ossigeno</t>
  </si>
  <si>
    <t>Gas</t>
  </si>
  <si>
    <t xml:space="preserve"> - Acqua </t>
  </si>
  <si>
    <t xml:space="preserve"> - Spese per manutenzioni e riparazioni attrezzature</t>
  </si>
  <si>
    <t xml:space="preserve"> - Spese per manutenzioni e riparazioni impianti</t>
  </si>
  <si>
    <t xml:space="preserve"> - Spese per assicurazioni </t>
  </si>
  <si>
    <t xml:space="preserve"> - Spese per prestazioni artistiche</t>
  </si>
  <si>
    <t xml:space="preserve"> - Spese per attività socio-ricreative e soggiorni</t>
  </si>
  <si>
    <t xml:space="preserve"> - Spese di pubblicità</t>
  </si>
  <si>
    <t xml:space="preserve"> - Spese per gare di appalto</t>
  </si>
  <si>
    <t xml:space="preserve"> - Spese lavaggio divise</t>
  </si>
  <si>
    <t xml:space="preserve"> - Spese lavaggio stoviglie</t>
  </si>
  <si>
    <t xml:space="preserve"> - Altri accantonamenti </t>
  </si>
  <si>
    <t xml:space="preserve"> - Imposta Comunale Immobili</t>
  </si>
  <si>
    <t xml:space="preserve"> - Altre imposte e tasse</t>
  </si>
  <si>
    <t>FISIOTERAPIA</t>
  </si>
  <si>
    <t>S.A.D. e VOUCHER</t>
  </si>
  <si>
    <t>TRASPORTO PROTETTO</t>
  </si>
  <si>
    <t>Comunità Alloggio Handicap</t>
  </si>
  <si>
    <t>Proventi Affitti e Contratto di Servizio Farmacie</t>
  </si>
  <si>
    <t xml:space="preserve">Contributo Piano di Zona </t>
  </si>
  <si>
    <t>Contributo Regione Lombardia ex - circolare 4</t>
  </si>
  <si>
    <t>Comunità Residenziale Minori</t>
  </si>
  <si>
    <t>Servizio Affidi</t>
  </si>
  <si>
    <t xml:space="preserve"> - Spese gestione comunità minori</t>
  </si>
  <si>
    <t xml:space="preserve"> - Spese per assistenza sanitaria per minori</t>
  </si>
  <si>
    <t xml:space="preserve"> - Spese vitto e indumenti per minori</t>
  </si>
  <si>
    <t xml:space="preserve"> - Spese gestione servizio affidi</t>
  </si>
  <si>
    <t>Altri contributi</t>
  </si>
  <si>
    <t xml:space="preserve">Altri proventi Contratto Servizio Farmacie </t>
  </si>
  <si>
    <t xml:space="preserve"> - Contributo Regione Lombardia lavori I.D'Este</t>
  </si>
  <si>
    <t xml:space="preserve"> - Altri proventi Affitti Farmacie</t>
  </si>
  <si>
    <t>Altri proventi personale in distacco/comando</t>
  </si>
  <si>
    <t>Anche in questo centro di servizio non abbiamo previsto aumenti delle rette per gli anni 2007 e 2008.</t>
  </si>
  <si>
    <t>Area Integrazione sociale</t>
  </si>
  <si>
    <t>Costi del personale</t>
  </si>
  <si>
    <t>Compensi Amministratori</t>
  </si>
  <si>
    <t>Bilancio di Previsione Triennale  2007 - 2008 - 2009</t>
  </si>
  <si>
    <t>Tariffe SAD e Voucher</t>
  </si>
  <si>
    <t>Area Integrazione Sociale</t>
  </si>
  <si>
    <t>Sportello Giovani</t>
  </si>
  <si>
    <t xml:space="preserve"> - Contributo Progetto Alzheimer</t>
  </si>
  <si>
    <t xml:space="preserve"> - Contributo vari</t>
  </si>
  <si>
    <t xml:space="preserve"> - Acquisto materiali da magazzino</t>
  </si>
  <si>
    <t xml:space="preserve"> - Acquisto prodotti per parucchiera</t>
  </si>
  <si>
    <t>Acquisto materiale per voucher</t>
  </si>
  <si>
    <t xml:space="preserve"> - Spese ludoteca</t>
  </si>
  <si>
    <t xml:space="preserve"> - Spese eventi Sportello Giovani</t>
  </si>
  <si>
    <t xml:space="preserve"> - Rimborso spese Sportello Giovani</t>
  </si>
  <si>
    <t xml:space="preserve"> - Prestazioni occasionali</t>
  </si>
  <si>
    <t xml:space="preserve"> - Compenso infermiere professionale</t>
  </si>
  <si>
    <t xml:space="preserve"> - Spese gestione dormitorio</t>
  </si>
  <si>
    <t xml:space="preserve"> - Co.co.pro. Alzheimer</t>
  </si>
  <si>
    <t xml:space="preserve"> - Co.co.pro Sportello Giovani</t>
  </si>
  <si>
    <t xml:space="preserve"> - Collaborazioni coordinate a progetto</t>
  </si>
  <si>
    <t xml:space="preserve"> - Consulenza Sicurezza 626/94</t>
  </si>
  <si>
    <t xml:space="preserve"> - Consul. Fiscali, legali e lavoro e amministrative</t>
  </si>
  <si>
    <t xml:space="preserve"> - Consul. Tecniche e impiantistiche</t>
  </si>
  <si>
    <t xml:space="preserve"> - Contributi CPDEL, Inps e Inail</t>
  </si>
  <si>
    <t xml:space="preserve"> - Costi sicurezza </t>
  </si>
  <si>
    <t xml:space="preserve"> - Tariffa rifiuti speciali</t>
  </si>
  <si>
    <t xml:space="preserve"> - Tariffa Igiene Ambientale</t>
  </si>
  <si>
    <t xml:space="preserve"> - Abbonamenti a testi e riviste</t>
  </si>
  <si>
    <t>NOTE AL TRIENNALE  2007 - 2008 - 2009</t>
  </si>
  <si>
    <t xml:space="preserve">Le tariffe per gli anni 2008 e 2009 non sono state aumentate </t>
  </si>
  <si>
    <t>Aumento rette per il SAD di euro 2,00 per l'anno 2007.</t>
  </si>
  <si>
    <t xml:space="preserve">Nessun aumento delle rette per tutti e tre gli anni. </t>
  </si>
  <si>
    <t>Per l'anno 2007 è stato ridotto del 30%, per il 2008 è stato ridotto del 50% mentre per il 2009 non ci sarà nessun contributo.</t>
  </si>
  <si>
    <t>Per quanto riguarda l"Isabella D'Este" e la "Luigi Bianchi" sono state inserite quote rette S.S.N. aumentate di 1,50 rispetto al 2006 ad ospite.Nessun aumento previsto per gli anni 2008 e 2009.</t>
  </si>
  <si>
    <t>Nessun aumento per gli anni 2007, 2008 e 2009</t>
  </si>
  <si>
    <t>I</t>
  </si>
  <si>
    <t>Tra gli altri proventi abbiamo stimato interessi attivi di conto corrente di tesoreria pari ad 8.964,00 per l'anno 2007 mentre per l'anno 2008 la stima è pari a 7.000,00 e per il 2009 è di 6.000,00.</t>
  </si>
  <si>
    <t>Tra gli interessi ed altri oneri finanziari abbiamo calcolato interessi passivi sul mutuo pari ad 60.576,00 per l'anno 2007 mentre per l'anno 2008 l'importo è pari ad euro 56.046,73 e per il 2009 è di 5.3851,72</t>
  </si>
  <si>
    <t xml:space="preserve"> - Aspettativa personale dipendente</t>
  </si>
  <si>
    <t>I costi d'esercizio per l'anno 2007 relativi agli acquisti, servizi e oneri diversi di gestione sono aumentati del 2,5%; per gli anni 2008 e 2009 relativi agli acquisti, servizi, ammortamenti e oneri diversi di gestione sono aumentati del 1%.</t>
  </si>
  <si>
    <t>Invariato rispetto al 2006 per tutti i tre gli anni.</t>
  </si>
  <si>
    <t>E' stato previsto un' aumento rispetto al 2007 del 3% sia per il 2008 che per il 2009.</t>
  </si>
  <si>
    <t>Per l'anno 2007 è stato aumentato l'affitto delle farmacie a 75.000,00 e il contratto di servizio a 50.000,00.</t>
  </si>
  <si>
    <t xml:space="preserve"> - Costi per il personale in idoneità condizionata</t>
  </si>
  <si>
    <t xml:space="preserve"> - Contributo Fondo perduto del socio</t>
  </si>
  <si>
    <t xml:space="preserve">Per l'anno 2007 è stato previsto un aumento di euro 2,85 a partire dal 01 Marzo 2007 </t>
  </si>
  <si>
    <t xml:space="preserve">Per gli anni 2008 e 2009 è stato previsto aumenti di rette pari ad euro 2,50. </t>
  </si>
  <si>
    <t>Per gli anni 2008 e 2009 il contratto d'affitto è rimasto invariato</t>
  </si>
  <si>
    <t>Il contributo fondo perduto socio per l'anno 2007 è pari ad euro 686.411,16, per l'anno 2007 è pari ad euro 887.692,44 mentre per il 2009 è pari ad euro 919.417,98</t>
  </si>
  <si>
    <t>Tra i proventi da partecipazione troviamo gli utili delle Farmacie Mantovane Srl che per l'anno 2007 è previsto pari ad €. 255.000,00 mentre per l'anno 2008 è previsto un aumento del 6% e per l'anno 2009 è previsto un aumento del 7%.</t>
  </si>
  <si>
    <t xml:space="preserve">Tra le imposte d'esercizio sono ricomprese sia l'IRAP che l'IRES 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</si>
</sst>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\(#,##0\)"/>
    <numFmt numFmtId="171" formatCode="#,##0.0000000_);\(#,##0.0000000\)"/>
    <numFmt numFmtId="172" formatCode="00000"/>
  </numFmts>
  <fonts count="24">
    <font>
      <sz val="10"/>
      <name val="Arial"/>
      <family val="0"/>
    </font>
    <font>
      <sz val="10"/>
      <name val="Times New Roman"/>
      <family val="1"/>
    </font>
    <font>
      <sz val="18"/>
      <name val="Times New Roman"/>
      <family val="1"/>
    </font>
    <font>
      <sz val="18"/>
      <name val="Swis721 Hv BT"/>
      <family val="2"/>
    </font>
    <font>
      <sz val="12"/>
      <name val="Times New Roman"/>
      <family val="1"/>
    </font>
    <font>
      <sz val="12"/>
      <name val="Arial"/>
      <family val="0"/>
    </font>
    <font>
      <sz val="14"/>
      <name val="Arial"/>
      <family val="0"/>
    </font>
    <font>
      <sz val="14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6"/>
      <name val="Times New Roman"/>
      <family val="1"/>
    </font>
    <font>
      <sz val="22"/>
      <name val="Times New Roman"/>
      <family val="1"/>
    </font>
    <font>
      <sz val="22"/>
      <name val="Swis721 Hv BT"/>
      <family val="0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Arial"/>
      <family val="0"/>
    </font>
    <font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i/>
      <sz val="16"/>
      <name val="Times New Roman"/>
      <family val="1"/>
    </font>
    <font>
      <sz val="16"/>
      <color indexed="9"/>
      <name val="Times New Roman"/>
      <family val="1"/>
    </font>
    <font>
      <i/>
      <sz val="16"/>
      <color indexed="9"/>
      <name val="Times New Roman"/>
      <family val="1"/>
    </font>
    <font>
      <b/>
      <i/>
      <sz val="16"/>
      <name val="Times New Roman"/>
      <family val="1"/>
    </font>
    <font>
      <b/>
      <sz val="1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justify" vertical="justify" wrapText="1"/>
    </xf>
    <xf numFmtId="0" fontId="8" fillId="0" borderId="0" xfId="0" applyFont="1" applyAlignment="1">
      <alignment horizontal="justify" vertical="justify" wrapText="1"/>
    </xf>
    <xf numFmtId="0" fontId="8" fillId="0" borderId="0" xfId="0" applyFont="1" applyAlignment="1">
      <alignment horizontal="center" vertical="justify" wrapText="1"/>
    </xf>
    <xf numFmtId="0" fontId="9" fillId="0" borderId="0" xfId="0" applyFont="1" applyAlignment="1">
      <alignment horizontal="center" vertical="justify" wrapText="1"/>
    </xf>
    <xf numFmtId="0" fontId="0" fillId="0" borderId="0" xfId="0" applyAlignment="1">
      <alignment horizontal="center" vertical="justify" wrapText="1"/>
    </xf>
    <xf numFmtId="0" fontId="0" fillId="0" borderId="0" xfId="0" applyFont="1" applyAlignment="1">
      <alignment horizontal="justify" vertical="justify" wrapText="1"/>
    </xf>
    <xf numFmtId="4" fontId="10" fillId="0" borderId="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170" fontId="14" fillId="4" borderId="3" xfId="0" applyNumberFormat="1" applyFont="1" applyFill="1" applyBorder="1" applyAlignment="1" applyProtection="1">
      <alignment horizontal="center" vertical="center"/>
      <protection/>
    </xf>
    <xf numFmtId="0" fontId="13" fillId="3" borderId="4" xfId="0" applyFont="1" applyFill="1" applyBorder="1" applyAlignment="1">
      <alignment/>
    </xf>
    <xf numFmtId="0" fontId="13" fillId="3" borderId="3" xfId="0" applyFont="1" applyFill="1" applyBorder="1" applyAlignment="1">
      <alignment/>
    </xf>
    <xf numFmtId="170" fontId="14" fillId="4" borderId="2" xfId="0" applyNumberFormat="1" applyFont="1" applyFill="1" applyBorder="1" applyAlignment="1" applyProtection="1">
      <alignment horizontal="center" vertical="center"/>
      <protection/>
    </xf>
    <xf numFmtId="0" fontId="10" fillId="3" borderId="1" xfId="0" applyFont="1" applyFill="1" applyBorder="1" applyAlignment="1">
      <alignment horizontal="center"/>
    </xf>
    <xf numFmtId="0" fontId="15" fillId="0" borderId="0" xfId="0" applyFont="1" applyAlignment="1">
      <alignment/>
    </xf>
    <xf numFmtId="170" fontId="14" fillId="4" borderId="5" xfId="0" applyNumberFormat="1" applyFont="1" applyFill="1" applyBorder="1" applyAlignment="1" applyProtection="1">
      <alignment horizontal="center" vertical="center"/>
      <protection/>
    </xf>
    <xf numFmtId="170" fontId="14" fillId="4" borderId="6" xfId="0" applyNumberFormat="1" applyFont="1" applyFill="1" applyBorder="1" applyAlignment="1" applyProtection="1">
      <alignment vertical="center"/>
      <protection/>
    </xf>
    <xf numFmtId="0" fontId="16" fillId="4" borderId="6" xfId="0" applyFont="1" applyFill="1" applyBorder="1" applyAlignment="1" applyProtection="1">
      <alignment vertical="center"/>
      <protection/>
    </xf>
    <xf numFmtId="170" fontId="16" fillId="4" borderId="7" xfId="0" applyNumberFormat="1" applyFont="1" applyFill="1" applyBorder="1" applyAlignment="1" applyProtection="1">
      <alignment vertical="center"/>
      <protection/>
    </xf>
    <xf numFmtId="170" fontId="16" fillId="5" borderId="8" xfId="0" applyNumberFormat="1" applyFont="1" applyFill="1" applyBorder="1" applyAlignment="1" applyProtection="1">
      <alignment/>
      <protection/>
    </xf>
    <xf numFmtId="170" fontId="16" fillId="5" borderId="8" xfId="0" applyNumberFormat="1" applyFont="1" applyFill="1" applyBorder="1" applyAlignment="1" applyProtection="1">
      <alignment/>
      <protection/>
    </xf>
    <xf numFmtId="170" fontId="16" fillId="5" borderId="9" xfId="0" applyNumberFormat="1" applyFont="1" applyFill="1" applyBorder="1" applyAlignment="1" applyProtection="1">
      <alignment/>
      <protection/>
    </xf>
    <xf numFmtId="170" fontId="16" fillId="5" borderId="10" xfId="0" applyNumberFormat="1" applyFont="1" applyFill="1" applyBorder="1" applyAlignment="1" applyProtection="1">
      <alignment/>
      <protection/>
    </xf>
    <xf numFmtId="170" fontId="16" fillId="5" borderId="11" xfId="0" applyNumberFormat="1" applyFont="1" applyFill="1" applyBorder="1" applyAlignment="1" applyProtection="1">
      <alignment/>
      <protection/>
    </xf>
    <xf numFmtId="170" fontId="16" fillId="5" borderId="0" xfId="0" applyNumberFormat="1" applyFont="1" applyFill="1" applyBorder="1" applyAlignment="1" applyProtection="1">
      <alignment/>
      <protection/>
    </xf>
    <xf numFmtId="0" fontId="13" fillId="0" borderId="12" xfId="0" applyFont="1" applyBorder="1" applyAlignment="1">
      <alignment/>
    </xf>
    <xf numFmtId="0" fontId="13" fillId="0" borderId="10" xfId="0" applyFont="1" applyBorder="1" applyAlignment="1">
      <alignment/>
    </xf>
    <xf numFmtId="170" fontId="14" fillId="0" borderId="13" xfId="0" applyNumberFormat="1" applyFont="1" applyFill="1" applyBorder="1" applyAlignment="1" applyProtection="1">
      <alignment horizontal="center" vertical="center"/>
      <protection/>
    </xf>
    <xf numFmtId="170" fontId="14" fillId="0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170" fontId="16" fillId="0" borderId="0" xfId="0" applyNumberFormat="1" applyFont="1" applyFill="1" applyBorder="1" applyAlignment="1" applyProtection="1">
      <alignment vertical="center"/>
      <protection/>
    </xf>
    <xf numFmtId="170" fontId="16" fillId="0" borderId="11" xfId="0" applyNumberFormat="1" applyFont="1" applyFill="1" applyBorder="1" applyAlignment="1" applyProtection="1">
      <alignment/>
      <protection/>
    </xf>
    <xf numFmtId="170" fontId="16" fillId="0" borderId="8" xfId="0" applyNumberFormat="1" applyFont="1" applyFill="1" applyBorder="1" applyAlignment="1" applyProtection="1">
      <alignment/>
      <protection/>
    </xf>
    <xf numFmtId="170" fontId="16" fillId="0" borderId="9" xfId="0" applyNumberFormat="1" applyFont="1" applyFill="1" applyBorder="1" applyAlignment="1" applyProtection="1">
      <alignment/>
      <protection/>
    </xf>
    <xf numFmtId="170" fontId="16" fillId="0" borderId="14" xfId="0" applyNumberFormat="1" applyFont="1" applyFill="1" applyBorder="1" applyAlignment="1" applyProtection="1">
      <alignment/>
      <protection/>
    </xf>
    <xf numFmtId="170" fontId="16" fillId="0" borderId="11" xfId="0" applyNumberFormat="1" applyFont="1" applyFill="1" applyBorder="1" applyAlignment="1" applyProtection="1">
      <alignment/>
      <protection/>
    </xf>
    <xf numFmtId="170" fontId="16" fillId="0" borderId="0" xfId="0" applyNumberFormat="1" applyFont="1" applyFill="1" applyBorder="1" applyAlignment="1" applyProtection="1">
      <alignment/>
      <protection/>
    </xf>
    <xf numFmtId="0" fontId="13" fillId="0" borderId="12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5" fillId="0" borderId="0" xfId="0" applyFont="1" applyFill="1" applyAlignment="1">
      <alignment/>
    </xf>
    <xf numFmtId="170" fontId="17" fillId="5" borderId="0" xfId="0" applyNumberFormat="1" applyFont="1" applyFill="1" applyBorder="1" applyAlignment="1" applyProtection="1">
      <alignment/>
      <protection/>
    </xf>
    <xf numFmtId="0" fontId="16" fillId="5" borderId="0" xfId="0" applyFont="1" applyFill="1" applyBorder="1" applyAlignment="1" applyProtection="1">
      <alignment/>
      <protection/>
    </xf>
    <xf numFmtId="170" fontId="16" fillId="5" borderId="15" xfId="0" applyNumberFormat="1" applyFont="1" applyFill="1" applyBorder="1" applyAlignment="1" applyProtection="1">
      <alignment/>
      <protection/>
    </xf>
    <xf numFmtId="170" fontId="16" fillId="5" borderId="2" xfId="0" applyNumberFormat="1" applyFont="1" applyFill="1" applyBorder="1" applyAlignment="1" applyProtection="1">
      <alignment/>
      <protection/>
    </xf>
    <xf numFmtId="170" fontId="10" fillId="0" borderId="1" xfId="0" applyNumberFormat="1" applyFont="1" applyBorder="1" applyAlignment="1">
      <alignment/>
    </xf>
    <xf numFmtId="170" fontId="16" fillId="5" borderId="0" xfId="0" applyNumberFormat="1" applyFont="1" applyFill="1" applyBorder="1" applyAlignment="1" applyProtection="1">
      <alignment horizontal="center"/>
      <protection/>
    </xf>
    <xf numFmtId="170" fontId="16" fillId="5" borderId="16" xfId="0" applyNumberFormat="1" applyFont="1" applyFill="1" applyBorder="1" applyAlignment="1" applyProtection="1">
      <alignment/>
      <protection/>
    </xf>
    <xf numFmtId="0" fontId="16" fillId="5" borderId="16" xfId="0" applyFont="1" applyFill="1" applyBorder="1" applyAlignment="1" applyProtection="1">
      <alignment/>
      <protection/>
    </xf>
    <xf numFmtId="170" fontId="16" fillId="5" borderId="17" xfId="0" applyNumberFormat="1" applyFont="1" applyFill="1" applyBorder="1" applyAlignment="1" applyProtection="1">
      <alignment/>
      <protection/>
    </xf>
    <xf numFmtId="170" fontId="16" fillId="5" borderId="1" xfId="0" applyNumberFormat="1" applyFont="1" applyFill="1" applyBorder="1" applyAlignment="1" applyProtection="1">
      <alignment/>
      <protection/>
    </xf>
    <xf numFmtId="170" fontId="16" fillId="5" borderId="1" xfId="0" applyNumberFormat="1" applyFont="1" applyFill="1" applyBorder="1" applyAlignment="1" applyProtection="1">
      <alignment/>
      <protection/>
    </xf>
    <xf numFmtId="170" fontId="16" fillId="5" borderId="5" xfId="0" applyNumberFormat="1" applyFont="1" applyFill="1" applyBorder="1" applyAlignment="1" applyProtection="1">
      <alignment/>
      <protection/>
    </xf>
    <xf numFmtId="170" fontId="13" fillId="0" borderId="5" xfId="0" applyNumberFormat="1" applyFont="1" applyBorder="1" applyAlignment="1">
      <alignment/>
    </xf>
    <xf numFmtId="3" fontId="13" fillId="2" borderId="1" xfId="0" applyNumberFormat="1" applyFont="1" applyFill="1" applyBorder="1" applyAlignment="1">
      <alignment/>
    </xf>
    <xf numFmtId="170" fontId="16" fillId="5" borderId="18" xfId="0" applyNumberFormat="1" applyFont="1" applyFill="1" applyBorder="1" applyAlignment="1" applyProtection="1">
      <alignment/>
      <protection/>
    </xf>
    <xf numFmtId="170" fontId="16" fillId="5" borderId="18" xfId="0" applyNumberFormat="1" applyFont="1" applyFill="1" applyBorder="1" applyAlignment="1" applyProtection="1">
      <alignment/>
      <protection/>
    </xf>
    <xf numFmtId="170" fontId="16" fillId="5" borderId="19" xfId="0" applyNumberFormat="1" applyFont="1" applyFill="1" applyBorder="1" applyAlignment="1" applyProtection="1">
      <alignment/>
      <protection/>
    </xf>
    <xf numFmtId="0" fontId="13" fillId="0" borderId="16" xfId="0" applyFont="1" applyBorder="1" applyAlignment="1">
      <alignment/>
    </xf>
    <xf numFmtId="170" fontId="16" fillId="5" borderId="20" xfId="0" applyNumberFormat="1" applyFont="1" applyFill="1" applyBorder="1" applyAlignment="1" applyProtection="1">
      <alignment/>
      <protection/>
    </xf>
    <xf numFmtId="0" fontId="13" fillId="0" borderId="1" xfId="0" applyFont="1" applyBorder="1" applyAlignment="1">
      <alignment/>
    </xf>
    <xf numFmtId="3" fontId="13" fillId="0" borderId="1" xfId="0" applyNumberFormat="1" applyFont="1" applyBorder="1" applyAlignment="1">
      <alignment/>
    </xf>
    <xf numFmtId="0" fontId="13" fillId="0" borderId="1" xfId="0" applyFont="1" applyBorder="1" applyAlignment="1">
      <alignment horizontal="right"/>
    </xf>
    <xf numFmtId="170" fontId="16" fillId="0" borderId="1" xfId="0" applyNumberFormat="1" applyFont="1" applyFill="1" applyBorder="1" applyAlignment="1" applyProtection="1">
      <alignment/>
      <protection/>
    </xf>
    <xf numFmtId="170" fontId="17" fillId="5" borderId="16" xfId="0" applyNumberFormat="1" applyFont="1" applyFill="1" applyBorder="1" applyAlignment="1" applyProtection="1">
      <alignment/>
      <protection/>
    </xf>
    <xf numFmtId="170" fontId="16" fillId="5" borderId="21" xfId="0" applyNumberFormat="1" applyFont="1" applyFill="1" applyBorder="1" applyAlignment="1" applyProtection="1">
      <alignment/>
      <protection/>
    </xf>
    <xf numFmtId="170" fontId="16" fillId="5" borderId="21" xfId="0" applyNumberFormat="1" applyFont="1" applyFill="1" applyBorder="1" applyAlignment="1" applyProtection="1">
      <alignment/>
      <protection/>
    </xf>
    <xf numFmtId="170" fontId="16" fillId="5" borderId="22" xfId="0" applyNumberFormat="1" applyFont="1" applyFill="1" applyBorder="1" applyAlignment="1" applyProtection="1">
      <alignment/>
      <protection/>
    </xf>
    <xf numFmtId="170" fontId="16" fillId="5" borderId="23" xfId="0" applyNumberFormat="1" applyFont="1" applyFill="1" applyBorder="1" applyAlignment="1" applyProtection="1">
      <alignment/>
      <protection/>
    </xf>
    <xf numFmtId="170" fontId="16" fillId="5" borderId="24" xfId="0" applyNumberFormat="1" applyFont="1" applyFill="1" applyBorder="1" applyAlignment="1" applyProtection="1">
      <alignment/>
      <protection/>
    </xf>
    <xf numFmtId="170" fontId="10" fillId="0" borderId="5" xfId="0" applyNumberFormat="1" applyFont="1" applyBorder="1" applyAlignment="1">
      <alignment/>
    </xf>
    <xf numFmtId="170" fontId="16" fillId="5" borderId="22" xfId="0" applyNumberFormat="1" applyFont="1" applyFill="1" applyBorder="1" applyAlignment="1" applyProtection="1">
      <alignment/>
      <protection/>
    </xf>
    <xf numFmtId="170" fontId="16" fillId="5" borderId="25" xfId="0" applyNumberFormat="1" applyFont="1" applyFill="1" applyBorder="1" applyAlignment="1" applyProtection="1">
      <alignment/>
      <protection/>
    </xf>
    <xf numFmtId="170" fontId="13" fillId="0" borderId="1" xfId="0" applyNumberFormat="1" applyFont="1" applyBorder="1" applyAlignment="1">
      <alignment/>
    </xf>
    <xf numFmtId="170" fontId="18" fillId="5" borderId="0" xfId="0" applyNumberFormat="1" applyFont="1" applyFill="1" applyBorder="1" applyAlignment="1" applyProtection="1">
      <alignment horizontal="center"/>
      <protection/>
    </xf>
    <xf numFmtId="170" fontId="18" fillId="5" borderId="0" xfId="0" applyNumberFormat="1" applyFont="1" applyFill="1" applyAlignment="1" applyProtection="1">
      <alignment/>
      <protection/>
    </xf>
    <xf numFmtId="0" fontId="16" fillId="5" borderId="0" xfId="0" applyFont="1" applyFill="1" applyAlignment="1" applyProtection="1">
      <alignment/>
      <protection/>
    </xf>
    <xf numFmtId="170" fontId="16" fillId="5" borderId="0" xfId="0" applyNumberFormat="1" applyFont="1" applyFill="1" applyAlignment="1" applyProtection="1">
      <alignment/>
      <protection/>
    </xf>
    <xf numFmtId="170" fontId="10" fillId="0" borderId="10" xfId="0" applyNumberFormat="1" applyFont="1" applyBorder="1" applyAlignment="1">
      <alignment/>
    </xf>
    <xf numFmtId="41" fontId="13" fillId="0" borderId="25" xfId="16" applyFont="1" applyBorder="1" applyAlignment="1">
      <alignment horizontal="right"/>
    </xf>
    <xf numFmtId="0" fontId="16" fillId="5" borderId="24" xfId="0" applyFont="1" applyFill="1" applyBorder="1" applyAlignment="1" applyProtection="1">
      <alignment/>
      <protection/>
    </xf>
    <xf numFmtId="0" fontId="13" fillId="0" borderId="24" xfId="0" applyFont="1" applyBorder="1" applyAlignment="1">
      <alignment/>
    </xf>
    <xf numFmtId="170" fontId="16" fillId="5" borderId="26" xfId="0" applyNumberFormat="1" applyFont="1" applyFill="1" applyBorder="1" applyAlignment="1" applyProtection="1">
      <alignment/>
      <protection/>
    </xf>
    <xf numFmtId="170" fontId="16" fillId="5" borderId="14" xfId="0" applyNumberFormat="1" applyFont="1" applyFill="1" applyBorder="1" applyAlignment="1" applyProtection="1">
      <alignment/>
      <protection/>
    </xf>
    <xf numFmtId="170" fontId="16" fillId="5" borderId="14" xfId="0" applyNumberFormat="1" applyFont="1" applyFill="1" applyBorder="1" applyAlignment="1" applyProtection="1">
      <alignment/>
      <protection/>
    </xf>
    <xf numFmtId="170" fontId="13" fillId="2" borderId="5" xfId="0" applyNumberFormat="1" applyFont="1" applyFill="1" applyBorder="1" applyAlignment="1">
      <alignment/>
    </xf>
    <xf numFmtId="170" fontId="16" fillId="5" borderId="16" xfId="0" applyNumberFormat="1" applyFont="1" applyFill="1" applyBorder="1" applyAlignment="1" applyProtection="1">
      <alignment/>
      <protection/>
    </xf>
    <xf numFmtId="170" fontId="13" fillId="2" borderId="12" xfId="0" applyNumberFormat="1" applyFont="1" applyFill="1" applyBorder="1" applyAlignment="1">
      <alignment/>
    </xf>
    <xf numFmtId="170" fontId="13" fillId="0" borderId="12" xfId="0" applyNumberFormat="1" applyFont="1" applyBorder="1" applyAlignment="1">
      <alignment/>
    </xf>
    <xf numFmtId="170" fontId="16" fillId="5" borderId="24" xfId="0" applyNumberFormat="1" applyFont="1" applyFill="1" applyBorder="1" applyAlignment="1" applyProtection="1">
      <alignment horizontal="center"/>
      <protection/>
    </xf>
    <xf numFmtId="170" fontId="16" fillId="5" borderId="0" xfId="0" applyNumberFormat="1" applyFont="1" applyFill="1" applyBorder="1" applyAlignment="1" applyProtection="1">
      <alignment/>
      <protection/>
    </xf>
    <xf numFmtId="41" fontId="13" fillId="0" borderId="19" xfId="16" applyFont="1" applyBorder="1" applyAlignment="1">
      <alignment horizontal="right"/>
    </xf>
    <xf numFmtId="170" fontId="16" fillId="5" borderId="13" xfId="0" applyNumberFormat="1" applyFont="1" applyFill="1" applyBorder="1" applyAlignment="1" applyProtection="1">
      <alignment/>
      <protection/>
    </xf>
    <xf numFmtId="170" fontId="16" fillId="5" borderId="12" xfId="0" applyNumberFormat="1" applyFont="1" applyFill="1" applyBorder="1" applyAlignment="1" applyProtection="1">
      <alignment/>
      <protection/>
    </xf>
    <xf numFmtId="170" fontId="10" fillId="0" borderId="1" xfId="0" applyNumberFormat="1" applyFont="1" applyFill="1" applyBorder="1" applyAlignment="1">
      <alignment/>
    </xf>
    <xf numFmtId="170" fontId="13" fillId="0" borderId="24" xfId="0" applyNumberFormat="1" applyFont="1" applyBorder="1" applyAlignment="1">
      <alignment/>
    </xf>
    <xf numFmtId="0" fontId="10" fillId="0" borderId="16" xfId="0" applyFont="1" applyBorder="1" applyAlignment="1">
      <alignment/>
    </xf>
    <xf numFmtId="170" fontId="14" fillId="6" borderId="10" xfId="0" applyNumberFormat="1" applyFont="1" applyFill="1" applyBorder="1" applyAlignment="1" applyProtection="1">
      <alignment/>
      <protection/>
    </xf>
    <xf numFmtId="170" fontId="14" fillId="6" borderId="10" xfId="0" applyNumberFormat="1" applyFont="1" applyFill="1" applyBorder="1" applyAlignment="1" applyProtection="1">
      <alignment/>
      <protection/>
    </xf>
    <xf numFmtId="170" fontId="10" fillId="7" borderId="2" xfId="0" applyNumberFormat="1" applyFont="1" applyFill="1" applyBorder="1" applyAlignment="1">
      <alignment/>
    </xf>
    <xf numFmtId="170" fontId="16" fillId="0" borderId="13" xfId="0" applyNumberFormat="1" applyFont="1" applyFill="1" applyBorder="1" applyAlignment="1" applyProtection="1">
      <alignment/>
      <protection/>
    </xf>
    <xf numFmtId="0" fontId="1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70" fontId="14" fillId="0" borderId="0" xfId="0" applyNumberFormat="1" applyFont="1" applyFill="1" applyBorder="1" applyAlignment="1" applyProtection="1">
      <alignment/>
      <protection/>
    </xf>
    <xf numFmtId="170" fontId="14" fillId="0" borderId="0" xfId="0" applyNumberFormat="1" applyFont="1" applyFill="1" applyBorder="1" applyAlignment="1" applyProtection="1">
      <alignment/>
      <protection/>
    </xf>
    <xf numFmtId="170" fontId="13" fillId="0" borderId="0" xfId="0" applyNumberFormat="1" applyFont="1" applyFill="1" applyBorder="1" applyAlignment="1">
      <alignment/>
    </xf>
    <xf numFmtId="170" fontId="14" fillId="4" borderId="24" xfId="0" applyNumberFormat="1" applyFont="1" applyFill="1" applyBorder="1" applyAlignment="1" applyProtection="1">
      <alignment vertical="center"/>
      <protection/>
    </xf>
    <xf numFmtId="0" fontId="16" fillId="4" borderId="24" xfId="0" applyFont="1" applyFill="1" applyBorder="1" applyAlignment="1" applyProtection="1">
      <alignment vertical="center"/>
      <protection/>
    </xf>
    <xf numFmtId="170" fontId="16" fillId="4" borderId="24" xfId="0" applyNumberFormat="1" applyFont="1" applyFill="1" applyBorder="1" applyAlignment="1" applyProtection="1">
      <alignment vertical="center"/>
      <protection/>
    </xf>
    <xf numFmtId="170" fontId="16" fillId="0" borderId="14" xfId="0" applyNumberFormat="1" applyFont="1" applyFill="1" applyBorder="1" applyAlignment="1" applyProtection="1">
      <alignment/>
      <protection/>
    </xf>
    <xf numFmtId="170" fontId="16" fillId="0" borderId="19" xfId="0" applyNumberFormat="1" applyFont="1" applyFill="1" applyBorder="1" applyAlignment="1" applyProtection="1">
      <alignment/>
      <protection/>
    </xf>
    <xf numFmtId="170" fontId="16" fillId="0" borderId="10" xfId="0" applyNumberFormat="1" applyFont="1" applyFill="1" applyBorder="1" applyAlignment="1" applyProtection="1">
      <alignment/>
      <protection/>
    </xf>
    <xf numFmtId="3" fontId="15" fillId="0" borderId="1" xfId="0" applyNumberFormat="1" applyFont="1" applyBorder="1" applyAlignment="1">
      <alignment/>
    </xf>
    <xf numFmtId="170" fontId="16" fillId="0" borderId="4" xfId="0" applyNumberFormat="1" applyFont="1" applyFill="1" applyBorder="1" applyAlignment="1" applyProtection="1">
      <alignment/>
      <protection/>
    </xf>
    <xf numFmtId="3" fontId="15" fillId="0" borderId="1" xfId="0" applyNumberFormat="1" applyFont="1" applyFill="1" applyBorder="1" applyAlignment="1">
      <alignment/>
    </xf>
    <xf numFmtId="170" fontId="16" fillId="5" borderId="27" xfId="0" applyNumberFormat="1" applyFont="1" applyFill="1" applyBorder="1" applyAlignment="1" applyProtection="1">
      <alignment/>
      <protection/>
    </xf>
    <xf numFmtId="3" fontId="10" fillId="0" borderId="1" xfId="0" applyNumberFormat="1" applyFont="1" applyBorder="1" applyAlignment="1">
      <alignment/>
    </xf>
    <xf numFmtId="170" fontId="16" fillId="0" borderId="2" xfId="0" applyNumberFormat="1" applyFont="1" applyFill="1" applyBorder="1" applyAlignment="1" applyProtection="1">
      <alignment/>
      <protection/>
    </xf>
    <xf numFmtId="170" fontId="16" fillId="0" borderId="2" xfId="0" applyNumberFormat="1" applyFont="1" applyFill="1" applyBorder="1" applyAlignment="1" applyProtection="1">
      <alignment/>
      <protection/>
    </xf>
    <xf numFmtId="170" fontId="16" fillId="5" borderId="28" xfId="0" applyNumberFormat="1" applyFont="1" applyFill="1" applyBorder="1" applyAlignment="1" applyProtection="1">
      <alignment/>
      <protection/>
    </xf>
    <xf numFmtId="170" fontId="16" fillId="5" borderId="3" xfId="0" applyNumberFormat="1" applyFont="1" applyFill="1" applyBorder="1" applyAlignment="1" applyProtection="1">
      <alignment/>
      <protection/>
    </xf>
    <xf numFmtId="0" fontId="13" fillId="0" borderId="1" xfId="0" applyFont="1" applyBorder="1" applyAlignment="1">
      <alignment/>
    </xf>
    <xf numFmtId="170" fontId="16" fillId="5" borderId="29" xfId="0" applyNumberFormat="1" applyFont="1" applyFill="1" applyBorder="1" applyAlignment="1" applyProtection="1">
      <alignment/>
      <protection/>
    </xf>
    <xf numFmtId="0" fontId="13" fillId="0" borderId="16" xfId="0" applyFont="1" applyBorder="1" applyAlignment="1">
      <alignment/>
    </xf>
    <xf numFmtId="170" fontId="16" fillId="0" borderId="22" xfId="0" applyNumberFormat="1" applyFont="1" applyFill="1" applyBorder="1" applyAlignment="1" applyProtection="1">
      <alignment/>
      <protection/>
    </xf>
    <xf numFmtId="0" fontId="18" fillId="5" borderId="16" xfId="0" applyFont="1" applyFill="1" applyBorder="1" applyAlignment="1" applyProtection="1">
      <alignment/>
      <protection/>
    </xf>
    <xf numFmtId="0" fontId="19" fillId="0" borderId="16" xfId="0" applyFont="1" applyBorder="1" applyAlignment="1">
      <alignment/>
    </xf>
    <xf numFmtId="170" fontId="18" fillId="5" borderId="16" xfId="0" applyNumberFormat="1" applyFont="1" applyFill="1" applyBorder="1" applyAlignment="1" applyProtection="1">
      <alignment/>
      <protection/>
    </xf>
    <xf numFmtId="170" fontId="16" fillId="0" borderId="22" xfId="0" applyNumberFormat="1" applyFont="1" applyFill="1" applyBorder="1" applyAlignment="1" applyProtection="1">
      <alignment/>
      <protection/>
    </xf>
    <xf numFmtId="170" fontId="14" fillId="0" borderId="21" xfId="0" applyNumberFormat="1" applyFont="1" applyFill="1" applyBorder="1" applyAlignment="1" applyProtection="1">
      <alignment/>
      <protection/>
    </xf>
    <xf numFmtId="41" fontId="13" fillId="0" borderId="24" xfId="16" applyFont="1" applyBorder="1" applyAlignment="1">
      <alignment/>
    </xf>
    <xf numFmtId="170" fontId="16" fillId="5" borderId="30" xfId="0" applyNumberFormat="1" applyFont="1" applyFill="1" applyBorder="1" applyAlignment="1" applyProtection="1">
      <alignment/>
      <protection/>
    </xf>
    <xf numFmtId="171" fontId="16" fillId="5" borderId="16" xfId="0" applyNumberFormat="1" applyFont="1" applyFill="1" applyBorder="1" applyAlignment="1" applyProtection="1">
      <alignment/>
      <protection/>
    </xf>
    <xf numFmtId="41" fontId="13" fillId="0" borderId="25" xfId="16" applyFont="1" applyFill="1" applyBorder="1" applyAlignment="1">
      <alignment/>
    </xf>
    <xf numFmtId="41" fontId="13" fillId="0" borderId="25" xfId="16" applyFont="1" applyFill="1" applyBorder="1" applyAlignment="1">
      <alignment/>
    </xf>
    <xf numFmtId="41" fontId="13" fillId="0" borderId="2" xfId="16" applyFont="1" applyFill="1" applyBorder="1" applyAlignment="1">
      <alignment/>
    </xf>
    <xf numFmtId="170" fontId="16" fillId="0" borderId="29" xfId="0" applyNumberFormat="1" applyFont="1" applyFill="1" applyBorder="1" applyAlignment="1" applyProtection="1">
      <alignment/>
      <protection/>
    </xf>
    <xf numFmtId="0" fontId="16" fillId="5" borderId="18" xfId="0" applyFont="1" applyFill="1" applyBorder="1" applyAlignment="1" applyProtection="1">
      <alignment/>
      <protection/>
    </xf>
    <xf numFmtId="170" fontId="17" fillId="5" borderId="0" xfId="0" applyNumberFormat="1" applyFont="1" applyFill="1" applyBorder="1" applyAlignment="1" applyProtection="1">
      <alignment horizontal="left"/>
      <protection/>
    </xf>
    <xf numFmtId="0" fontId="13" fillId="0" borderId="0" xfId="0" applyFont="1" applyBorder="1" applyAlignment="1">
      <alignment/>
    </xf>
    <xf numFmtId="170" fontId="18" fillId="5" borderId="0" xfId="0" applyNumberFormat="1" applyFont="1" applyFill="1" applyBorder="1" applyAlignment="1" applyProtection="1">
      <alignment/>
      <protection/>
    </xf>
    <xf numFmtId="0" fontId="16" fillId="5" borderId="1" xfId="0" applyFont="1" applyFill="1" applyBorder="1" applyAlignment="1" applyProtection="1">
      <alignment/>
      <protection/>
    </xf>
    <xf numFmtId="9" fontId="20" fillId="5" borderId="1" xfId="17" applyFont="1" applyFill="1" applyBorder="1" applyAlignment="1" applyProtection="1">
      <alignment/>
      <protection/>
    </xf>
    <xf numFmtId="0" fontId="18" fillId="5" borderId="18" xfId="0" applyFont="1" applyFill="1" applyBorder="1" applyAlignment="1" applyProtection="1">
      <alignment/>
      <protection/>
    </xf>
    <xf numFmtId="0" fontId="19" fillId="0" borderId="1" xfId="0" applyFont="1" applyBorder="1" applyAlignment="1">
      <alignment/>
    </xf>
    <xf numFmtId="170" fontId="21" fillId="5" borderId="1" xfId="0" applyNumberFormat="1" applyFont="1" applyFill="1" applyBorder="1" applyAlignment="1" applyProtection="1">
      <alignment/>
      <protection/>
    </xf>
    <xf numFmtId="170" fontId="13" fillId="0" borderId="1" xfId="0" applyNumberFormat="1" applyFont="1" applyBorder="1" applyAlignment="1">
      <alignment/>
    </xf>
    <xf numFmtId="170" fontId="16" fillId="5" borderId="4" xfId="0" applyNumberFormat="1" applyFont="1" applyFill="1" applyBorder="1" applyAlignment="1" applyProtection="1">
      <alignment/>
      <protection/>
    </xf>
    <xf numFmtId="0" fontId="17" fillId="5" borderId="16" xfId="0" applyFont="1" applyFill="1" applyBorder="1" applyAlignment="1" applyProtection="1">
      <alignment/>
      <protection/>
    </xf>
    <xf numFmtId="0" fontId="22" fillId="0" borderId="16" xfId="0" applyFont="1" applyBorder="1" applyAlignment="1">
      <alignment/>
    </xf>
    <xf numFmtId="0" fontId="17" fillId="5" borderId="18" xfId="0" applyFont="1" applyFill="1" applyBorder="1" applyAlignment="1" applyProtection="1">
      <alignment/>
      <protection/>
    </xf>
    <xf numFmtId="0" fontId="22" fillId="0" borderId="1" xfId="0" applyFont="1" applyBorder="1" applyAlignment="1">
      <alignment/>
    </xf>
    <xf numFmtId="170" fontId="17" fillId="5" borderId="1" xfId="0" applyNumberFormat="1" applyFont="1" applyFill="1" applyBorder="1" applyAlignment="1" applyProtection="1">
      <alignment/>
      <protection/>
    </xf>
    <xf numFmtId="0" fontId="13" fillId="0" borderId="18" xfId="0" applyFont="1" applyBorder="1" applyAlignment="1">
      <alignment/>
    </xf>
    <xf numFmtId="0" fontId="13" fillId="0" borderId="31" xfId="0" applyFont="1" applyBorder="1" applyAlignment="1">
      <alignment/>
    </xf>
    <xf numFmtId="170" fontId="16" fillId="5" borderId="10" xfId="0" applyNumberFormat="1" applyFont="1" applyFill="1" applyBorder="1" applyAlignment="1" applyProtection="1">
      <alignment/>
      <protection/>
    </xf>
    <xf numFmtId="3" fontId="13" fillId="0" borderId="10" xfId="0" applyNumberFormat="1" applyFont="1" applyBorder="1" applyAlignment="1">
      <alignment/>
    </xf>
    <xf numFmtId="170" fontId="16" fillId="5" borderId="24" xfId="0" applyNumberFormat="1" applyFont="1" applyFill="1" applyBorder="1" applyAlignment="1" applyProtection="1">
      <alignment/>
      <protection/>
    </xf>
    <xf numFmtId="3" fontId="13" fillId="0" borderId="24" xfId="0" applyNumberFormat="1" applyFont="1" applyBorder="1" applyAlignment="1">
      <alignment/>
    </xf>
    <xf numFmtId="170" fontId="14" fillId="6" borderId="14" xfId="0" applyNumberFormat="1" applyFont="1" applyFill="1" applyBorder="1" applyAlignment="1" applyProtection="1">
      <alignment/>
      <protection/>
    </xf>
    <xf numFmtId="170" fontId="14" fillId="6" borderId="14" xfId="0" applyNumberFormat="1" applyFont="1" applyFill="1" applyBorder="1" applyAlignment="1" applyProtection="1">
      <alignment/>
      <protection/>
    </xf>
    <xf numFmtId="170" fontId="10" fillId="7" borderId="14" xfId="0" applyNumberFormat="1" applyFont="1" applyFill="1" applyBorder="1" applyAlignment="1">
      <alignment/>
    </xf>
    <xf numFmtId="170" fontId="18" fillId="5" borderId="24" xfId="0" applyNumberFormat="1" applyFont="1" applyFill="1" applyBorder="1" applyAlignment="1" applyProtection="1">
      <alignment/>
      <protection/>
    </xf>
    <xf numFmtId="170" fontId="16" fillId="4" borderId="16" xfId="0" applyNumberFormat="1" applyFont="1" applyFill="1" applyBorder="1" applyAlignment="1" applyProtection="1">
      <alignment vertical="center"/>
      <protection/>
    </xf>
    <xf numFmtId="3" fontId="10" fillId="0" borderId="2" xfId="0" applyNumberFormat="1" applyFont="1" applyBorder="1" applyAlignment="1">
      <alignment/>
    </xf>
    <xf numFmtId="0" fontId="15" fillId="0" borderId="0" xfId="0" applyFont="1" applyFill="1" applyBorder="1" applyAlignment="1">
      <alignment/>
    </xf>
    <xf numFmtId="170" fontId="17" fillId="0" borderId="13" xfId="0" applyNumberFormat="1" applyFont="1" applyFill="1" applyBorder="1" applyAlignment="1" applyProtection="1">
      <alignment/>
      <protection/>
    </xf>
    <xf numFmtId="0" fontId="22" fillId="0" borderId="24" xfId="0" applyFont="1" applyFill="1" applyBorder="1" applyAlignment="1">
      <alignment/>
    </xf>
    <xf numFmtId="170" fontId="17" fillId="0" borderId="24" xfId="0" applyNumberFormat="1" applyFont="1" applyFill="1" applyBorder="1" applyAlignment="1" applyProtection="1">
      <alignment/>
      <protection/>
    </xf>
    <xf numFmtId="170" fontId="17" fillId="0" borderId="0" xfId="0" applyNumberFormat="1" applyFont="1" applyFill="1" applyBorder="1" applyAlignment="1" applyProtection="1">
      <alignment/>
      <protection/>
    </xf>
    <xf numFmtId="3" fontId="13" fillId="0" borderId="1" xfId="0" applyNumberFormat="1" applyFont="1" applyFill="1" applyBorder="1" applyAlignment="1">
      <alignment/>
    </xf>
    <xf numFmtId="170" fontId="17" fillId="0" borderId="16" xfId="0" applyNumberFormat="1" applyFont="1" applyFill="1" applyBorder="1" applyAlignment="1" applyProtection="1">
      <alignment/>
      <protection/>
    </xf>
    <xf numFmtId="170" fontId="16" fillId="0" borderId="24" xfId="0" applyNumberFormat="1" applyFont="1" applyFill="1" applyBorder="1" applyAlignment="1" applyProtection="1">
      <alignment/>
      <protection/>
    </xf>
    <xf numFmtId="170" fontId="14" fillId="4" borderId="13" xfId="0" applyNumberFormat="1" applyFont="1" applyFill="1" applyBorder="1" applyAlignment="1" applyProtection="1">
      <alignment vertical="center"/>
      <protection/>
    </xf>
    <xf numFmtId="0" fontId="16" fillId="4" borderId="13" xfId="0" applyFont="1" applyFill="1" applyBorder="1" applyAlignment="1" applyProtection="1">
      <alignment vertical="center"/>
      <protection/>
    </xf>
    <xf numFmtId="170" fontId="16" fillId="4" borderId="13" xfId="0" applyNumberFormat="1" applyFont="1" applyFill="1" applyBorder="1" applyAlignment="1" applyProtection="1">
      <alignment vertical="center"/>
      <protection/>
    </xf>
    <xf numFmtId="0" fontId="10" fillId="0" borderId="24" xfId="0" applyFont="1" applyFill="1" applyBorder="1" applyAlignment="1">
      <alignment/>
    </xf>
    <xf numFmtId="170" fontId="14" fillId="0" borderId="24" xfId="0" applyNumberFormat="1" applyFont="1" applyFill="1" applyBorder="1" applyAlignment="1" applyProtection="1">
      <alignment/>
      <protection/>
    </xf>
    <xf numFmtId="170" fontId="14" fillId="5" borderId="0" xfId="0" applyNumberFormat="1" applyFont="1" applyFill="1" applyBorder="1" applyAlignment="1" applyProtection="1">
      <alignment/>
      <protection/>
    </xf>
    <xf numFmtId="170" fontId="16" fillId="5" borderId="31" xfId="0" applyNumberFormat="1" applyFont="1" applyFill="1" applyBorder="1" applyAlignment="1" applyProtection="1">
      <alignment/>
      <protection/>
    </xf>
    <xf numFmtId="170" fontId="14" fillId="5" borderId="24" xfId="0" applyNumberFormat="1" applyFont="1" applyFill="1" applyBorder="1" applyAlignment="1" applyProtection="1">
      <alignment/>
      <protection/>
    </xf>
    <xf numFmtId="170" fontId="16" fillId="4" borderId="29" xfId="0" applyNumberFormat="1" applyFont="1" applyFill="1" applyBorder="1" applyAlignment="1" applyProtection="1">
      <alignment vertical="center"/>
      <protection/>
    </xf>
    <xf numFmtId="0" fontId="15" fillId="0" borderId="24" xfId="0" applyFont="1" applyBorder="1" applyAlignment="1">
      <alignment/>
    </xf>
    <xf numFmtId="0" fontId="15" fillId="0" borderId="0" xfId="0" applyFont="1" applyAlignment="1">
      <alignment/>
    </xf>
    <xf numFmtId="170" fontId="16" fillId="4" borderId="18" xfId="0" applyNumberFormat="1" applyFont="1" applyFill="1" applyBorder="1" applyAlignment="1" applyProtection="1">
      <alignment vertical="center"/>
      <protection/>
    </xf>
    <xf numFmtId="170" fontId="10" fillId="7" borderId="1" xfId="0" applyNumberFormat="1" applyFont="1" applyFill="1" applyBorder="1" applyAlignment="1">
      <alignment vertical="center"/>
    </xf>
    <xf numFmtId="0" fontId="0" fillId="0" borderId="13" xfId="0" applyBorder="1" applyAlignment="1">
      <alignment/>
    </xf>
    <xf numFmtId="170" fontId="10" fillId="0" borderId="12" xfId="0" applyNumberFormat="1" applyFont="1" applyBorder="1" applyAlignment="1">
      <alignment/>
    </xf>
    <xf numFmtId="170" fontId="13" fillId="0" borderId="13" xfId="0" applyNumberFormat="1" applyFont="1" applyBorder="1" applyAlignment="1">
      <alignment/>
    </xf>
    <xf numFmtId="41" fontId="13" fillId="0" borderId="0" xfId="16" applyFont="1" applyBorder="1" applyAlignment="1">
      <alignment horizontal="right"/>
    </xf>
    <xf numFmtId="4" fontId="13" fillId="0" borderId="1" xfId="0" applyNumberFormat="1" applyFont="1" applyFill="1" applyBorder="1" applyAlignment="1">
      <alignment/>
    </xf>
    <xf numFmtId="4" fontId="23" fillId="0" borderId="1" xfId="0" applyNumberFormat="1" applyFont="1" applyFill="1" applyBorder="1" applyAlignment="1">
      <alignment/>
    </xf>
    <xf numFmtId="0" fontId="13" fillId="0" borderId="5" xfId="0" applyFont="1" applyBorder="1" applyAlignment="1">
      <alignment/>
    </xf>
    <xf numFmtId="0" fontId="0" fillId="0" borderId="0" xfId="0" applyFont="1" applyFill="1" applyAlignment="1">
      <alignment horizontal="left" vertical="justify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96"/>
  <sheetViews>
    <sheetView tabSelected="1" zoomScale="75" zoomScaleNormal="75" workbookViewId="0" topLeftCell="A154">
      <selection activeCell="U157" sqref="U157"/>
    </sheetView>
  </sheetViews>
  <sheetFormatPr defaultColWidth="9.140625" defaultRowHeight="12.75"/>
  <cols>
    <col min="1" max="1" width="6.7109375" style="1" customWidth="1"/>
    <col min="2" max="2" width="2.421875" style="1" customWidth="1"/>
    <col min="3" max="3" width="3.8515625" style="1" customWidth="1"/>
    <col min="4" max="4" width="47.7109375" style="1" customWidth="1"/>
    <col min="5" max="5" width="12.57421875" style="13" hidden="1" customWidth="1"/>
    <col min="6" max="6" width="12.57421875" style="1" hidden="1" customWidth="1"/>
    <col min="7" max="8" width="11.7109375" style="1" hidden="1" customWidth="1"/>
    <col min="9" max="10" width="12.57421875" style="1" hidden="1" customWidth="1"/>
    <col min="11" max="14" width="11.7109375" style="1" hidden="1" customWidth="1"/>
    <col min="15" max="15" width="13.7109375" style="1" hidden="1" customWidth="1"/>
    <col min="16" max="17" width="14.00390625" style="1" hidden="1" customWidth="1"/>
    <col min="18" max="18" width="13.8515625" style="1" hidden="1" customWidth="1"/>
    <col min="19" max="19" width="0.13671875" style="1" hidden="1" customWidth="1"/>
    <col min="20" max="21" width="24.7109375" style="0" customWidth="1"/>
    <col min="22" max="22" width="24.57421875" style="0" customWidth="1"/>
    <col min="23" max="25" width="24.7109375" style="9" hidden="1" customWidth="1"/>
  </cols>
  <sheetData>
    <row r="1" ht="27.75" customHeight="1"/>
    <row r="2" spans="1:22" ht="27.75" customHeight="1">
      <c r="A2" s="210" t="s">
        <v>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</row>
    <row r="3" spans="1:22" ht="27.75" customHeight="1">
      <c r="A3" s="210" t="s">
        <v>1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</row>
    <row r="4" spans="1:22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8"/>
      <c r="T4" s="7"/>
      <c r="U4" s="7"/>
      <c r="V4" s="7"/>
    </row>
    <row r="5" spans="1:22" ht="27.75" customHeight="1">
      <c r="A5" s="211" t="s">
        <v>174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</row>
    <row r="6" spans="1:22" ht="27.75" customHeigh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18" ht="23.2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23.2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5" s="6" customFormat="1" ht="15.75" customHeight="1">
      <c r="A9" s="5"/>
      <c r="B9" s="5"/>
      <c r="C9" s="5"/>
      <c r="D9" s="5"/>
      <c r="E9" s="14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W9" s="10"/>
      <c r="X9" s="10"/>
      <c r="Y9" s="10"/>
    </row>
    <row r="10" spans="1:25" s="31" customFormat="1" ht="15.75" customHeight="1">
      <c r="A10" s="23"/>
      <c r="B10" s="23"/>
      <c r="C10" s="23"/>
      <c r="D10" s="23"/>
      <c r="E10" s="24" t="s">
        <v>2</v>
      </c>
      <c r="F10" s="25" t="s">
        <v>3</v>
      </c>
      <c r="G10" s="26"/>
      <c r="H10" s="25" t="s">
        <v>4</v>
      </c>
      <c r="I10" s="27"/>
      <c r="J10" s="28"/>
      <c r="K10" s="28"/>
      <c r="L10" s="28"/>
      <c r="M10" s="26" t="s">
        <v>5</v>
      </c>
      <c r="N10" s="29" t="s">
        <v>6</v>
      </c>
      <c r="O10" s="26"/>
      <c r="P10" s="26"/>
      <c r="Q10" s="26"/>
      <c r="R10" s="26"/>
      <c r="S10" s="26"/>
      <c r="T10" s="30">
        <v>2007</v>
      </c>
      <c r="U10" s="30">
        <v>2008</v>
      </c>
      <c r="V10" s="30">
        <f>U10+1</f>
        <v>2009</v>
      </c>
      <c r="W10" s="30">
        <v>2002</v>
      </c>
      <c r="X10" s="30">
        <v>2003</v>
      </c>
      <c r="Y10" s="30">
        <v>2004</v>
      </c>
    </row>
    <row r="11" spans="1:25" s="31" customFormat="1" ht="15.75" customHeight="1">
      <c r="A11" s="32" t="s">
        <v>7</v>
      </c>
      <c r="B11" s="33" t="s">
        <v>8</v>
      </c>
      <c r="C11" s="34"/>
      <c r="D11" s="35"/>
      <c r="E11" s="36"/>
      <c r="F11" s="37"/>
      <c r="G11" s="37"/>
      <c r="H11" s="38"/>
      <c r="I11" s="39"/>
      <c r="J11" s="40"/>
      <c r="K11" s="37"/>
      <c r="L11" s="37"/>
      <c r="M11" s="38"/>
      <c r="N11" s="39"/>
      <c r="O11" s="39"/>
      <c r="P11" s="41"/>
      <c r="Q11" s="41"/>
      <c r="R11" s="41"/>
      <c r="S11" s="41"/>
      <c r="T11" s="42"/>
      <c r="U11" s="42"/>
      <c r="V11" s="43"/>
      <c r="W11" s="42"/>
      <c r="X11" s="42"/>
      <c r="Y11" s="43"/>
    </row>
    <row r="12" spans="1:25" s="56" customFormat="1" ht="15.75" customHeight="1">
      <c r="A12" s="44"/>
      <c r="B12" s="45"/>
      <c r="C12" s="46"/>
      <c r="D12" s="47"/>
      <c r="E12" s="48"/>
      <c r="F12" s="49"/>
      <c r="G12" s="49"/>
      <c r="H12" s="50"/>
      <c r="I12" s="51"/>
      <c r="J12" s="52"/>
      <c r="K12" s="49"/>
      <c r="L12" s="49"/>
      <c r="M12" s="50"/>
      <c r="N12" s="51"/>
      <c r="O12" s="51"/>
      <c r="P12" s="53"/>
      <c r="Q12" s="53"/>
      <c r="R12" s="53"/>
      <c r="S12" s="53"/>
      <c r="T12" s="54"/>
      <c r="U12" s="54"/>
      <c r="V12" s="55"/>
      <c r="W12" s="54"/>
      <c r="X12" s="54"/>
      <c r="Y12" s="55"/>
    </row>
    <row r="13" spans="1:25" s="31" customFormat="1" ht="18" customHeight="1">
      <c r="A13" s="57" t="s">
        <v>9</v>
      </c>
      <c r="B13" s="57"/>
      <c r="C13" s="58"/>
      <c r="D13" s="41"/>
      <c r="E13" s="59"/>
      <c r="F13" s="37"/>
      <c r="G13" s="37"/>
      <c r="H13" s="38"/>
      <c r="I13" s="60"/>
      <c r="J13" s="40"/>
      <c r="K13" s="37"/>
      <c r="L13" s="37"/>
      <c r="M13" s="38"/>
      <c r="N13" s="60"/>
      <c r="O13" s="60"/>
      <c r="P13" s="41"/>
      <c r="Q13" s="41"/>
      <c r="R13" s="41"/>
      <c r="S13" s="41"/>
      <c r="T13" s="207">
        <f aca="true" t="shared" si="0" ref="T13:Y13">SUM(T14:T25)</f>
        <v>4060054.58</v>
      </c>
      <c r="U13" s="207">
        <f t="shared" si="0"/>
        <v>4212724.955</v>
      </c>
      <c r="V13" s="207">
        <f t="shared" si="0"/>
        <v>4365395.33</v>
      </c>
      <c r="W13" s="61">
        <f t="shared" si="0"/>
        <v>3961504157</v>
      </c>
      <c r="X13" s="61">
        <f t="shared" si="0"/>
        <v>4735633844.256</v>
      </c>
      <c r="Y13" s="61">
        <f t="shared" si="0"/>
        <v>5509914731.512108</v>
      </c>
    </row>
    <row r="14" spans="1:25" s="31" customFormat="1" ht="15.75" customHeight="1">
      <c r="A14" s="62" t="s">
        <v>10</v>
      </c>
      <c r="B14" s="63" t="s">
        <v>116</v>
      </c>
      <c r="C14" s="64"/>
      <c r="D14" s="65"/>
      <c r="E14" s="66">
        <v>2140000000</v>
      </c>
      <c r="F14" s="67"/>
      <c r="G14" s="67"/>
      <c r="H14" s="67"/>
      <c r="I14" s="67"/>
      <c r="J14" s="67"/>
      <c r="K14" s="67"/>
      <c r="L14" s="67"/>
      <c r="M14" s="67"/>
      <c r="N14" s="67"/>
      <c r="O14" s="68"/>
      <c r="P14" s="68"/>
      <c r="Q14" s="68"/>
      <c r="R14" s="68"/>
      <c r="S14" s="68"/>
      <c r="T14" s="206">
        <f>1435273.5+119200+102742.1</f>
        <v>1657215.6</v>
      </c>
      <c r="U14" s="206">
        <f>T14+(2.5*119*365)*99/100</f>
        <v>1764717.225</v>
      </c>
      <c r="V14" s="206">
        <f>U14+(2.5*119*365)*99/100</f>
        <v>1872218.85</v>
      </c>
      <c r="W14" s="69">
        <f>2604350000+50000000</f>
        <v>2654350000</v>
      </c>
      <c r="X14" s="70">
        <f>(W14*1.05)+(73000*180*40)</f>
        <v>3312667500</v>
      </c>
      <c r="Y14" s="70">
        <f>(W14*1.1)+(73000*360*40)</f>
        <v>3970985000</v>
      </c>
    </row>
    <row r="15" spans="1:25" s="31" customFormat="1" ht="15.75" customHeight="1">
      <c r="A15" s="62" t="s">
        <v>11</v>
      </c>
      <c r="B15" s="63" t="s">
        <v>115</v>
      </c>
      <c r="C15" s="64"/>
      <c r="D15" s="71"/>
      <c r="E15" s="72"/>
      <c r="F15" s="67"/>
      <c r="G15" s="67"/>
      <c r="H15" s="67"/>
      <c r="I15" s="67"/>
      <c r="J15" s="67"/>
      <c r="K15" s="67"/>
      <c r="L15" s="67"/>
      <c r="M15" s="67"/>
      <c r="N15" s="67"/>
      <c r="O15" s="68"/>
      <c r="P15" s="68"/>
      <c r="Q15" s="68"/>
      <c r="R15" s="68"/>
      <c r="S15" s="68"/>
      <c r="T15" s="206">
        <f>619724.88+48800+43168.95</f>
        <v>711693.83</v>
      </c>
      <c r="U15" s="206">
        <f>T15+(2.5*50*365)*99/100</f>
        <v>756862.58</v>
      </c>
      <c r="V15" s="206">
        <f>U15+(2.5*50*365)*99/100</f>
        <v>802031.33</v>
      </c>
      <c r="W15" s="69"/>
      <c r="X15" s="70"/>
      <c r="Y15" s="70"/>
    </row>
    <row r="16" spans="1:25" s="31" customFormat="1" ht="15.75" customHeight="1">
      <c r="A16" s="62" t="s">
        <v>133</v>
      </c>
      <c r="B16" s="63" t="s">
        <v>134</v>
      </c>
      <c r="C16" s="64"/>
      <c r="D16" s="71"/>
      <c r="E16" s="72"/>
      <c r="F16" s="67"/>
      <c r="G16" s="67"/>
      <c r="H16" s="67"/>
      <c r="I16" s="67"/>
      <c r="J16" s="67"/>
      <c r="K16" s="67"/>
      <c r="L16" s="67"/>
      <c r="M16" s="67"/>
      <c r="N16" s="67"/>
      <c r="O16" s="68"/>
      <c r="P16" s="68"/>
      <c r="Q16" s="68"/>
      <c r="R16" s="68"/>
      <c r="S16" s="68"/>
      <c r="T16" s="206">
        <v>59968</v>
      </c>
      <c r="U16" s="206">
        <f aca="true" t="shared" si="1" ref="U16:U22">T16</f>
        <v>59968</v>
      </c>
      <c r="V16" s="206">
        <f aca="true" t="shared" si="2" ref="V16:V22">U16</f>
        <v>59968</v>
      </c>
      <c r="W16" s="69"/>
      <c r="X16" s="70"/>
      <c r="Y16" s="70"/>
    </row>
    <row r="17" spans="1:25" s="31" customFormat="1" ht="15.75" customHeight="1">
      <c r="A17" s="62" t="s">
        <v>12</v>
      </c>
      <c r="B17" s="63" t="s">
        <v>175</v>
      </c>
      <c r="C17" s="64"/>
      <c r="D17" s="73"/>
      <c r="E17" s="72"/>
      <c r="F17" s="67"/>
      <c r="G17" s="67"/>
      <c r="H17" s="67"/>
      <c r="I17" s="67"/>
      <c r="J17" s="67"/>
      <c r="K17" s="67"/>
      <c r="L17" s="67"/>
      <c r="M17" s="67"/>
      <c r="N17" s="67"/>
      <c r="O17" s="68"/>
      <c r="P17" s="68"/>
      <c r="Q17" s="68"/>
      <c r="R17" s="68"/>
      <c r="S17" s="68"/>
      <c r="T17" s="206">
        <f>99005.7+161634.8+152470.5</f>
        <v>413111</v>
      </c>
      <c r="U17" s="206">
        <f t="shared" si="1"/>
        <v>413111</v>
      </c>
      <c r="V17" s="206">
        <f t="shared" si="2"/>
        <v>413111</v>
      </c>
      <c r="W17" s="69">
        <f>245280000+445447490</f>
        <v>690727490</v>
      </c>
      <c r="X17" s="70">
        <f>W17*1.025</f>
        <v>707995677.2499999</v>
      </c>
      <c r="Y17" s="70">
        <f>W17*1.05</f>
        <v>725263864.5</v>
      </c>
    </row>
    <row r="18" spans="1:25" s="31" customFormat="1" ht="15.75" customHeight="1">
      <c r="A18" s="62" t="s">
        <v>13</v>
      </c>
      <c r="B18" s="64" t="s">
        <v>77</v>
      </c>
      <c r="C18" s="74"/>
      <c r="D18" s="75"/>
      <c r="E18" s="72"/>
      <c r="F18" s="67"/>
      <c r="G18" s="67">
        <v>65000000</v>
      </c>
      <c r="H18" s="67"/>
      <c r="I18" s="67"/>
      <c r="J18" s="67"/>
      <c r="K18" s="67"/>
      <c r="L18" s="67"/>
      <c r="M18" s="76"/>
      <c r="N18" s="67"/>
      <c r="O18" s="68"/>
      <c r="P18" s="68"/>
      <c r="Q18" s="68"/>
      <c r="R18" s="68"/>
      <c r="S18" s="68"/>
      <c r="T18" s="206">
        <v>60416.96</v>
      </c>
      <c r="U18" s="206">
        <f t="shared" si="1"/>
        <v>60416.96</v>
      </c>
      <c r="V18" s="206">
        <f t="shared" si="2"/>
        <v>60416.96</v>
      </c>
      <c r="W18" s="69">
        <v>149760000</v>
      </c>
      <c r="X18" s="70">
        <f>(W18*1.025)+(12*40000*180)</f>
        <v>239904000</v>
      </c>
      <c r="Y18" s="70">
        <f>(W18*1.05)+(12*40000*360)</f>
        <v>330048000</v>
      </c>
    </row>
    <row r="19" spans="1:25" s="31" customFormat="1" ht="15.75" customHeight="1">
      <c r="A19" s="62" t="s">
        <v>14</v>
      </c>
      <c r="B19" s="64" t="s">
        <v>176</v>
      </c>
      <c r="C19" s="74"/>
      <c r="D19" s="75"/>
      <c r="E19" s="72"/>
      <c r="F19" s="67"/>
      <c r="G19" s="67"/>
      <c r="H19" s="67"/>
      <c r="I19" s="67"/>
      <c r="J19" s="67"/>
      <c r="K19" s="67">
        <v>45000000</v>
      </c>
      <c r="L19" s="67"/>
      <c r="M19" s="76"/>
      <c r="N19" s="67"/>
      <c r="O19" s="68"/>
      <c r="P19" s="68"/>
      <c r="Q19" s="68"/>
      <c r="R19" s="68"/>
      <c r="S19" s="68"/>
      <c r="T19" s="206">
        <f>93500+33181+35531.92+31264.54</f>
        <v>193477.46</v>
      </c>
      <c r="U19" s="206">
        <f t="shared" si="1"/>
        <v>193477.46</v>
      </c>
      <c r="V19" s="206">
        <f t="shared" si="2"/>
        <v>193477.46</v>
      </c>
      <c r="W19" s="69">
        <v>14000000</v>
      </c>
      <c r="X19" s="77">
        <f aca="true" t="shared" si="3" ref="X19:Y25">W19*1.018</f>
        <v>14252000</v>
      </c>
      <c r="Y19" s="77">
        <f t="shared" si="3"/>
        <v>14508536</v>
      </c>
    </row>
    <row r="20" spans="1:25" s="31" customFormat="1" ht="15.75" customHeight="1">
      <c r="A20" s="62" t="s">
        <v>15</v>
      </c>
      <c r="B20" s="64" t="s">
        <v>93</v>
      </c>
      <c r="C20" s="74"/>
      <c r="D20" s="75"/>
      <c r="E20" s="72"/>
      <c r="F20" s="67"/>
      <c r="G20" s="67"/>
      <c r="H20" s="67"/>
      <c r="I20" s="67"/>
      <c r="J20" s="67"/>
      <c r="K20" s="67"/>
      <c r="L20" s="67"/>
      <c r="M20" s="67"/>
      <c r="N20" s="67"/>
      <c r="O20" s="68"/>
      <c r="P20" s="68"/>
      <c r="Q20" s="68"/>
      <c r="R20" s="68"/>
      <c r="S20" s="68"/>
      <c r="T20" s="206">
        <v>11229.38</v>
      </c>
      <c r="U20" s="206">
        <f t="shared" si="1"/>
        <v>11229.38</v>
      </c>
      <c r="V20" s="206">
        <f t="shared" si="2"/>
        <v>11229.38</v>
      </c>
      <c r="W20" s="69">
        <f>156666667+296000000</f>
        <v>452666667</v>
      </c>
      <c r="X20" s="77">
        <f t="shared" si="3"/>
        <v>460814667.006</v>
      </c>
      <c r="Y20" s="77">
        <f t="shared" si="3"/>
        <v>469109331.01210797</v>
      </c>
    </row>
    <row r="21" spans="1:25" s="31" customFormat="1" ht="15.75" customHeight="1">
      <c r="A21" s="62" t="s">
        <v>16</v>
      </c>
      <c r="B21" s="64" t="s">
        <v>106</v>
      </c>
      <c r="C21" s="74"/>
      <c r="D21" s="75"/>
      <c r="E21" s="72"/>
      <c r="F21" s="67"/>
      <c r="G21" s="67"/>
      <c r="H21" s="67"/>
      <c r="I21" s="67"/>
      <c r="J21" s="67"/>
      <c r="K21" s="67"/>
      <c r="L21" s="67"/>
      <c r="M21" s="78"/>
      <c r="N21" s="67">
        <v>15000000</v>
      </c>
      <c r="O21" s="68"/>
      <c r="P21" s="68"/>
      <c r="Q21" s="68"/>
      <c r="R21" s="68"/>
      <c r="S21" s="68"/>
      <c r="T21" s="206">
        <f>122604+132500</f>
        <v>255104</v>
      </c>
      <c r="U21" s="206">
        <f t="shared" si="1"/>
        <v>255104</v>
      </c>
      <c r="V21" s="206">
        <f t="shared" si="2"/>
        <v>255104</v>
      </c>
      <c r="W21" s="69">
        <v>0</v>
      </c>
      <c r="X21" s="77">
        <f t="shared" si="3"/>
        <v>0</v>
      </c>
      <c r="Y21" s="77">
        <f t="shared" si="3"/>
        <v>0</v>
      </c>
    </row>
    <row r="22" spans="1:25" s="31" customFormat="1" ht="15.75" customHeight="1">
      <c r="A22" s="62" t="s">
        <v>130</v>
      </c>
      <c r="B22" s="64" t="s">
        <v>177</v>
      </c>
      <c r="C22" s="74"/>
      <c r="D22" s="75"/>
      <c r="E22" s="72"/>
      <c r="F22" s="67"/>
      <c r="G22" s="67"/>
      <c r="H22" s="67"/>
      <c r="I22" s="67"/>
      <c r="J22" s="67"/>
      <c r="K22" s="67"/>
      <c r="L22" s="67"/>
      <c r="M22" s="78"/>
      <c r="N22" s="67"/>
      <c r="O22" s="68"/>
      <c r="P22" s="68"/>
      <c r="Q22" s="68"/>
      <c r="R22" s="68"/>
      <c r="S22" s="68"/>
      <c r="T22" s="206">
        <v>181276.75</v>
      </c>
      <c r="U22" s="206">
        <f t="shared" si="1"/>
        <v>181276.75</v>
      </c>
      <c r="V22" s="206">
        <f t="shared" si="2"/>
        <v>181276.75</v>
      </c>
      <c r="W22" s="69"/>
      <c r="X22" s="77"/>
      <c r="Y22" s="77"/>
    </row>
    <row r="23" spans="1:25" s="31" customFormat="1" ht="15.75" customHeight="1">
      <c r="A23" s="62" t="s">
        <v>130</v>
      </c>
      <c r="B23" s="64" t="s">
        <v>159</v>
      </c>
      <c r="C23" s="74"/>
      <c r="D23" s="75"/>
      <c r="E23" s="72"/>
      <c r="F23" s="67"/>
      <c r="G23" s="67"/>
      <c r="H23" s="67"/>
      <c r="I23" s="67"/>
      <c r="J23" s="67"/>
      <c r="K23" s="67"/>
      <c r="L23" s="67"/>
      <c r="M23" s="78"/>
      <c r="N23" s="67"/>
      <c r="O23" s="68"/>
      <c r="P23" s="68"/>
      <c r="Q23" s="68"/>
      <c r="R23" s="68"/>
      <c r="S23" s="68"/>
      <c r="T23" s="206">
        <v>216000</v>
      </c>
      <c r="U23" s="206">
        <f aca="true" t="shared" si="4" ref="U23:V25">T23</f>
        <v>216000</v>
      </c>
      <c r="V23" s="206">
        <f t="shared" si="4"/>
        <v>216000</v>
      </c>
      <c r="W23" s="69"/>
      <c r="X23" s="77"/>
      <c r="Y23" s="77"/>
    </row>
    <row r="24" spans="1:25" s="31" customFormat="1" ht="15.75" customHeight="1">
      <c r="A24" s="62" t="s">
        <v>131</v>
      </c>
      <c r="B24" s="64" t="s">
        <v>160</v>
      </c>
      <c r="C24" s="74"/>
      <c r="D24" s="75"/>
      <c r="E24" s="72"/>
      <c r="F24" s="67"/>
      <c r="G24" s="67"/>
      <c r="H24" s="67"/>
      <c r="I24" s="67"/>
      <c r="J24" s="67"/>
      <c r="K24" s="67"/>
      <c r="L24" s="67"/>
      <c r="M24" s="78"/>
      <c r="N24" s="67"/>
      <c r="O24" s="68"/>
      <c r="P24" s="68"/>
      <c r="Q24" s="68"/>
      <c r="R24" s="68"/>
      <c r="S24" s="68"/>
      <c r="T24" s="206">
        <v>99000</v>
      </c>
      <c r="U24" s="206">
        <f t="shared" si="4"/>
        <v>99000</v>
      </c>
      <c r="V24" s="206">
        <f t="shared" si="4"/>
        <v>99000</v>
      </c>
      <c r="W24" s="69"/>
      <c r="X24" s="77"/>
      <c r="Y24" s="77"/>
    </row>
    <row r="25" spans="1:25" s="31" customFormat="1" ht="15.75" customHeight="1">
      <c r="A25" s="62" t="s">
        <v>131</v>
      </c>
      <c r="B25" s="63" t="s">
        <v>94</v>
      </c>
      <c r="C25" s="64"/>
      <c r="D25" s="63"/>
      <c r="E25" s="66"/>
      <c r="F25" s="67"/>
      <c r="G25" s="67"/>
      <c r="H25" s="67"/>
      <c r="I25" s="67"/>
      <c r="J25" s="79"/>
      <c r="K25" s="67"/>
      <c r="L25" s="67"/>
      <c r="M25" s="67"/>
      <c r="N25" s="67"/>
      <c r="O25" s="68"/>
      <c r="P25" s="68"/>
      <c r="Q25" s="68"/>
      <c r="R25" s="68"/>
      <c r="S25" s="68"/>
      <c r="T25" s="206">
        <v>201561.6</v>
      </c>
      <c r="U25" s="206">
        <f t="shared" si="4"/>
        <v>201561.6</v>
      </c>
      <c r="V25" s="206">
        <f t="shared" si="4"/>
        <v>201561.6</v>
      </c>
      <c r="W25" s="69">
        <v>0</v>
      </c>
      <c r="X25" s="77">
        <f t="shared" si="3"/>
        <v>0</v>
      </c>
      <c r="Y25" s="77">
        <f t="shared" si="3"/>
        <v>0</v>
      </c>
    </row>
    <row r="26" spans="1:25" s="31" customFormat="1" ht="15.75" customHeight="1">
      <c r="A26" s="57" t="s">
        <v>17</v>
      </c>
      <c r="B26" s="80"/>
      <c r="C26" s="64"/>
      <c r="D26" s="63"/>
      <c r="E26" s="81"/>
      <c r="F26" s="82"/>
      <c r="G26" s="82"/>
      <c r="H26" s="82"/>
      <c r="I26" s="83"/>
      <c r="J26" s="82"/>
      <c r="K26" s="82"/>
      <c r="L26" s="82"/>
      <c r="M26" s="82"/>
      <c r="N26" s="84"/>
      <c r="O26" s="85"/>
      <c r="P26" s="68"/>
      <c r="Q26" s="68"/>
      <c r="R26" s="68"/>
      <c r="S26" s="68"/>
      <c r="T26" s="22">
        <v>0</v>
      </c>
      <c r="U26" s="22">
        <v>0</v>
      </c>
      <c r="V26" s="22">
        <v>0</v>
      </c>
      <c r="W26" s="86">
        <f aca="true" t="shared" si="5" ref="W26:Y28">SUM(H26:V26)</f>
        <v>0</v>
      </c>
      <c r="X26" s="86">
        <f t="shared" si="5"/>
        <v>0</v>
      </c>
      <c r="Y26" s="61">
        <f t="shared" si="5"/>
        <v>0</v>
      </c>
    </row>
    <row r="27" spans="1:25" s="31" customFormat="1" ht="15.75" customHeight="1">
      <c r="A27" s="57" t="s">
        <v>18</v>
      </c>
      <c r="B27" s="80"/>
      <c r="C27" s="64"/>
      <c r="D27" s="63"/>
      <c r="E27" s="87"/>
      <c r="F27" s="83"/>
      <c r="G27" s="83"/>
      <c r="H27" s="83"/>
      <c r="I27" s="37"/>
      <c r="J27" s="83"/>
      <c r="K27" s="83"/>
      <c r="L27" s="83"/>
      <c r="M27" s="83"/>
      <c r="N27" s="88"/>
      <c r="O27" s="63"/>
      <c r="P27" s="68"/>
      <c r="Q27" s="68"/>
      <c r="R27" s="68"/>
      <c r="S27" s="68"/>
      <c r="T27" s="22">
        <v>0</v>
      </c>
      <c r="U27" s="22">
        <v>0</v>
      </c>
      <c r="V27" s="22">
        <v>0</v>
      </c>
      <c r="W27" s="86">
        <f t="shared" si="5"/>
        <v>0</v>
      </c>
      <c r="X27" s="86">
        <f t="shared" si="5"/>
        <v>0</v>
      </c>
      <c r="Y27" s="61">
        <f t="shared" si="5"/>
        <v>0</v>
      </c>
    </row>
    <row r="28" spans="1:25" s="31" customFormat="1" ht="15.75" customHeight="1">
      <c r="A28" s="57" t="s">
        <v>19</v>
      </c>
      <c r="B28" s="80"/>
      <c r="C28" s="64"/>
      <c r="D28" s="63"/>
      <c r="E28" s="36"/>
      <c r="F28" s="37"/>
      <c r="G28" s="37"/>
      <c r="H28" s="37"/>
      <c r="I28" s="67"/>
      <c r="J28" s="37"/>
      <c r="K28" s="37"/>
      <c r="L28" s="37"/>
      <c r="M28" s="37"/>
      <c r="N28" s="37"/>
      <c r="O28" s="41"/>
      <c r="P28" s="68"/>
      <c r="Q28" s="68"/>
      <c r="R28" s="68"/>
      <c r="S28" s="68"/>
      <c r="T28" s="22">
        <v>0</v>
      </c>
      <c r="U28" s="22">
        <v>0</v>
      </c>
      <c r="V28" s="22">
        <v>0</v>
      </c>
      <c r="W28" s="86">
        <f t="shared" si="5"/>
        <v>0</v>
      </c>
      <c r="X28" s="86">
        <f t="shared" si="5"/>
        <v>0</v>
      </c>
      <c r="Y28" s="61">
        <f t="shared" si="5"/>
        <v>0</v>
      </c>
    </row>
    <row r="29" spans="1:25" s="31" customFormat="1" ht="15.75" customHeight="1">
      <c r="A29" s="57" t="s">
        <v>20</v>
      </c>
      <c r="B29" s="80"/>
      <c r="C29" s="64"/>
      <c r="D29" s="63"/>
      <c r="E29" s="66"/>
      <c r="F29" s="67"/>
      <c r="G29" s="67"/>
      <c r="H29" s="67"/>
      <c r="I29" s="67"/>
      <c r="J29" s="67"/>
      <c r="K29" s="67"/>
      <c r="L29" s="67"/>
      <c r="M29" s="67"/>
      <c r="N29" s="67"/>
      <c r="O29" s="68"/>
      <c r="P29" s="68"/>
      <c r="Q29" s="68"/>
      <c r="R29" s="68"/>
      <c r="S29" s="68"/>
      <c r="T29" s="22">
        <f>W29/1936.27</f>
        <v>0</v>
      </c>
      <c r="U29" s="22">
        <v>0</v>
      </c>
      <c r="V29" s="22">
        <v>0</v>
      </c>
      <c r="W29" s="86"/>
      <c r="X29" s="69"/>
      <c r="Y29" s="89"/>
    </row>
    <row r="30" spans="1:25" s="31" customFormat="1" ht="18.75" customHeight="1">
      <c r="A30" s="90" t="s">
        <v>10</v>
      </c>
      <c r="B30" s="91" t="s">
        <v>21</v>
      </c>
      <c r="C30" s="92"/>
      <c r="D30" s="93"/>
      <c r="E30" s="66"/>
      <c r="F30" s="67"/>
      <c r="G30" s="67"/>
      <c r="H30" s="23"/>
      <c r="I30" s="67"/>
      <c r="J30" s="67"/>
      <c r="K30" s="67"/>
      <c r="L30" s="67"/>
      <c r="M30" s="23"/>
      <c r="N30" s="23"/>
      <c r="O30" s="68"/>
      <c r="P30" s="68"/>
      <c r="Q30" s="68"/>
      <c r="R30" s="68"/>
      <c r="S30" s="68"/>
      <c r="T30" s="207">
        <f>SUM(T31:T36)</f>
        <v>2940810.84</v>
      </c>
      <c r="U30" s="207">
        <f>SUM(U31:U36)</f>
        <v>2722969.38</v>
      </c>
      <c r="V30" s="207">
        <f>SUM(V31:V36)</f>
        <v>2659127.92</v>
      </c>
      <c r="W30" s="94">
        <f>SUM(W32:W33)</f>
        <v>594879675</v>
      </c>
      <c r="X30" s="94">
        <f>SUM(X32:X33)</f>
        <v>605587509.15</v>
      </c>
      <c r="Y30" s="94">
        <f>SUM(Y32:Y33)</f>
        <v>616488084.3147</v>
      </c>
    </row>
    <row r="31" spans="1:25" s="31" customFormat="1" ht="15.75" customHeight="1">
      <c r="A31" s="90"/>
      <c r="B31" s="64" t="s">
        <v>118</v>
      </c>
      <c r="C31" s="64"/>
      <c r="D31" s="63"/>
      <c r="E31" s="102"/>
      <c r="F31" s="65"/>
      <c r="G31" s="63"/>
      <c r="H31" s="23"/>
      <c r="I31" s="85"/>
      <c r="J31" s="63"/>
      <c r="K31" s="63"/>
      <c r="L31" s="63"/>
      <c r="M31" s="23"/>
      <c r="N31" s="23"/>
      <c r="O31" s="68"/>
      <c r="P31" s="68"/>
      <c r="Q31" s="68"/>
      <c r="R31" s="68"/>
      <c r="S31" s="68"/>
      <c r="T31" s="206">
        <f>1693939.3+722227.66+71372.66+40507.8</f>
        <v>2528047.42</v>
      </c>
      <c r="U31" s="206">
        <f aca="true" t="shared" si="6" ref="U31:V36">T31</f>
        <v>2528047.42</v>
      </c>
      <c r="V31" s="206">
        <f t="shared" si="6"/>
        <v>2528047.42</v>
      </c>
      <c r="W31" s="203"/>
      <c r="X31" s="94"/>
      <c r="Y31" s="94"/>
    </row>
    <row r="32" spans="1:25" s="31" customFormat="1" ht="15.75" customHeight="1">
      <c r="A32" s="62"/>
      <c r="B32" s="64" t="s">
        <v>127</v>
      </c>
      <c r="C32" s="74"/>
      <c r="D32" s="63"/>
      <c r="E32" s="87"/>
      <c r="F32" s="95"/>
      <c r="G32" s="83"/>
      <c r="H32" s="83"/>
      <c r="I32" s="82"/>
      <c r="J32" s="83"/>
      <c r="K32" s="83"/>
      <c r="L32" s="83"/>
      <c r="M32" s="83"/>
      <c r="N32" s="23"/>
      <c r="O32" s="68"/>
      <c r="P32" s="67"/>
      <c r="Q32" s="68"/>
      <c r="R32" s="68"/>
      <c r="S32" s="68"/>
      <c r="T32" s="206">
        <v>51000</v>
      </c>
      <c r="U32" s="206">
        <f t="shared" si="6"/>
        <v>51000</v>
      </c>
      <c r="V32" s="206">
        <f t="shared" si="6"/>
        <v>51000</v>
      </c>
      <c r="W32" s="69"/>
      <c r="X32" s="77"/>
      <c r="Y32" s="77"/>
    </row>
    <row r="33" spans="1:25" s="31" customFormat="1" ht="15.75" customHeight="1">
      <c r="A33" s="62"/>
      <c r="B33" s="64" t="s">
        <v>117</v>
      </c>
      <c r="C33" s="74"/>
      <c r="D33" s="63"/>
      <c r="E33" s="87">
        <v>764572000</v>
      </c>
      <c r="F33" s="95"/>
      <c r="G33" s="83"/>
      <c r="H33" s="83"/>
      <c r="I33" s="82"/>
      <c r="J33" s="83"/>
      <c r="K33" s="83"/>
      <c r="L33" s="83"/>
      <c r="M33" s="83"/>
      <c r="N33" s="23"/>
      <c r="O33" s="68"/>
      <c r="P33" s="67"/>
      <c r="Q33" s="68"/>
      <c r="R33" s="68"/>
      <c r="S33" s="68"/>
      <c r="T33" s="206">
        <f>73374+26824+27484.92</f>
        <v>127682.92</v>
      </c>
      <c r="U33" s="206">
        <f>T33/2</f>
        <v>63841.46</v>
      </c>
      <c r="V33" s="206">
        <v>0</v>
      </c>
      <c r="W33" s="69">
        <f>456072550+101320000+37487125</f>
        <v>594879675</v>
      </c>
      <c r="X33" s="77">
        <f>W33*1.018</f>
        <v>605587509.15</v>
      </c>
      <c r="Y33" s="77">
        <f>X33*1.018</f>
        <v>616488084.3147</v>
      </c>
    </row>
    <row r="34" spans="1:25" s="31" customFormat="1" ht="15.75" customHeight="1">
      <c r="A34" s="62"/>
      <c r="B34" s="64" t="s">
        <v>178</v>
      </c>
      <c r="C34" s="74"/>
      <c r="D34" s="63"/>
      <c r="E34" s="106"/>
      <c r="F34" s="205"/>
      <c r="G34" s="41"/>
      <c r="H34" s="41"/>
      <c r="I34" s="41"/>
      <c r="J34" s="41"/>
      <c r="K34" s="41"/>
      <c r="L34" s="41"/>
      <c r="M34" s="41"/>
      <c r="N34" s="23"/>
      <c r="O34" s="163"/>
      <c r="P34" s="163"/>
      <c r="Q34" s="163"/>
      <c r="R34" s="163"/>
      <c r="S34" s="163"/>
      <c r="T34" s="206">
        <v>150000</v>
      </c>
      <c r="U34" s="206">
        <v>0</v>
      </c>
      <c r="V34" s="206">
        <v>0</v>
      </c>
      <c r="W34" s="104"/>
      <c r="X34" s="172"/>
      <c r="Y34" s="172"/>
    </row>
    <row r="35" spans="1:25" s="31" customFormat="1" ht="15.75" customHeight="1">
      <c r="A35" s="62"/>
      <c r="B35" s="64" t="s">
        <v>179</v>
      </c>
      <c r="C35" s="74"/>
      <c r="D35" s="63"/>
      <c r="E35" s="106"/>
      <c r="F35" s="205"/>
      <c r="G35" s="41"/>
      <c r="H35" s="41"/>
      <c r="I35" s="41"/>
      <c r="J35" s="41"/>
      <c r="K35" s="41"/>
      <c r="L35" s="41"/>
      <c r="M35" s="41"/>
      <c r="N35" s="23"/>
      <c r="O35" s="163"/>
      <c r="P35" s="163"/>
      <c r="Q35" s="163"/>
      <c r="R35" s="163"/>
      <c r="S35" s="163"/>
      <c r="T35" s="206">
        <f>2657+1200+4000</f>
        <v>7857</v>
      </c>
      <c r="U35" s="206">
        <v>3857</v>
      </c>
      <c r="V35" s="206">
        <v>3857</v>
      </c>
      <c r="W35" s="104"/>
      <c r="X35" s="172"/>
      <c r="Y35" s="172"/>
    </row>
    <row r="36" spans="1:25" s="31" customFormat="1" ht="15.75" customHeight="1">
      <c r="A36" s="62"/>
      <c r="B36" s="96" t="s">
        <v>167</v>
      </c>
      <c r="C36" s="97"/>
      <c r="D36" s="85"/>
      <c r="E36" s="106"/>
      <c r="F36" s="41"/>
      <c r="G36" s="41"/>
      <c r="H36" s="41"/>
      <c r="I36" s="41"/>
      <c r="J36" s="41"/>
      <c r="K36" s="41"/>
      <c r="L36" s="41"/>
      <c r="M36" s="41"/>
      <c r="N36" s="41"/>
      <c r="O36" s="163"/>
      <c r="P36" s="163"/>
      <c r="Q36" s="163"/>
      <c r="R36" s="163"/>
      <c r="S36" s="163"/>
      <c r="T36" s="206">
        <v>76223.5</v>
      </c>
      <c r="U36" s="206">
        <f t="shared" si="6"/>
        <v>76223.5</v>
      </c>
      <c r="V36" s="206">
        <f t="shared" si="6"/>
        <v>76223.5</v>
      </c>
      <c r="W36" s="104"/>
      <c r="X36" s="172"/>
      <c r="Y36" s="172"/>
    </row>
    <row r="37" spans="1:25" s="31" customFormat="1" ht="18.75" customHeight="1">
      <c r="A37" s="90" t="s">
        <v>11</v>
      </c>
      <c r="B37" s="91" t="s">
        <v>22</v>
      </c>
      <c r="C37" s="92"/>
      <c r="D37" s="93"/>
      <c r="E37" s="99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207">
        <f>SUM(T38:T43)</f>
        <v>1497529.06</v>
      </c>
      <c r="U37" s="207">
        <f>SUM(U38:U43)</f>
        <v>1704280.34</v>
      </c>
      <c r="V37" s="207">
        <f>SUM(V38:V43)</f>
        <v>1741530.58</v>
      </c>
      <c r="W37" s="94">
        <f>SUM(W40:W42)</f>
        <v>919871544</v>
      </c>
      <c r="X37" s="94">
        <f>SUM(X40:X42)</f>
        <v>936429231.7919999</v>
      </c>
      <c r="Y37" s="94">
        <f>SUM(Y40:Y42)</f>
        <v>953284957.9642559</v>
      </c>
    </row>
    <row r="38" spans="1:25" s="31" customFormat="1" ht="15.75" customHeight="1">
      <c r="A38" s="90"/>
      <c r="B38" s="64" t="s">
        <v>135</v>
      </c>
      <c r="C38" s="155" t="s">
        <v>169</v>
      </c>
      <c r="D38" s="93"/>
      <c r="E38" s="99"/>
      <c r="F38" s="100"/>
      <c r="G38" s="100"/>
      <c r="H38" s="100"/>
      <c r="I38" s="41"/>
      <c r="J38" s="41"/>
      <c r="K38" s="100"/>
      <c r="L38" s="100"/>
      <c r="M38" s="100"/>
      <c r="N38" s="100"/>
      <c r="O38" s="163"/>
      <c r="P38" s="163"/>
      <c r="Q38" s="163"/>
      <c r="R38" s="163"/>
      <c r="S38" s="163"/>
      <c r="T38" s="206">
        <f>39000+76117.9</f>
        <v>115117.9</v>
      </c>
      <c r="U38" s="206">
        <f>T38</f>
        <v>115117.9</v>
      </c>
      <c r="V38" s="206">
        <f>U38</f>
        <v>115117.9</v>
      </c>
      <c r="W38" s="203"/>
      <c r="X38" s="94"/>
      <c r="Y38" s="94"/>
    </row>
    <row r="39" spans="1:25" s="31" customFormat="1" ht="15.75" customHeight="1">
      <c r="A39" s="90"/>
      <c r="B39" s="96" t="s">
        <v>216</v>
      </c>
      <c r="C39" s="97"/>
      <c r="D39" s="71"/>
      <c r="E39" s="99"/>
      <c r="F39" s="100"/>
      <c r="G39" s="100"/>
      <c r="H39" s="100"/>
      <c r="I39" s="41"/>
      <c r="J39" s="41"/>
      <c r="K39" s="100"/>
      <c r="L39" s="100"/>
      <c r="M39" s="100"/>
      <c r="N39" s="100"/>
      <c r="O39" s="163"/>
      <c r="P39" s="163"/>
      <c r="Q39" s="163"/>
      <c r="R39" s="163"/>
      <c r="S39" s="163"/>
      <c r="T39" s="206">
        <v>686411.16</v>
      </c>
      <c r="U39" s="206">
        <f>T39+201281.28</f>
        <v>887692.4400000001</v>
      </c>
      <c r="V39" s="206">
        <f>U39+31725.54</f>
        <v>919417.9800000001</v>
      </c>
      <c r="W39" s="203"/>
      <c r="X39" s="94"/>
      <c r="Y39" s="94"/>
    </row>
    <row r="40" spans="1:25" s="31" customFormat="1" ht="15.75" customHeight="1">
      <c r="A40" s="62"/>
      <c r="B40" s="64" t="s">
        <v>78</v>
      </c>
      <c r="C40" s="74"/>
      <c r="D40" s="63"/>
      <c r="E40" s="66" t="e">
        <f>305000000+#REF!</f>
        <v>#REF!</v>
      </c>
      <c r="F40" s="67" t="e">
        <f>210000000+#REF!</f>
        <v>#REF!</v>
      </c>
      <c r="G40" s="67" t="e">
        <f>35000000+#REF!</f>
        <v>#REF!</v>
      </c>
      <c r="H40" s="67">
        <f>225000000+3600000</f>
        <v>228600000</v>
      </c>
      <c r="I40" s="83" t="e">
        <f>#REF!</f>
        <v>#REF!</v>
      </c>
      <c r="J40" s="83" t="e">
        <f>#REF!</f>
        <v>#REF!</v>
      </c>
      <c r="K40" s="67" t="e">
        <f>20000000+70000000+#REF!</f>
        <v>#REF!</v>
      </c>
      <c r="L40" s="67" t="e">
        <f>#REF!</f>
        <v>#REF!</v>
      </c>
      <c r="M40" s="67" t="e">
        <f>368675852+#REF!</f>
        <v>#REF!</v>
      </c>
      <c r="N40" s="67" t="e">
        <f>200000000+#REF!+68756792</f>
        <v>#REF!</v>
      </c>
      <c r="O40" s="68" t="e">
        <f>#REF!</f>
        <v>#REF!</v>
      </c>
      <c r="P40" s="68" t="e">
        <f>#REF!</f>
        <v>#REF!</v>
      </c>
      <c r="Q40" s="68"/>
      <c r="R40" s="68"/>
      <c r="S40" s="68"/>
      <c r="T40" s="206">
        <v>547000</v>
      </c>
      <c r="U40" s="206">
        <f>T40*1.01</f>
        <v>552470</v>
      </c>
      <c r="V40" s="206">
        <f>U40*1.01</f>
        <v>557994.7</v>
      </c>
      <c r="W40" s="101">
        <f>864912760+52017074</f>
        <v>916929834</v>
      </c>
      <c r="X40" s="70">
        <f>W40*1.018</f>
        <v>933434571.012</v>
      </c>
      <c r="Y40" s="70">
        <f>X40*1.018</f>
        <v>950236393.290216</v>
      </c>
    </row>
    <row r="41" spans="1:25" s="31" customFormat="1" ht="15.75" customHeight="1">
      <c r="A41" s="62"/>
      <c r="B41" s="64" t="s">
        <v>135</v>
      </c>
      <c r="C41" s="74" t="s">
        <v>166</v>
      </c>
      <c r="D41" s="63"/>
      <c r="E41" s="102"/>
      <c r="F41" s="65"/>
      <c r="G41" s="63"/>
      <c r="H41" s="63"/>
      <c r="I41" s="83"/>
      <c r="J41" s="83"/>
      <c r="K41" s="63"/>
      <c r="L41" s="63"/>
      <c r="M41" s="63"/>
      <c r="N41" s="41"/>
      <c r="O41" s="68"/>
      <c r="P41" s="68"/>
      <c r="Q41" s="68"/>
      <c r="R41" s="68"/>
      <c r="S41" s="68"/>
      <c r="T41" s="206">
        <v>50000</v>
      </c>
      <c r="U41" s="206">
        <f aca="true" t="shared" si="7" ref="U41:V43">T41</f>
        <v>50000</v>
      </c>
      <c r="V41" s="206">
        <f t="shared" si="7"/>
        <v>50000</v>
      </c>
      <c r="W41" s="103"/>
      <c r="X41" s="70"/>
      <c r="Y41" s="70"/>
    </row>
    <row r="42" spans="1:25" s="31" customFormat="1" ht="15.75" customHeight="1">
      <c r="A42" s="62"/>
      <c r="B42" s="64" t="s">
        <v>168</v>
      </c>
      <c r="C42" s="74"/>
      <c r="D42" s="63"/>
      <c r="E42" s="87">
        <v>764572000</v>
      </c>
      <c r="F42" s="95"/>
      <c r="G42" s="83"/>
      <c r="H42" s="83"/>
      <c r="I42" s="82"/>
      <c r="J42" s="83"/>
      <c r="K42" s="83"/>
      <c r="L42" s="83"/>
      <c r="M42" s="83"/>
      <c r="N42" s="23"/>
      <c r="O42" s="68"/>
      <c r="P42" s="67"/>
      <c r="Q42" s="68"/>
      <c r="R42" s="68"/>
      <c r="S42" s="68"/>
      <c r="T42" s="206">
        <v>75000</v>
      </c>
      <c r="U42" s="206">
        <f t="shared" si="7"/>
        <v>75000</v>
      </c>
      <c r="V42" s="206">
        <f t="shared" si="7"/>
        <v>75000</v>
      </c>
      <c r="W42" s="104">
        <f>29400+2912310</f>
        <v>2941710</v>
      </c>
      <c r="X42" s="77">
        <f>W42*1.018</f>
        <v>2994660.7800000003</v>
      </c>
      <c r="Y42" s="77">
        <f>X42*1.018</f>
        <v>3048564.6740400004</v>
      </c>
    </row>
    <row r="43" spans="1:25" s="31" customFormat="1" ht="15.75" customHeight="1">
      <c r="A43" s="62"/>
      <c r="B43" s="96" t="s">
        <v>210</v>
      </c>
      <c r="C43" s="74"/>
      <c r="D43" s="63"/>
      <c r="E43" s="106"/>
      <c r="F43" s="41"/>
      <c r="G43" s="41"/>
      <c r="H43" s="41"/>
      <c r="I43" s="108"/>
      <c r="J43" s="41"/>
      <c r="K43" s="41"/>
      <c r="L43" s="41"/>
      <c r="M43" s="41"/>
      <c r="N43" s="41"/>
      <c r="O43" s="109"/>
      <c r="P43" s="109"/>
      <c r="Q43" s="109"/>
      <c r="R43" s="109"/>
      <c r="S43" s="109"/>
      <c r="T43" s="206">
        <v>24000</v>
      </c>
      <c r="U43" s="206">
        <f t="shared" si="7"/>
        <v>24000</v>
      </c>
      <c r="V43" s="206">
        <f t="shared" si="7"/>
        <v>24000</v>
      </c>
      <c r="W43" s="204"/>
      <c r="X43" s="174"/>
      <c r="Y43" s="174"/>
    </row>
    <row r="44" spans="1:25" s="31" customFormat="1" ht="15.75" customHeight="1">
      <c r="A44" s="105"/>
      <c r="B44" s="64"/>
      <c r="C44" s="74"/>
      <c r="D44" s="63"/>
      <c r="E44" s="106"/>
      <c r="F44" s="107"/>
      <c r="G44" s="41"/>
      <c r="H44" s="41"/>
      <c r="I44" s="108"/>
      <c r="J44" s="41"/>
      <c r="K44" s="41"/>
      <c r="L44" s="41"/>
      <c r="M44" s="41"/>
      <c r="N44" s="23"/>
      <c r="O44" s="109"/>
      <c r="P44" s="39"/>
      <c r="Q44" s="109"/>
      <c r="R44" s="109"/>
      <c r="S44" s="109"/>
      <c r="T44" s="110"/>
      <c r="U44" s="22"/>
      <c r="V44" s="22"/>
      <c r="W44" s="111"/>
      <c r="X44" s="111"/>
      <c r="Y44" s="111"/>
    </row>
    <row r="45" spans="1:25" s="31" customFormat="1" ht="18" customHeight="1">
      <c r="A45" s="68"/>
      <c r="B45" s="112" t="s">
        <v>23</v>
      </c>
      <c r="C45" s="112"/>
      <c r="D45" s="71"/>
      <c r="E45" s="113">
        <f aca="true" t="shared" si="8" ref="E45:S45">SUM(E14:E37)</f>
        <v>2904572000</v>
      </c>
      <c r="F45" s="114">
        <f t="shared" si="8"/>
        <v>0</v>
      </c>
      <c r="G45" s="114">
        <f t="shared" si="8"/>
        <v>65000000</v>
      </c>
      <c r="H45" s="114">
        <f t="shared" si="8"/>
        <v>0</v>
      </c>
      <c r="I45" s="114">
        <f t="shared" si="8"/>
        <v>0</v>
      </c>
      <c r="J45" s="114">
        <f t="shared" si="8"/>
        <v>0</v>
      </c>
      <c r="K45" s="114">
        <f t="shared" si="8"/>
        <v>45000000</v>
      </c>
      <c r="L45" s="114">
        <f t="shared" si="8"/>
        <v>0</v>
      </c>
      <c r="M45" s="114">
        <f t="shared" si="8"/>
        <v>0</v>
      </c>
      <c r="N45" s="114">
        <f t="shared" si="8"/>
        <v>15000000</v>
      </c>
      <c r="O45" s="114">
        <f t="shared" si="8"/>
        <v>0</v>
      </c>
      <c r="P45" s="114">
        <f t="shared" si="8"/>
        <v>0</v>
      </c>
      <c r="Q45" s="114">
        <f t="shared" si="8"/>
        <v>0</v>
      </c>
      <c r="R45" s="114">
        <f t="shared" si="8"/>
        <v>0</v>
      </c>
      <c r="S45" s="114">
        <f t="shared" si="8"/>
        <v>0</v>
      </c>
      <c r="T45" s="207">
        <f>T13+T30+T37</f>
        <v>8498394.48</v>
      </c>
      <c r="U45" s="207">
        <f>U13+U30+U37</f>
        <v>8639974.675</v>
      </c>
      <c r="V45" s="207">
        <f>V13+V30+V37</f>
        <v>8766053.83</v>
      </c>
      <c r="W45" s="115">
        <f>SUM(W13+W26+W27+W28+W30+W37)</f>
        <v>5476255376</v>
      </c>
      <c r="X45" s="115">
        <f>SUM(X13+X26+X27+X28+X30+X37)</f>
        <v>6277650585.197999</v>
      </c>
      <c r="Y45" s="115">
        <f>SUM(Y13+Y26+Y27+Y28+Y30+Y37)</f>
        <v>7079687773.791064</v>
      </c>
    </row>
    <row r="46" spans="1:25" s="31" customFormat="1" ht="20.25">
      <c r="A46" s="116"/>
      <c r="B46" s="117" t="s">
        <v>24</v>
      </c>
      <c r="C46" s="118"/>
      <c r="D46" s="53"/>
      <c r="E46" s="119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10"/>
      <c r="U46" s="110"/>
      <c r="V46" s="110"/>
      <c r="W46" s="121"/>
      <c r="X46" s="120"/>
      <c r="Y46" s="120"/>
    </row>
    <row r="47" spans="1:25" s="31" customFormat="1" ht="18" customHeight="1">
      <c r="A47" s="74"/>
      <c r="B47" s="23"/>
      <c r="C47" s="23"/>
      <c r="D47" s="23"/>
      <c r="E47" s="24" t="s">
        <v>2</v>
      </c>
      <c r="F47" s="25" t="s">
        <v>3</v>
      </c>
      <c r="G47" s="26"/>
      <c r="H47" s="25" t="s">
        <v>4</v>
      </c>
      <c r="I47" s="27"/>
      <c r="J47" s="28"/>
      <c r="K47" s="28"/>
      <c r="L47" s="28"/>
      <c r="M47" s="26" t="s">
        <v>5</v>
      </c>
      <c r="N47" s="29" t="s">
        <v>6</v>
      </c>
      <c r="O47" s="26"/>
      <c r="P47" s="26"/>
      <c r="Q47" s="26"/>
      <c r="R47" s="26"/>
      <c r="S47" s="26"/>
      <c r="T47" s="30">
        <v>2007</v>
      </c>
      <c r="U47" s="30">
        <f>T47+1</f>
        <v>2008</v>
      </c>
      <c r="V47" s="30">
        <f>U47+1</f>
        <v>2009</v>
      </c>
      <c r="W47" s="30">
        <v>2002</v>
      </c>
      <c r="X47" s="30">
        <v>2003</v>
      </c>
      <c r="Y47" s="30">
        <v>2004</v>
      </c>
    </row>
    <row r="48" spans="1:25" s="31" customFormat="1" ht="15.75" customHeight="1">
      <c r="A48" s="32" t="s">
        <v>25</v>
      </c>
      <c r="B48" s="122" t="s">
        <v>26</v>
      </c>
      <c r="C48" s="123"/>
      <c r="D48" s="124"/>
      <c r="E48" s="125"/>
      <c r="F48" s="51"/>
      <c r="G48" s="51"/>
      <c r="H48" s="51"/>
      <c r="I48" s="126"/>
      <c r="J48" s="126"/>
      <c r="K48" s="126"/>
      <c r="L48" s="126"/>
      <c r="M48" s="126"/>
      <c r="N48" s="53"/>
      <c r="O48" s="127"/>
      <c r="P48" s="127"/>
      <c r="Q48" s="127"/>
      <c r="R48" s="127"/>
      <c r="S48" s="127"/>
      <c r="T48" s="128"/>
      <c r="U48" s="128"/>
      <c r="V48" s="128"/>
      <c r="W48" s="128"/>
      <c r="X48" s="128"/>
      <c r="Y48" s="128"/>
    </row>
    <row r="49" spans="1:25" s="56" customFormat="1" ht="15.75" customHeight="1">
      <c r="A49" s="44"/>
      <c r="B49" s="45"/>
      <c r="C49" s="46"/>
      <c r="D49" s="47"/>
      <c r="E49" s="129"/>
      <c r="F49" s="53"/>
      <c r="G49" s="53"/>
      <c r="H49" s="53"/>
      <c r="I49" s="53"/>
      <c r="J49" s="53"/>
      <c r="K49" s="53"/>
      <c r="L49" s="53"/>
      <c r="M49" s="53"/>
      <c r="N49" s="53"/>
      <c r="O49" s="51"/>
      <c r="P49" s="51"/>
      <c r="Q49" s="51"/>
      <c r="R49" s="51"/>
      <c r="S49" s="51"/>
      <c r="T49" s="130"/>
      <c r="U49" s="130"/>
      <c r="V49" s="130"/>
      <c r="W49" s="130"/>
      <c r="X49" s="130"/>
      <c r="Y49" s="130"/>
    </row>
    <row r="50" spans="1:25" s="31" customFormat="1" ht="18.75" customHeight="1">
      <c r="A50" s="57" t="s">
        <v>27</v>
      </c>
      <c r="B50" s="91"/>
      <c r="C50" s="92"/>
      <c r="D50" s="93"/>
      <c r="E50" s="131"/>
      <c r="F50" s="37"/>
      <c r="G50" s="37"/>
      <c r="H50" s="37"/>
      <c r="I50" s="37"/>
      <c r="J50" s="37"/>
      <c r="K50" s="37"/>
      <c r="L50" s="37"/>
      <c r="M50" s="37"/>
      <c r="N50" s="38"/>
      <c r="O50" s="100"/>
      <c r="P50" s="100"/>
      <c r="Q50" s="100"/>
      <c r="R50" s="100"/>
      <c r="S50" s="100"/>
      <c r="T50" s="207">
        <f aca="true" t="shared" si="9" ref="T50:Y50">SUM(T51:T62)</f>
        <v>794901.49</v>
      </c>
      <c r="U50" s="207">
        <f t="shared" si="9"/>
        <v>802850.5048999999</v>
      </c>
      <c r="V50" s="207">
        <f t="shared" si="9"/>
        <v>810879.009949</v>
      </c>
      <c r="W50" s="132">
        <f t="shared" si="9"/>
        <v>5844497534</v>
      </c>
      <c r="X50" s="132">
        <f t="shared" si="9"/>
        <v>5949698489.6119995</v>
      </c>
      <c r="Y50" s="132">
        <f t="shared" si="9"/>
        <v>6169634083.968509</v>
      </c>
    </row>
    <row r="51" spans="1:25" s="31" customFormat="1" ht="15.75" customHeight="1">
      <c r="A51" s="41"/>
      <c r="B51" s="64" t="s">
        <v>79</v>
      </c>
      <c r="C51" s="74"/>
      <c r="D51" s="63"/>
      <c r="E51" s="133">
        <v>455000000</v>
      </c>
      <c r="F51" s="134"/>
      <c r="G51" s="60"/>
      <c r="H51" s="134"/>
      <c r="I51" s="134"/>
      <c r="J51" s="134"/>
      <c r="K51" s="134"/>
      <c r="L51" s="134"/>
      <c r="M51" s="134"/>
      <c r="N51" s="60">
        <v>3150000</v>
      </c>
      <c r="O51" s="134"/>
      <c r="P51" s="134"/>
      <c r="Q51" s="134"/>
      <c r="R51" s="134"/>
      <c r="S51" s="134"/>
      <c r="T51" s="206">
        <v>225000</v>
      </c>
      <c r="U51" s="206">
        <f aca="true" t="shared" si="10" ref="U51:U62">T51*1.01</f>
        <v>227250</v>
      </c>
      <c r="V51" s="206">
        <f aca="true" t="shared" si="11" ref="V51:V62">U51*1.01</f>
        <v>229522.5</v>
      </c>
      <c r="W51" s="77">
        <f>395600000-95600000</f>
        <v>300000000</v>
      </c>
      <c r="X51" s="77">
        <f aca="true" t="shared" si="12" ref="X51:Y66">W51*1.018</f>
        <v>305400000</v>
      </c>
      <c r="Y51" s="77">
        <f t="shared" si="12"/>
        <v>310897200</v>
      </c>
    </row>
    <row r="52" spans="1:25" s="31" customFormat="1" ht="15.75" customHeight="1">
      <c r="A52" s="41"/>
      <c r="B52" s="64" t="s">
        <v>80</v>
      </c>
      <c r="C52" s="74"/>
      <c r="D52" s="63"/>
      <c r="E52" s="87">
        <v>405000000</v>
      </c>
      <c r="F52" s="83"/>
      <c r="G52" s="83">
        <v>3000000</v>
      </c>
      <c r="H52" s="83">
        <v>1000000</v>
      </c>
      <c r="I52" s="83"/>
      <c r="J52" s="83"/>
      <c r="K52" s="83"/>
      <c r="L52" s="83">
        <v>2000000</v>
      </c>
      <c r="M52" s="83"/>
      <c r="N52" s="135"/>
      <c r="O52" s="136"/>
      <c r="P52" s="136"/>
      <c r="Q52" s="136"/>
      <c r="R52" s="136"/>
      <c r="S52" s="136"/>
      <c r="T52" s="206">
        <v>45293.52</v>
      </c>
      <c r="U52" s="206">
        <f t="shared" si="10"/>
        <v>45746.4552</v>
      </c>
      <c r="V52" s="206">
        <f t="shared" si="11"/>
        <v>46203.919751999994</v>
      </c>
      <c r="W52" s="77">
        <v>148406747</v>
      </c>
      <c r="X52" s="77">
        <f t="shared" si="12"/>
        <v>151078068.446</v>
      </c>
      <c r="Y52" s="77">
        <f t="shared" si="12"/>
        <v>153797473.67802802</v>
      </c>
    </row>
    <row r="53" spans="1:25" s="31" customFormat="1" ht="15.75" customHeight="1">
      <c r="A53" s="41"/>
      <c r="B53" s="64" t="s">
        <v>81</v>
      </c>
      <c r="C53" s="74"/>
      <c r="D53" s="63"/>
      <c r="E53" s="87">
        <v>17000000</v>
      </c>
      <c r="F53" s="83"/>
      <c r="G53" s="83">
        <v>17400000</v>
      </c>
      <c r="H53" s="83"/>
      <c r="I53" s="83"/>
      <c r="J53" s="83"/>
      <c r="K53" s="83"/>
      <c r="L53" s="83"/>
      <c r="M53" s="83"/>
      <c r="N53" s="135"/>
      <c r="O53" s="68"/>
      <c r="P53" s="68"/>
      <c r="Q53" s="68"/>
      <c r="R53" s="68"/>
      <c r="S53" s="68"/>
      <c r="T53" s="206">
        <v>3856.07</v>
      </c>
      <c r="U53" s="206">
        <f t="shared" si="10"/>
        <v>3894.6307</v>
      </c>
      <c r="V53" s="206">
        <f t="shared" si="11"/>
        <v>3933.5770070000003</v>
      </c>
      <c r="W53" s="77">
        <v>1958811</v>
      </c>
      <c r="X53" s="77">
        <f t="shared" si="12"/>
        <v>1994069.598</v>
      </c>
      <c r="Y53" s="77">
        <f t="shared" si="12"/>
        <v>2029962.850764</v>
      </c>
    </row>
    <row r="54" spans="1:25" s="31" customFormat="1" ht="15.75" customHeight="1">
      <c r="A54" s="41"/>
      <c r="B54" s="64" t="s">
        <v>82</v>
      </c>
      <c r="C54" s="74"/>
      <c r="D54" s="63"/>
      <c r="E54" s="137"/>
      <c r="F54" s="138"/>
      <c r="G54" s="83"/>
      <c r="H54" s="83"/>
      <c r="I54" s="83"/>
      <c r="J54" s="83"/>
      <c r="K54" s="83"/>
      <c r="L54" s="83"/>
      <c r="M54" s="83"/>
      <c r="N54" s="135"/>
      <c r="O54" s="68"/>
      <c r="P54" s="68"/>
      <c r="Q54" s="68"/>
      <c r="R54" s="68"/>
      <c r="S54" s="68"/>
      <c r="T54" s="206">
        <v>100970.74</v>
      </c>
      <c r="U54" s="206">
        <f t="shared" si="10"/>
        <v>101980.4474</v>
      </c>
      <c r="V54" s="206">
        <f t="shared" si="11"/>
        <v>103000.25187400001</v>
      </c>
      <c r="W54" s="77">
        <f>157445327+1720000000+2561000000+300000000+300000000</f>
        <v>5038445327</v>
      </c>
      <c r="X54" s="70">
        <f>W54*1.018</f>
        <v>5129137342.886</v>
      </c>
      <c r="Y54" s="70">
        <f>X54*1.04</f>
        <v>5334302836.601439</v>
      </c>
    </row>
    <row r="55" spans="1:25" s="31" customFormat="1" ht="15.75" customHeight="1">
      <c r="A55" s="41"/>
      <c r="B55" s="64" t="s">
        <v>95</v>
      </c>
      <c r="C55" s="74"/>
      <c r="D55" s="63"/>
      <c r="E55" s="139"/>
      <c r="F55" s="138"/>
      <c r="G55" s="83"/>
      <c r="H55" s="83"/>
      <c r="I55" s="83"/>
      <c r="J55" s="83"/>
      <c r="K55" s="83"/>
      <c r="L55" s="83"/>
      <c r="M55" s="83"/>
      <c r="N55" s="135"/>
      <c r="O55" s="68"/>
      <c r="P55" s="68"/>
      <c r="Q55" s="68"/>
      <c r="R55" s="68"/>
      <c r="S55" s="68"/>
      <c r="T55" s="206">
        <v>80000</v>
      </c>
      <c r="U55" s="206">
        <f t="shared" si="10"/>
        <v>80800</v>
      </c>
      <c r="V55" s="206">
        <f t="shared" si="11"/>
        <v>81608</v>
      </c>
      <c r="W55" s="77"/>
      <c r="X55" s="70"/>
      <c r="Y55" s="70"/>
    </row>
    <row r="56" spans="1:25" s="31" customFormat="1" ht="18" customHeight="1">
      <c r="A56" s="41"/>
      <c r="B56" s="64" t="s">
        <v>180</v>
      </c>
      <c r="C56" s="74"/>
      <c r="D56" s="63"/>
      <c r="E56" s="87">
        <v>7500000</v>
      </c>
      <c r="F56" s="83">
        <v>3150000</v>
      </c>
      <c r="G56" s="83">
        <v>2500000</v>
      </c>
      <c r="H56" s="83">
        <v>500000</v>
      </c>
      <c r="I56" s="83">
        <v>500000</v>
      </c>
      <c r="J56" s="83">
        <v>500000</v>
      </c>
      <c r="K56" s="83">
        <v>1000000</v>
      </c>
      <c r="L56" s="83">
        <v>500000</v>
      </c>
      <c r="M56" s="83">
        <v>1500000</v>
      </c>
      <c r="N56" s="135">
        <v>4000000</v>
      </c>
      <c r="O56" s="68">
        <v>500000</v>
      </c>
      <c r="P56" s="68">
        <v>500000</v>
      </c>
      <c r="Q56" s="68"/>
      <c r="R56" s="68"/>
      <c r="S56" s="68"/>
      <c r="T56" s="206">
        <v>59356.85</v>
      </c>
      <c r="U56" s="206">
        <f t="shared" si="10"/>
        <v>59950.4185</v>
      </c>
      <c r="V56" s="206">
        <f t="shared" si="11"/>
        <v>60549.922685</v>
      </c>
      <c r="W56" s="77">
        <f>30762221+7500000+7404989+2575015+360000+1962591+1556943+3000000+4579332+500000-3000000</f>
        <v>57201091</v>
      </c>
      <c r="X56" s="77">
        <f t="shared" si="12"/>
        <v>58230710.638000004</v>
      </c>
      <c r="Y56" s="77">
        <f t="shared" si="12"/>
        <v>59278863.429484</v>
      </c>
    </row>
    <row r="57" spans="1:25" s="31" customFormat="1" ht="18.75" customHeight="1">
      <c r="A57" s="41"/>
      <c r="B57" s="64" t="s">
        <v>181</v>
      </c>
      <c r="C57" s="74"/>
      <c r="D57" s="63"/>
      <c r="E57" s="87"/>
      <c r="F57" s="83"/>
      <c r="G57" s="83"/>
      <c r="H57" s="83"/>
      <c r="I57" s="83"/>
      <c r="J57" s="83"/>
      <c r="K57" s="83"/>
      <c r="L57" s="83"/>
      <c r="M57" s="83"/>
      <c r="N57" s="135"/>
      <c r="O57" s="68"/>
      <c r="P57" s="68"/>
      <c r="Q57" s="68"/>
      <c r="R57" s="68"/>
      <c r="S57" s="68">
        <v>40000000</v>
      </c>
      <c r="T57" s="206">
        <v>2354.26</v>
      </c>
      <c r="U57" s="206">
        <f t="shared" si="10"/>
        <v>2377.8026000000004</v>
      </c>
      <c r="V57" s="206">
        <f t="shared" si="11"/>
        <v>2401.5806260000004</v>
      </c>
      <c r="W57" s="77">
        <f>56937127+4000000+800000+1000000+2000000+1000000+1000000+500000+25000000-16500000</f>
        <v>75737127</v>
      </c>
      <c r="X57" s="77">
        <f t="shared" si="12"/>
        <v>77100395.286</v>
      </c>
      <c r="Y57" s="77">
        <f t="shared" si="12"/>
        <v>78488202.401148</v>
      </c>
    </row>
    <row r="58" spans="1:25" s="31" customFormat="1" ht="18" customHeight="1">
      <c r="A58" s="41"/>
      <c r="B58" s="64" t="s">
        <v>28</v>
      </c>
      <c r="C58" s="74"/>
      <c r="D58" s="63"/>
      <c r="E58" s="87">
        <v>2100000</v>
      </c>
      <c r="F58" s="140">
        <v>11500000</v>
      </c>
      <c r="G58" s="83">
        <v>2100000</v>
      </c>
      <c r="H58" s="83"/>
      <c r="I58" s="83"/>
      <c r="J58" s="83"/>
      <c r="K58" s="83">
        <v>12500000</v>
      </c>
      <c r="L58" s="83">
        <v>1050000</v>
      </c>
      <c r="M58" s="83">
        <v>500000</v>
      </c>
      <c r="N58" s="135"/>
      <c r="O58" s="68"/>
      <c r="P58" s="68"/>
      <c r="Q58" s="68"/>
      <c r="R58" s="68"/>
      <c r="S58" s="68"/>
      <c r="T58" s="206">
        <v>15000</v>
      </c>
      <c r="U58" s="206">
        <f t="shared" si="10"/>
        <v>15150</v>
      </c>
      <c r="V58" s="206">
        <f t="shared" si="11"/>
        <v>15301.5</v>
      </c>
      <c r="W58" s="77">
        <f>652692+181868+45000+75000+450000+350000+211885+4442149-211885</f>
        <v>6196709</v>
      </c>
      <c r="X58" s="77">
        <f t="shared" si="12"/>
        <v>6308249.762</v>
      </c>
      <c r="Y58" s="77">
        <f t="shared" si="12"/>
        <v>6421798.257716</v>
      </c>
    </row>
    <row r="59" spans="1:25" s="31" customFormat="1" ht="17.25" customHeight="1">
      <c r="A59" s="41"/>
      <c r="B59" s="58" t="s">
        <v>136</v>
      </c>
      <c r="C59" s="74" t="s">
        <v>137</v>
      </c>
      <c r="D59" s="63"/>
      <c r="E59" s="87"/>
      <c r="F59" s="140"/>
      <c r="G59" s="83"/>
      <c r="H59" s="83"/>
      <c r="I59" s="83"/>
      <c r="J59" s="83"/>
      <c r="K59" s="83"/>
      <c r="L59" s="83"/>
      <c r="M59" s="83"/>
      <c r="N59" s="135"/>
      <c r="O59" s="68"/>
      <c r="P59" s="68"/>
      <c r="Q59" s="68"/>
      <c r="R59" s="68"/>
      <c r="S59" s="68"/>
      <c r="T59" s="206">
        <v>16349.3</v>
      </c>
      <c r="U59" s="206">
        <f t="shared" si="10"/>
        <v>16512.792999999998</v>
      </c>
      <c r="V59" s="206">
        <f t="shared" si="11"/>
        <v>16677.920929999997</v>
      </c>
      <c r="W59" s="77"/>
      <c r="X59" s="77"/>
      <c r="Y59" s="77"/>
    </row>
    <row r="60" spans="1:25" s="31" customFormat="1" ht="17.25" customHeight="1">
      <c r="A60" s="41"/>
      <c r="B60" s="58" t="s">
        <v>136</v>
      </c>
      <c r="C60" s="74" t="s">
        <v>182</v>
      </c>
      <c r="D60" s="63"/>
      <c r="E60" s="87"/>
      <c r="F60" s="140"/>
      <c r="G60" s="83"/>
      <c r="H60" s="83"/>
      <c r="I60" s="83"/>
      <c r="J60" s="83"/>
      <c r="K60" s="83"/>
      <c r="L60" s="83"/>
      <c r="M60" s="83"/>
      <c r="N60" s="135"/>
      <c r="O60" s="68"/>
      <c r="P60" s="68"/>
      <c r="Q60" s="68"/>
      <c r="R60" s="68"/>
      <c r="S60" s="68"/>
      <c r="T60" s="206">
        <v>2647.74</v>
      </c>
      <c r="U60" s="206">
        <f t="shared" si="10"/>
        <v>2674.2174</v>
      </c>
      <c r="V60" s="206">
        <f t="shared" si="11"/>
        <v>2700.959574</v>
      </c>
      <c r="W60" s="77"/>
      <c r="X60" s="77"/>
      <c r="Y60" s="77"/>
    </row>
    <row r="61" spans="1:25" s="31" customFormat="1" ht="18" customHeight="1">
      <c r="A61" s="41"/>
      <c r="B61" s="64" t="s">
        <v>29</v>
      </c>
      <c r="C61" s="74"/>
      <c r="D61" s="63"/>
      <c r="E61" s="87">
        <v>210000000</v>
      </c>
      <c r="F61" s="83">
        <v>3000000</v>
      </c>
      <c r="G61" s="83"/>
      <c r="H61" s="83">
        <v>8000000</v>
      </c>
      <c r="I61" s="83"/>
      <c r="J61" s="83"/>
      <c r="K61" s="83"/>
      <c r="L61" s="83"/>
      <c r="M61" s="83">
        <v>8000000</v>
      </c>
      <c r="N61" s="135"/>
      <c r="O61" s="68"/>
      <c r="P61" s="68"/>
      <c r="Q61" s="68"/>
      <c r="R61" s="68"/>
      <c r="S61" s="68"/>
      <c r="T61" s="206">
        <v>15000</v>
      </c>
      <c r="U61" s="206">
        <f t="shared" si="10"/>
        <v>15150</v>
      </c>
      <c r="V61" s="206">
        <f t="shared" si="11"/>
        <v>15301.5</v>
      </c>
      <c r="W61" s="77">
        <v>24189162</v>
      </c>
      <c r="X61" s="77">
        <f t="shared" si="12"/>
        <v>24624566.916</v>
      </c>
      <c r="Y61" s="77">
        <f t="shared" si="12"/>
        <v>25067809.120488003</v>
      </c>
    </row>
    <row r="62" spans="1:25" s="31" customFormat="1" ht="16.5" customHeight="1">
      <c r="A62" s="41"/>
      <c r="B62" s="64" t="s">
        <v>30</v>
      </c>
      <c r="C62" s="74"/>
      <c r="D62" s="63"/>
      <c r="E62" s="87">
        <v>15000000</v>
      </c>
      <c r="F62" s="83"/>
      <c r="G62" s="83"/>
      <c r="H62" s="83">
        <v>750000</v>
      </c>
      <c r="I62" s="140"/>
      <c r="J62" s="140"/>
      <c r="K62" s="83"/>
      <c r="L62" s="83"/>
      <c r="M62" s="83"/>
      <c r="N62" s="135"/>
      <c r="O62" s="68"/>
      <c r="P62" s="68"/>
      <c r="Q62" s="68"/>
      <c r="R62" s="68"/>
      <c r="S62" s="68"/>
      <c r="T62" s="206">
        <f>220073.01+9000</f>
        <v>229073.01</v>
      </c>
      <c r="U62" s="206">
        <f t="shared" si="10"/>
        <v>231363.74010000002</v>
      </c>
      <c r="V62" s="206">
        <f t="shared" si="11"/>
        <v>233677.37750100004</v>
      </c>
      <c r="W62" s="77">
        <v>192362560</v>
      </c>
      <c r="X62" s="77">
        <f t="shared" si="12"/>
        <v>195825086.08</v>
      </c>
      <c r="Y62" s="77">
        <f t="shared" si="12"/>
        <v>199349937.62944</v>
      </c>
    </row>
    <row r="63" spans="1:25" s="31" customFormat="1" ht="19.5" customHeight="1">
      <c r="A63" s="57" t="s">
        <v>31</v>
      </c>
      <c r="B63" s="141"/>
      <c r="C63" s="142"/>
      <c r="D63" s="143"/>
      <c r="E63" s="87">
        <v>35000000</v>
      </c>
      <c r="F63" s="83">
        <v>500000</v>
      </c>
      <c r="G63" s="83">
        <v>2750000</v>
      </c>
      <c r="H63" s="83">
        <v>4500000</v>
      </c>
      <c r="I63" s="83">
        <v>3885000</v>
      </c>
      <c r="J63" s="82">
        <v>3000000</v>
      </c>
      <c r="K63" s="83"/>
      <c r="L63" s="83"/>
      <c r="M63" s="83">
        <v>4000000</v>
      </c>
      <c r="N63" s="135">
        <v>9000000</v>
      </c>
      <c r="O63" s="68"/>
      <c r="P63" s="68">
        <v>2900000</v>
      </c>
      <c r="Q63" s="68"/>
      <c r="R63" s="68"/>
      <c r="S63" s="68"/>
      <c r="T63" s="207">
        <f aca="true" t="shared" si="13" ref="T63:Y63">SUM(T64:T114)</f>
        <v>4437149.39</v>
      </c>
      <c r="U63" s="207">
        <f t="shared" si="13"/>
        <v>4480637.238700001</v>
      </c>
      <c r="V63" s="207">
        <f t="shared" si="13"/>
        <v>4524559.965887001</v>
      </c>
      <c r="W63" s="132">
        <f t="shared" si="13"/>
        <v>3155996143</v>
      </c>
      <c r="X63" s="132">
        <f t="shared" si="13"/>
        <v>3165316020.6979995</v>
      </c>
      <c r="Y63" s="132">
        <f t="shared" si="13"/>
        <v>3222291709.0705643</v>
      </c>
    </row>
    <row r="64" spans="1:25" s="31" customFormat="1" ht="18" customHeight="1">
      <c r="A64" s="41"/>
      <c r="B64" s="64" t="s">
        <v>96</v>
      </c>
      <c r="C64" s="74"/>
      <c r="D64" s="63"/>
      <c r="E64" s="144">
        <v>200000</v>
      </c>
      <c r="F64" s="83">
        <v>200000</v>
      </c>
      <c r="G64" s="83">
        <v>200000</v>
      </c>
      <c r="H64" s="83">
        <v>200000</v>
      </c>
      <c r="I64" s="83">
        <v>200000</v>
      </c>
      <c r="J64" s="83">
        <v>200000</v>
      </c>
      <c r="K64" s="83">
        <v>200000</v>
      </c>
      <c r="L64" s="83">
        <v>200000</v>
      </c>
      <c r="M64" s="83">
        <v>200000</v>
      </c>
      <c r="N64" s="135">
        <v>200000</v>
      </c>
      <c r="O64" s="60">
        <v>200000</v>
      </c>
      <c r="P64" s="68">
        <v>200000</v>
      </c>
      <c r="Q64" s="68"/>
      <c r="R64" s="68"/>
      <c r="S64" s="68"/>
      <c r="T64" s="206">
        <f>15000+11000</f>
        <v>26000</v>
      </c>
      <c r="U64" s="206">
        <f aca="true" t="shared" si="14" ref="U64:V69">T64*1.01</f>
        <v>26260</v>
      </c>
      <c r="V64" s="206">
        <f t="shared" si="14"/>
        <v>26522.6</v>
      </c>
      <c r="W64" s="77">
        <f>1130057+4138834+3500000-3500000</f>
        <v>5268891</v>
      </c>
      <c r="X64" s="77">
        <f t="shared" si="12"/>
        <v>5363731.038</v>
      </c>
      <c r="Y64" s="77">
        <f t="shared" si="12"/>
        <v>5460278.196684</v>
      </c>
    </row>
    <row r="65" spans="1:25" s="31" customFormat="1" ht="16.5" customHeight="1">
      <c r="A65" s="41"/>
      <c r="B65" s="96" t="s">
        <v>32</v>
      </c>
      <c r="C65" s="97"/>
      <c r="D65" s="85"/>
      <c r="E65" s="81">
        <v>88000000</v>
      </c>
      <c r="F65" s="145"/>
      <c r="G65" s="82">
        <v>4200000</v>
      </c>
      <c r="H65" s="83">
        <v>5000000</v>
      </c>
      <c r="I65" s="82">
        <v>1000000</v>
      </c>
      <c r="J65" s="82">
        <v>1000000</v>
      </c>
      <c r="K65" s="82"/>
      <c r="L65" s="82"/>
      <c r="M65" s="146">
        <v>40000000</v>
      </c>
      <c r="N65" s="147">
        <v>30000000</v>
      </c>
      <c r="O65" s="67"/>
      <c r="P65" s="68">
        <v>27000000</v>
      </c>
      <c r="Q65" s="68"/>
      <c r="R65" s="68"/>
      <c r="S65" s="68"/>
      <c r="T65" s="206">
        <f>110779.84+3000</f>
        <v>113779.84</v>
      </c>
      <c r="U65" s="206">
        <f t="shared" si="14"/>
        <v>114917.6384</v>
      </c>
      <c r="V65" s="206">
        <f t="shared" si="14"/>
        <v>116066.814784</v>
      </c>
      <c r="W65" s="77">
        <v>117278194</v>
      </c>
      <c r="X65" s="77">
        <f t="shared" si="12"/>
        <v>119389201.492</v>
      </c>
      <c r="Y65" s="77">
        <f t="shared" si="12"/>
        <v>121538207.118856</v>
      </c>
    </row>
    <row r="66" spans="1:25" s="31" customFormat="1" ht="15.75" customHeight="1">
      <c r="A66" s="41"/>
      <c r="B66" s="64" t="s">
        <v>139</v>
      </c>
      <c r="C66" s="74"/>
      <c r="D66" s="63"/>
      <c r="E66" s="144">
        <v>25000000</v>
      </c>
      <c r="F66" s="83">
        <v>500000</v>
      </c>
      <c r="G66" s="83">
        <v>800000</v>
      </c>
      <c r="H66" s="83">
        <v>1800000</v>
      </c>
      <c r="I66" s="83">
        <v>350000</v>
      </c>
      <c r="J66" s="140">
        <v>1000000</v>
      </c>
      <c r="K66" s="83"/>
      <c r="L66" s="83"/>
      <c r="M66" s="83">
        <v>1000000</v>
      </c>
      <c r="N66" s="135">
        <v>500000</v>
      </c>
      <c r="O66" s="60"/>
      <c r="P66" s="68">
        <v>800000</v>
      </c>
      <c r="Q66" s="68"/>
      <c r="R66" s="68"/>
      <c r="S66" s="68"/>
      <c r="T66" s="206">
        <v>34715.98</v>
      </c>
      <c r="U66" s="206">
        <f t="shared" si="14"/>
        <v>35063.139800000004</v>
      </c>
      <c r="V66" s="206">
        <f t="shared" si="14"/>
        <v>35413.771198</v>
      </c>
      <c r="W66" s="77">
        <v>97028419</v>
      </c>
      <c r="X66" s="77">
        <f t="shared" si="12"/>
        <v>98774930.542</v>
      </c>
      <c r="Y66" s="77">
        <f t="shared" si="12"/>
        <v>100552879.291756</v>
      </c>
    </row>
    <row r="67" spans="1:25" s="31" customFormat="1" ht="15.75" customHeight="1">
      <c r="A67" s="41"/>
      <c r="B67" s="64" t="s">
        <v>136</v>
      </c>
      <c r="C67" s="74" t="s">
        <v>138</v>
      </c>
      <c r="D67" s="63"/>
      <c r="E67" s="144"/>
      <c r="F67" s="83"/>
      <c r="G67" s="83"/>
      <c r="H67" s="83"/>
      <c r="I67" s="83"/>
      <c r="J67" s="140"/>
      <c r="K67" s="83"/>
      <c r="L67" s="83"/>
      <c r="M67" s="83"/>
      <c r="N67" s="135"/>
      <c r="O67" s="63"/>
      <c r="P67" s="63"/>
      <c r="Q67" s="63"/>
      <c r="R67" s="63"/>
      <c r="S67" s="63"/>
      <c r="T67" s="206">
        <v>6036.83</v>
      </c>
      <c r="U67" s="206">
        <f t="shared" si="14"/>
        <v>6097.1983</v>
      </c>
      <c r="V67" s="206">
        <f t="shared" si="14"/>
        <v>6158.170283</v>
      </c>
      <c r="W67" s="77"/>
      <c r="X67" s="77"/>
      <c r="Y67" s="77"/>
    </row>
    <row r="68" spans="1:25" s="31" customFormat="1" ht="15.75" customHeight="1">
      <c r="A68" s="41"/>
      <c r="B68" s="64" t="s">
        <v>140</v>
      </c>
      <c r="C68" s="74"/>
      <c r="D68" s="63"/>
      <c r="E68" s="144">
        <f>32744250+3000000</f>
        <v>35744250</v>
      </c>
      <c r="F68" s="83">
        <v>4851000</v>
      </c>
      <c r="G68" s="83">
        <v>2182950</v>
      </c>
      <c r="H68" s="83">
        <v>2129400</v>
      </c>
      <c r="I68" s="83">
        <v>10914750</v>
      </c>
      <c r="J68" s="83">
        <v>14553000</v>
      </c>
      <c r="K68" s="83">
        <v>727650</v>
      </c>
      <c r="L68" s="83">
        <v>693000</v>
      </c>
      <c r="M68" s="83">
        <v>2079000</v>
      </c>
      <c r="N68" s="135">
        <v>1000000</v>
      </c>
      <c r="O68" s="135">
        <v>1000000</v>
      </c>
      <c r="P68" s="135">
        <v>1000000</v>
      </c>
      <c r="Q68" s="135"/>
      <c r="R68" s="135"/>
      <c r="S68" s="135"/>
      <c r="T68" s="206">
        <f>22717.95+5000</f>
        <v>27717.95</v>
      </c>
      <c r="U68" s="206">
        <f t="shared" si="14"/>
        <v>27995.129500000003</v>
      </c>
      <c r="V68" s="206">
        <f t="shared" si="14"/>
        <v>28275.080795</v>
      </c>
      <c r="W68" s="77">
        <v>21480415</v>
      </c>
      <c r="X68" s="77">
        <f aca="true" t="shared" si="15" ref="X68:Y72">W68*1.018</f>
        <v>21867062.47</v>
      </c>
      <c r="Y68" s="77">
        <f t="shared" si="15"/>
        <v>22260669.59446</v>
      </c>
    </row>
    <row r="69" spans="1:25" s="31" customFormat="1" ht="15.75" customHeight="1">
      <c r="A69" s="41"/>
      <c r="B69" s="64" t="s">
        <v>141</v>
      </c>
      <c r="C69" s="74"/>
      <c r="D69" s="148"/>
      <c r="E69" s="87">
        <f>25573000-2200000</f>
        <v>23373000</v>
      </c>
      <c r="F69" s="83">
        <v>4350000</v>
      </c>
      <c r="G69" s="83">
        <v>1750000</v>
      </c>
      <c r="H69" s="83">
        <v>1975000</v>
      </c>
      <c r="I69" s="83">
        <f>8134000-3000000</f>
        <v>5134000</v>
      </c>
      <c r="J69" s="83">
        <f>11900000-3000000</f>
        <v>8900000</v>
      </c>
      <c r="K69" s="83">
        <v>592000</v>
      </c>
      <c r="L69" s="83">
        <v>590000</v>
      </c>
      <c r="M69" s="83">
        <v>1584000</v>
      </c>
      <c r="N69" s="83">
        <v>592000</v>
      </c>
      <c r="O69" s="83">
        <v>592000</v>
      </c>
      <c r="P69" s="83">
        <v>592000</v>
      </c>
      <c r="Q69" s="83"/>
      <c r="R69" s="83"/>
      <c r="S69" s="83"/>
      <c r="T69" s="206">
        <v>50883.72</v>
      </c>
      <c r="U69" s="206">
        <f t="shared" si="14"/>
        <v>51392.5572</v>
      </c>
      <c r="V69" s="206">
        <f t="shared" si="14"/>
        <v>51906.482772</v>
      </c>
      <c r="W69" s="77">
        <f>29343011+500000+1000000+334750+643750+953486</f>
        <v>32774997</v>
      </c>
      <c r="X69" s="77">
        <f t="shared" si="15"/>
        <v>33364946.946000002</v>
      </c>
      <c r="Y69" s="77">
        <f t="shared" si="15"/>
        <v>33965515.991028</v>
      </c>
    </row>
    <row r="70" spans="1:25" s="31" customFormat="1" ht="15.75" customHeight="1">
      <c r="A70" s="41"/>
      <c r="B70" s="64" t="s">
        <v>33</v>
      </c>
      <c r="C70" s="74"/>
      <c r="D70" s="63"/>
      <c r="E70" s="87">
        <v>55000000</v>
      </c>
      <c r="F70" s="83">
        <v>2000000</v>
      </c>
      <c r="G70" s="83"/>
      <c r="H70" s="83"/>
      <c r="I70" s="83">
        <v>1500000</v>
      </c>
      <c r="J70" s="83">
        <v>1000000</v>
      </c>
      <c r="K70" s="83"/>
      <c r="L70" s="83"/>
      <c r="M70" s="83"/>
      <c r="N70" s="83"/>
      <c r="O70" s="83">
        <v>500000</v>
      </c>
      <c r="P70" s="83"/>
      <c r="Q70" s="83"/>
      <c r="R70" s="83"/>
      <c r="S70" s="83"/>
      <c r="T70" s="206">
        <f>80440.4+7924.12</f>
        <v>88364.51999999999</v>
      </c>
      <c r="U70" s="206">
        <f>T70</f>
        <v>88364.51999999999</v>
      </c>
      <c r="V70" s="206">
        <f>U70</f>
        <v>88364.51999999999</v>
      </c>
      <c r="W70" s="77">
        <v>181458400</v>
      </c>
      <c r="X70" s="77">
        <f t="shared" si="15"/>
        <v>184724651.2</v>
      </c>
      <c r="Y70" s="77">
        <f t="shared" si="15"/>
        <v>188049694.92159998</v>
      </c>
    </row>
    <row r="71" spans="1:25" s="31" customFormat="1" ht="15.75" customHeight="1">
      <c r="A71" s="41"/>
      <c r="B71" s="64" t="s">
        <v>34</v>
      </c>
      <c r="C71" s="74"/>
      <c r="D71" s="63"/>
      <c r="E71" s="149">
        <f>48800000+6600000+2200000</f>
        <v>57600000</v>
      </c>
      <c r="F71" s="150">
        <v>2200000</v>
      </c>
      <c r="G71" s="150">
        <v>2200000</v>
      </c>
      <c r="H71" s="150">
        <v>2200000</v>
      </c>
      <c r="I71" s="151">
        <f>11350033-5000000</f>
        <v>6350033</v>
      </c>
      <c r="J71" s="152">
        <f>12430524-7000000</f>
        <v>5430524</v>
      </c>
      <c r="K71" s="83">
        <v>2200000</v>
      </c>
      <c r="L71" s="83"/>
      <c r="M71" s="83">
        <v>2200000</v>
      </c>
      <c r="N71" s="83">
        <v>2200000</v>
      </c>
      <c r="O71" s="83">
        <v>2200000</v>
      </c>
      <c r="P71" s="83">
        <v>2200000</v>
      </c>
      <c r="Q71" s="83"/>
      <c r="R71" s="83"/>
      <c r="S71" s="83"/>
      <c r="T71" s="206">
        <v>30484.58</v>
      </c>
      <c r="U71" s="206">
        <f aca="true" t="shared" si="16" ref="U71:V90">T71*1.01</f>
        <v>30789.4258</v>
      </c>
      <c r="V71" s="206">
        <f t="shared" si="16"/>
        <v>31097.320058</v>
      </c>
      <c r="W71" s="77">
        <v>67692000</v>
      </c>
      <c r="X71" s="77">
        <f t="shared" si="15"/>
        <v>68910456</v>
      </c>
      <c r="Y71" s="77">
        <f t="shared" si="15"/>
        <v>70150844.208</v>
      </c>
    </row>
    <row r="72" spans="1:25" s="31" customFormat="1" ht="15.75" customHeight="1">
      <c r="A72" s="41"/>
      <c r="B72" s="64" t="s">
        <v>97</v>
      </c>
      <c r="C72" s="74"/>
      <c r="D72" s="63"/>
      <c r="E72" s="87">
        <f>(47250000-5000000)-1500000</f>
        <v>40750000</v>
      </c>
      <c r="F72" s="83"/>
      <c r="G72" s="83">
        <v>5000000</v>
      </c>
      <c r="H72" s="83"/>
      <c r="I72" s="83"/>
      <c r="J72" s="83"/>
      <c r="K72" s="83"/>
      <c r="L72" s="83"/>
      <c r="M72" s="83"/>
      <c r="N72" s="135"/>
      <c r="O72" s="60"/>
      <c r="P72" s="68">
        <v>1500000</v>
      </c>
      <c r="Q72" s="68"/>
      <c r="R72" s="68"/>
      <c r="S72" s="68"/>
      <c r="T72" s="206">
        <v>31861</v>
      </c>
      <c r="U72" s="206">
        <f t="shared" si="16"/>
        <v>32179.61</v>
      </c>
      <c r="V72" s="206">
        <f t="shared" si="16"/>
        <v>32501.4061</v>
      </c>
      <c r="W72" s="77">
        <f>36806888+2349376-20000000</f>
        <v>19156264</v>
      </c>
      <c r="X72" s="77">
        <f t="shared" si="15"/>
        <v>19501076.752</v>
      </c>
      <c r="Y72" s="77">
        <f t="shared" si="15"/>
        <v>19852096.133536</v>
      </c>
    </row>
    <row r="73" spans="1:25" s="31" customFormat="1" ht="15.75" customHeight="1">
      <c r="A73" s="41"/>
      <c r="B73" s="64" t="s">
        <v>119</v>
      </c>
      <c r="C73" s="74"/>
      <c r="D73" s="63"/>
      <c r="E73" s="87"/>
      <c r="F73" s="83"/>
      <c r="G73" s="83"/>
      <c r="H73" s="83"/>
      <c r="I73" s="83"/>
      <c r="J73" s="83"/>
      <c r="K73" s="83"/>
      <c r="L73" s="83"/>
      <c r="M73" s="83"/>
      <c r="N73" s="135"/>
      <c r="O73" s="60"/>
      <c r="P73" s="68"/>
      <c r="Q73" s="68"/>
      <c r="R73" s="68"/>
      <c r="S73" s="68"/>
      <c r="T73" s="206">
        <v>10965.55</v>
      </c>
      <c r="U73" s="206">
        <f t="shared" si="16"/>
        <v>11075.2055</v>
      </c>
      <c r="V73" s="206">
        <f t="shared" si="16"/>
        <v>11185.957555</v>
      </c>
      <c r="W73" s="77"/>
      <c r="X73" s="77"/>
      <c r="Y73" s="77"/>
    </row>
    <row r="74" spans="1:25" s="31" customFormat="1" ht="15.75" customHeight="1">
      <c r="A74" s="41"/>
      <c r="B74" s="64" t="s">
        <v>120</v>
      </c>
      <c r="C74" s="74"/>
      <c r="D74" s="63"/>
      <c r="E74" s="87"/>
      <c r="F74" s="83"/>
      <c r="G74" s="83"/>
      <c r="H74" s="83"/>
      <c r="I74" s="83"/>
      <c r="J74" s="83"/>
      <c r="K74" s="83"/>
      <c r="L74" s="83"/>
      <c r="M74" s="83"/>
      <c r="N74" s="135"/>
      <c r="O74" s="60"/>
      <c r="P74" s="68"/>
      <c r="Q74" s="68"/>
      <c r="R74" s="68"/>
      <c r="S74" s="68"/>
      <c r="T74" s="206">
        <v>2539.4</v>
      </c>
      <c r="U74" s="206">
        <f t="shared" si="16"/>
        <v>2564.7940000000003</v>
      </c>
      <c r="V74" s="206">
        <f t="shared" si="16"/>
        <v>2590.44194</v>
      </c>
      <c r="W74" s="77"/>
      <c r="X74" s="77"/>
      <c r="Y74" s="77"/>
    </row>
    <row r="75" spans="1:25" s="31" customFormat="1" ht="15.75" customHeight="1">
      <c r="A75" s="41"/>
      <c r="B75" s="64" t="s">
        <v>37</v>
      </c>
      <c r="C75" s="74"/>
      <c r="D75" s="63"/>
      <c r="E75" s="87"/>
      <c r="F75" s="83"/>
      <c r="G75" s="83"/>
      <c r="H75" s="83"/>
      <c r="I75" s="83"/>
      <c r="J75" s="83"/>
      <c r="K75" s="83"/>
      <c r="L75" s="83"/>
      <c r="M75" s="83"/>
      <c r="N75" s="135"/>
      <c r="O75" s="60"/>
      <c r="P75" s="68"/>
      <c r="Q75" s="68"/>
      <c r="R75" s="68"/>
      <c r="S75" s="68"/>
      <c r="T75" s="206">
        <f>25600.62+8252.13+3000</f>
        <v>36852.75</v>
      </c>
      <c r="U75" s="206">
        <f t="shared" si="16"/>
        <v>37221.277500000004</v>
      </c>
      <c r="V75" s="206">
        <f t="shared" si="16"/>
        <v>37593.490275000004</v>
      </c>
      <c r="W75" s="77"/>
      <c r="X75" s="77"/>
      <c r="Y75" s="77"/>
    </row>
    <row r="76" spans="1:25" s="31" customFormat="1" ht="15.75" customHeight="1">
      <c r="A76" s="41"/>
      <c r="B76" s="153" t="s">
        <v>38</v>
      </c>
      <c r="C76" s="74"/>
      <c r="D76" s="63"/>
      <c r="E76" s="87"/>
      <c r="F76" s="83"/>
      <c r="G76" s="83"/>
      <c r="H76" s="83"/>
      <c r="I76" s="83"/>
      <c r="J76" s="83"/>
      <c r="K76" s="83"/>
      <c r="L76" s="83"/>
      <c r="M76" s="83"/>
      <c r="N76" s="135"/>
      <c r="O76" s="60"/>
      <c r="P76" s="68"/>
      <c r="Q76" s="68"/>
      <c r="R76" s="68"/>
      <c r="S76" s="68"/>
      <c r="T76" s="206">
        <v>4132.45</v>
      </c>
      <c r="U76" s="206">
        <f t="shared" si="16"/>
        <v>4173.7744999999995</v>
      </c>
      <c r="V76" s="206">
        <f t="shared" si="16"/>
        <v>4215.512245</v>
      </c>
      <c r="W76" s="77"/>
      <c r="X76" s="77"/>
      <c r="Y76" s="77"/>
    </row>
    <row r="77" spans="1:25" s="31" customFormat="1" ht="15.75" customHeight="1">
      <c r="A77" s="41"/>
      <c r="B77" s="153" t="s">
        <v>142</v>
      </c>
      <c r="C77" s="74"/>
      <c r="D77" s="63"/>
      <c r="E77" s="87"/>
      <c r="F77" s="83"/>
      <c r="G77" s="83"/>
      <c r="H77" s="83"/>
      <c r="I77" s="83"/>
      <c r="J77" s="83"/>
      <c r="K77" s="83"/>
      <c r="L77" s="83"/>
      <c r="M77" s="83"/>
      <c r="N77" s="135"/>
      <c r="O77" s="60"/>
      <c r="P77" s="68"/>
      <c r="Q77" s="68"/>
      <c r="R77" s="68"/>
      <c r="S77" s="68"/>
      <c r="T77" s="206">
        <f>9716.23+9246.53+4540.75+7253.15+1000</f>
        <v>31756.660000000003</v>
      </c>
      <c r="U77" s="206">
        <f t="shared" si="16"/>
        <v>32074.226600000005</v>
      </c>
      <c r="V77" s="206">
        <f t="shared" si="16"/>
        <v>32394.968866000007</v>
      </c>
      <c r="W77" s="77"/>
      <c r="X77" s="77"/>
      <c r="Y77" s="77"/>
    </row>
    <row r="78" spans="1:25" s="31" customFormat="1" ht="15.75" customHeight="1">
      <c r="A78" s="41"/>
      <c r="B78" s="153" t="s">
        <v>183</v>
      </c>
      <c r="C78" s="74"/>
      <c r="D78" s="63"/>
      <c r="E78" s="87"/>
      <c r="F78" s="83"/>
      <c r="G78" s="83"/>
      <c r="H78" s="83"/>
      <c r="I78" s="83"/>
      <c r="J78" s="83"/>
      <c r="K78" s="83"/>
      <c r="L78" s="83"/>
      <c r="M78" s="83"/>
      <c r="N78" s="135"/>
      <c r="O78" s="60"/>
      <c r="P78" s="68"/>
      <c r="Q78" s="68"/>
      <c r="R78" s="68"/>
      <c r="S78" s="68"/>
      <c r="T78" s="206">
        <v>394.15</v>
      </c>
      <c r="U78" s="206">
        <f t="shared" si="16"/>
        <v>398.0915</v>
      </c>
      <c r="V78" s="206">
        <f t="shared" si="16"/>
        <v>402.072415</v>
      </c>
      <c r="W78" s="77"/>
      <c r="X78" s="77"/>
      <c r="Y78" s="77"/>
    </row>
    <row r="79" spans="1:25" s="31" customFormat="1" ht="15.75" customHeight="1">
      <c r="A79" s="41"/>
      <c r="B79" s="153" t="s">
        <v>39</v>
      </c>
      <c r="C79" s="74"/>
      <c r="D79" s="63"/>
      <c r="E79" s="87"/>
      <c r="F79" s="83"/>
      <c r="G79" s="83"/>
      <c r="H79" s="83"/>
      <c r="I79" s="83"/>
      <c r="J79" s="83"/>
      <c r="K79" s="83"/>
      <c r="L79" s="83"/>
      <c r="M79" s="83"/>
      <c r="N79" s="135"/>
      <c r="O79" s="60"/>
      <c r="P79" s="68"/>
      <c r="Q79" s="68"/>
      <c r="R79" s="68"/>
      <c r="S79" s="68"/>
      <c r="T79" s="206">
        <v>5000</v>
      </c>
      <c r="U79" s="206">
        <f t="shared" si="16"/>
        <v>5050</v>
      </c>
      <c r="V79" s="206">
        <f t="shared" si="16"/>
        <v>5100.5</v>
      </c>
      <c r="W79" s="77"/>
      <c r="X79" s="77"/>
      <c r="Y79" s="77"/>
    </row>
    <row r="80" spans="1:25" s="31" customFormat="1" ht="15.75" customHeight="1">
      <c r="A80" s="41"/>
      <c r="B80" s="153" t="s">
        <v>143</v>
      </c>
      <c r="C80" s="74"/>
      <c r="D80" s="63"/>
      <c r="E80" s="87"/>
      <c r="F80" s="83"/>
      <c r="G80" s="83"/>
      <c r="H80" s="83"/>
      <c r="I80" s="83"/>
      <c r="J80" s="83"/>
      <c r="K80" s="83"/>
      <c r="L80" s="83"/>
      <c r="M80" s="83"/>
      <c r="N80" s="135"/>
      <c r="O80" s="60"/>
      <c r="P80" s="68"/>
      <c r="Q80" s="68"/>
      <c r="R80" s="68"/>
      <c r="S80" s="68"/>
      <c r="T80" s="206">
        <v>691.88</v>
      </c>
      <c r="U80" s="206">
        <f t="shared" si="16"/>
        <v>698.7988</v>
      </c>
      <c r="V80" s="206">
        <f t="shared" si="16"/>
        <v>705.786788</v>
      </c>
      <c r="W80" s="77"/>
      <c r="X80" s="77"/>
      <c r="Y80" s="77"/>
    </row>
    <row r="81" spans="1:25" s="31" customFormat="1" ht="15.75" customHeight="1">
      <c r="A81" s="41"/>
      <c r="B81" s="153" t="s">
        <v>121</v>
      </c>
      <c r="C81" s="74"/>
      <c r="D81" s="63"/>
      <c r="E81" s="87"/>
      <c r="F81" s="83"/>
      <c r="G81" s="83"/>
      <c r="H81" s="83"/>
      <c r="I81" s="83"/>
      <c r="J81" s="83"/>
      <c r="K81" s="83"/>
      <c r="L81" s="83"/>
      <c r="M81" s="83"/>
      <c r="N81" s="135"/>
      <c r="O81" s="60"/>
      <c r="P81" s="68"/>
      <c r="Q81" s="68"/>
      <c r="R81" s="68"/>
      <c r="S81" s="68"/>
      <c r="T81" s="206">
        <v>2838.25</v>
      </c>
      <c r="U81" s="206">
        <f t="shared" si="16"/>
        <v>2866.6325</v>
      </c>
      <c r="V81" s="206">
        <f t="shared" si="16"/>
        <v>2895.2988250000003</v>
      </c>
      <c r="W81" s="77"/>
      <c r="X81" s="77"/>
      <c r="Y81" s="77"/>
    </row>
    <row r="82" spans="1:25" s="31" customFormat="1" ht="15.75" customHeight="1">
      <c r="A82" s="41"/>
      <c r="B82" s="153" t="s">
        <v>184</v>
      </c>
      <c r="C82" s="74"/>
      <c r="D82" s="63"/>
      <c r="E82" s="87"/>
      <c r="F82" s="83"/>
      <c r="G82" s="83"/>
      <c r="H82" s="83"/>
      <c r="I82" s="83"/>
      <c r="J82" s="83"/>
      <c r="K82" s="83"/>
      <c r="L82" s="83"/>
      <c r="M82" s="83"/>
      <c r="N82" s="135"/>
      <c r="O82" s="60"/>
      <c r="P82" s="68"/>
      <c r="Q82" s="68"/>
      <c r="R82" s="68"/>
      <c r="S82" s="68"/>
      <c r="T82" s="206">
        <v>13000</v>
      </c>
      <c r="U82" s="206">
        <f t="shared" si="16"/>
        <v>13130</v>
      </c>
      <c r="V82" s="206">
        <f t="shared" si="16"/>
        <v>13261.3</v>
      </c>
      <c r="W82" s="77"/>
      <c r="X82" s="77"/>
      <c r="Y82" s="77"/>
    </row>
    <row r="83" spans="1:25" s="31" customFormat="1" ht="15.75" customHeight="1">
      <c r="A83" s="41"/>
      <c r="B83" s="153" t="s">
        <v>185</v>
      </c>
      <c r="C83" s="74"/>
      <c r="D83" s="63"/>
      <c r="E83" s="87"/>
      <c r="F83" s="83"/>
      <c r="G83" s="83"/>
      <c r="H83" s="83"/>
      <c r="I83" s="83"/>
      <c r="J83" s="83"/>
      <c r="K83" s="83"/>
      <c r="L83" s="83"/>
      <c r="M83" s="83"/>
      <c r="N83" s="135"/>
      <c r="O83" s="60"/>
      <c r="P83" s="68"/>
      <c r="Q83" s="68"/>
      <c r="R83" s="68"/>
      <c r="S83" s="68"/>
      <c r="T83" s="206">
        <v>13000</v>
      </c>
      <c r="U83" s="206">
        <f t="shared" si="16"/>
        <v>13130</v>
      </c>
      <c r="V83" s="206">
        <f t="shared" si="16"/>
        <v>13261.3</v>
      </c>
      <c r="W83" s="77"/>
      <c r="X83" s="77"/>
      <c r="Y83" s="77"/>
    </row>
    <row r="84" spans="1:25" s="31" customFormat="1" ht="15.75" customHeight="1">
      <c r="A84" s="41"/>
      <c r="B84" s="64" t="s">
        <v>186</v>
      </c>
      <c r="C84" s="74"/>
      <c r="D84" s="63"/>
      <c r="E84" s="87"/>
      <c r="F84" s="83"/>
      <c r="G84" s="83"/>
      <c r="H84" s="83"/>
      <c r="I84" s="83"/>
      <c r="J84" s="83"/>
      <c r="K84" s="83"/>
      <c r="L84" s="83"/>
      <c r="M84" s="83"/>
      <c r="N84" s="135"/>
      <c r="O84" s="60"/>
      <c r="P84" s="68"/>
      <c r="Q84" s="68"/>
      <c r="R84" s="68"/>
      <c r="S84" s="68"/>
      <c r="T84" s="206">
        <v>1000</v>
      </c>
      <c r="U84" s="206">
        <f t="shared" si="16"/>
        <v>1010</v>
      </c>
      <c r="V84" s="206">
        <f t="shared" si="16"/>
        <v>1020.1</v>
      </c>
      <c r="W84" s="77"/>
      <c r="X84" s="77"/>
      <c r="Y84" s="77"/>
    </row>
    <row r="85" spans="1:25" s="31" customFormat="1" ht="15.75" customHeight="1">
      <c r="A85" s="41"/>
      <c r="B85" s="64" t="s">
        <v>98</v>
      </c>
      <c r="C85" s="74"/>
      <c r="D85" s="63"/>
      <c r="E85" s="87"/>
      <c r="F85" s="83"/>
      <c r="G85" s="83"/>
      <c r="H85" s="83"/>
      <c r="I85" s="83"/>
      <c r="J85" s="83"/>
      <c r="K85" s="83"/>
      <c r="L85" s="83"/>
      <c r="M85" s="83"/>
      <c r="N85" s="135"/>
      <c r="O85" s="60"/>
      <c r="P85" s="68"/>
      <c r="Q85" s="68"/>
      <c r="R85" s="68"/>
      <c r="S85" s="68"/>
      <c r="T85" s="206">
        <v>1000</v>
      </c>
      <c r="U85" s="206">
        <f t="shared" si="16"/>
        <v>1010</v>
      </c>
      <c r="V85" s="206">
        <f t="shared" si="16"/>
        <v>1020.1</v>
      </c>
      <c r="W85" s="77"/>
      <c r="X85" s="77"/>
      <c r="Y85" s="77"/>
    </row>
    <row r="86" spans="1:25" s="31" customFormat="1" ht="15.75" customHeight="1">
      <c r="A86" s="41"/>
      <c r="B86" s="153" t="s">
        <v>144</v>
      </c>
      <c r="C86" s="74"/>
      <c r="D86" s="63"/>
      <c r="E86" s="87"/>
      <c r="F86" s="83"/>
      <c r="G86" s="83"/>
      <c r="H86" s="83"/>
      <c r="I86" s="83"/>
      <c r="J86" s="83"/>
      <c r="K86" s="83"/>
      <c r="L86" s="83"/>
      <c r="M86" s="83"/>
      <c r="N86" s="135"/>
      <c r="O86" s="60"/>
      <c r="P86" s="68"/>
      <c r="Q86" s="68"/>
      <c r="R86" s="68"/>
      <c r="S86" s="68"/>
      <c r="T86" s="206">
        <f>8149.16+14000</f>
        <v>22149.16</v>
      </c>
      <c r="U86" s="206">
        <f t="shared" si="16"/>
        <v>22370.6516</v>
      </c>
      <c r="V86" s="206">
        <f t="shared" si="16"/>
        <v>22594.358116000003</v>
      </c>
      <c r="W86" s="77"/>
      <c r="X86" s="77"/>
      <c r="Y86" s="77"/>
    </row>
    <row r="87" spans="1:25" s="31" customFormat="1" ht="15.75" customHeight="1">
      <c r="A87" s="41"/>
      <c r="B87" s="153" t="s">
        <v>103</v>
      </c>
      <c r="C87" s="74"/>
      <c r="D87" s="63"/>
      <c r="E87" s="87"/>
      <c r="F87" s="83"/>
      <c r="G87" s="83"/>
      <c r="H87" s="83"/>
      <c r="I87" s="83"/>
      <c r="J87" s="83"/>
      <c r="K87" s="83"/>
      <c r="L87" s="83"/>
      <c r="M87" s="83"/>
      <c r="N87" s="135"/>
      <c r="O87" s="60"/>
      <c r="P87" s="68"/>
      <c r="Q87" s="68"/>
      <c r="R87" s="68"/>
      <c r="S87" s="68"/>
      <c r="T87" s="206">
        <v>1845</v>
      </c>
      <c r="U87" s="206">
        <f t="shared" si="16"/>
        <v>1863.45</v>
      </c>
      <c r="V87" s="206">
        <f t="shared" si="16"/>
        <v>1882.0845000000002</v>
      </c>
      <c r="W87" s="77"/>
      <c r="X87" s="77"/>
      <c r="Y87" s="77"/>
    </row>
    <row r="88" spans="1:25" s="31" customFormat="1" ht="15.75" customHeight="1">
      <c r="A88" s="41"/>
      <c r="B88" s="153" t="s">
        <v>122</v>
      </c>
      <c r="C88" s="74"/>
      <c r="D88" s="63"/>
      <c r="E88" s="87"/>
      <c r="F88" s="83"/>
      <c r="G88" s="83"/>
      <c r="H88" s="83"/>
      <c r="I88" s="83"/>
      <c r="J88" s="83"/>
      <c r="K88" s="83"/>
      <c r="L88" s="83"/>
      <c r="M88" s="83"/>
      <c r="N88" s="135"/>
      <c r="O88" s="60"/>
      <c r="P88" s="68"/>
      <c r="Q88" s="68"/>
      <c r="R88" s="68"/>
      <c r="S88" s="68"/>
      <c r="T88" s="206">
        <v>1000</v>
      </c>
      <c r="U88" s="206">
        <f t="shared" si="16"/>
        <v>1010</v>
      </c>
      <c r="V88" s="206">
        <f t="shared" si="16"/>
        <v>1020.1</v>
      </c>
      <c r="W88" s="77"/>
      <c r="X88" s="77"/>
      <c r="Y88" s="77"/>
    </row>
    <row r="89" spans="1:25" s="31" customFormat="1" ht="15.75" customHeight="1">
      <c r="A89" s="41"/>
      <c r="B89" s="153" t="s">
        <v>145</v>
      </c>
      <c r="C89" s="208"/>
      <c r="D89" s="98"/>
      <c r="E89" s="87"/>
      <c r="F89" s="83"/>
      <c r="G89" s="83"/>
      <c r="H89" s="83"/>
      <c r="I89" s="83"/>
      <c r="J89" s="83"/>
      <c r="K89" s="83"/>
      <c r="L89" s="83"/>
      <c r="M89" s="83"/>
      <c r="N89" s="135"/>
      <c r="O89" s="60"/>
      <c r="P89" s="68"/>
      <c r="Q89" s="68"/>
      <c r="R89" s="68"/>
      <c r="S89" s="68"/>
      <c r="T89" s="206">
        <v>18000</v>
      </c>
      <c r="U89" s="206">
        <f t="shared" si="16"/>
        <v>18180</v>
      </c>
      <c r="V89" s="206">
        <f t="shared" si="16"/>
        <v>18361.8</v>
      </c>
      <c r="W89" s="77"/>
      <c r="X89" s="77"/>
      <c r="Y89" s="77"/>
    </row>
    <row r="90" spans="1:25" s="31" customFormat="1" ht="15.75" customHeight="1">
      <c r="A90" s="41"/>
      <c r="B90" s="64" t="s">
        <v>146</v>
      </c>
      <c r="C90" s="74"/>
      <c r="D90" s="63"/>
      <c r="E90" s="87"/>
      <c r="F90" s="83"/>
      <c r="G90" s="83"/>
      <c r="H90" s="83"/>
      <c r="I90" s="83"/>
      <c r="J90" s="83"/>
      <c r="K90" s="83"/>
      <c r="L90" s="83"/>
      <c r="M90" s="83"/>
      <c r="N90" s="135"/>
      <c r="O90" s="60"/>
      <c r="P90" s="68"/>
      <c r="Q90" s="68"/>
      <c r="R90" s="68"/>
      <c r="S90" s="68"/>
      <c r="T90" s="206">
        <v>10000</v>
      </c>
      <c r="U90" s="206">
        <f t="shared" si="16"/>
        <v>10100</v>
      </c>
      <c r="V90" s="206">
        <f t="shared" si="16"/>
        <v>10201</v>
      </c>
      <c r="W90" s="77"/>
      <c r="X90" s="77"/>
      <c r="Y90" s="77"/>
    </row>
    <row r="91" spans="1:25" s="31" customFormat="1" ht="15.75" customHeight="1">
      <c r="A91" s="41"/>
      <c r="B91" s="64" t="s">
        <v>35</v>
      </c>
      <c r="C91" s="74"/>
      <c r="D91" s="63"/>
      <c r="E91" s="87">
        <v>80000000</v>
      </c>
      <c r="F91" s="83"/>
      <c r="G91" s="83">
        <v>14000000</v>
      </c>
      <c r="H91" s="83">
        <v>5500000</v>
      </c>
      <c r="I91" s="83"/>
      <c r="J91" s="83"/>
      <c r="K91" s="83"/>
      <c r="L91" s="83"/>
      <c r="M91" s="83"/>
      <c r="N91" s="135"/>
      <c r="O91" s="60"/>
      <c r="P91" s="68">
        <v>5000000</v>
      </c>
      <c r="Q91" s="68"/>
      <c r="R91" s="68"/>
      <c r="S91" s="68"/>
      <c r="T91" s="206">
        <v>50000</v>
      </c>
      <c r="U91" s="206">
        <f aca="true" t="shared" si="17" ref="U91:V110">T91*1.01</f>
        <v>50500</v>
      </c>
      <c r="V91" s="206">
        <f t="shared" si="17"/>
        <v>51005</v>
      </c>
      <c r="W91" s="77">
        <f>93000000+13000000+3000000+7500000</f>
        <v>116500000</v>
      </c>
      <c r="X91" s="77">
        <f>W91*1.018</f>
        <v>118597000</v>
      </c>
      <c r="Y91" s="77">
        <f>X91*1.018</f>
        <v>120731746</v>
      </c>
    </row>
    <row r="92" spans="1:25" s="31" customFormat="1" ht="15.75" customHeight="1">
      <c r="A92" s="41"/>
      <c r="B92" s="64" t="s">
        <v>147</v>
      </c>
      <c r="C92" s="74"/>
      <c r="D92" s="63"/>
      <c r="E92" s="87"/>
      <c r="F92" s="83"/>
      <c r="G92" s="83"/>
      <c r="H92" s="83"/>
      <c r="I92" s="83"/>
      <c r="J92" s="83"/>
      <c r="K92" s="83"/>
      <c r="L92" s="83"/>
      <c r="M92" s="83"/>
      <c r="N92" s="135"/>
      <c r="O92" s="60"/>
      <c r="P92" s="68"/>
      <c r="Q92" s="68"/>
      <c r="R92" s="68"/>
      <c r="S92" s="68"/>
      <c r="T92" s="206">
        <v>16000</v>
      </c>
      <c r="U92" s="206">
        <f t="shared" si="17"/>
        <v>16160</v>
      </c>
      <c r="V92" s="206">
        <f t="shared" si="17"/>
        <v>16321.6</v>
      </c>
      <c r="W92" s="77"/>
      <c r="X92" s="77"/>
      <c r="Y92" s="77"/>
    </row>
    <row r="93" spans="1:25" s="31" customFormat="1" ht="15.75" customHeight="1">
      <c r="A93" s="41"/>
      <c r="B93" s="64" t="s">
        <v>161</v>
      </c>
      <c r="C93" s="74"/>
      <c r="D93" s="63"/>
      <c r="E93" s="87"/>
      <c r="F93" s="83"/>
      <c r="G93" s="83"/>
      <c r="H93" s="83"/>
      <c r="I93" s="83"/>
      <c r="J93" s="83"/>
      <c r="K93" s="83"/>
      <c r="L93" s="83"/>
      <c r="M93" s="83"/>
      <c r="N93" s="135"/>
      <c r="O93" s="60"/>
      <c r="P93" s="68"/>
      <c r="Q93" s="68"/>
      <c r="R93" s="68"/>
      <c r="S93" s="68"/>
      <c r="T93" s="206">
        <v>120000</v>
      </c>
      <c r="U93" s="206">
        <f t="shared" si="17"/>
        <v>121200</v>
      </c>
      <c r="V93" s="206">
        <f t="shared" si="17"/>
        <v>122412</v>
      </c>
      <c r="W93" s="77"/>
      <c r="X93" s="77"/>
      <c r="Y93" s="77"/>
    </row>
    <row r="94" spans="1:25" s="31" customFormat="1" ht="15.75" customHeight="1">
      <c r="A94" s="41"/>
      <c r="B94" s="64" t="s">
        <v>162</v>
      </c>
      <c r="C94" s="74"/>
      <c r="D94" s="63"/>
      <c r="E94" s="87"/>
      <c r="F94" s="83"/>
      <c r="G94" s="83"/>
      <c r="H94" s="83"/>
      <c r="I94" s="83"/>
      <c r="J94" s="83"/>
      <c r="K94" s="83"/>
      <c r="L94" s="83"/>
      <c r="M94" s="83"/>
      <c r="N94" s="135"/>
      <c r="O94" s="60"/>
      <c r="P94" s="68"/>
      <c r="Q94" s="68"/>
      <c r="R94" s="68"/>
      <c r="S94" s="68"/>
      <c r="T94" s="206">
        <v>3500</v>
      </c>
      <c r="U94" s="206">
        <f t="shared" si="17"/>
        <v>3535</v>
      </c>
      <c r="V94" s="206">
        <f t="shared" si="17"/>
        <v>3570.35</v>
      </c>
      <c r="W94" s="77"/>
      <c r="X94" s="77"/>
      <c r="Y94" s="77"/>
    </row>
    <row r="95" spans="1:25" s="31" customFormat="1" ht="15.75" customHeight="1">
      <c r="A95" s="41"/>
      <c r="B95" s="64" t="s">
        <v>163</v>
      </c>
      <c r="C95" s="74"/>
      <c r="D95" s="63"/>
      <c r="E95" s="87"/>
      <c r="F95" s="83"/>
      <c r="G95" s="83"/>
      <c r="H95" s="83"/>
      <c r="I95" s="83"/>
      <c r="J95" s="83"/>
      <c r="K95" s="83"/>
      <c r="L95" s="83"/>
      <c r="M95" s="83"/>
      <c r="N95" s="135"/>
      <c r="O95" s="60"/>
      <c r="P95" s="68"/>
      <c r="Q95" s="68"/>
      <c r="R95" s="68"/>
      <c r="S95" s="68"/>
      <c r="T95" s="206">
        <v>36000</v>
      </c>
      <c r="U95" s="206">
        <f t="shared" si="17"/>
        <v>36360</v>
      </c>
      <c r="V95" s="206">
        <f t="shared" si="17"/>
        <v>36723.6</v>
      </c>
      <c r="W95" s="77"/>
      <c r="X95" s="77"/>
      <c r="Y95" s="77"/>
    </row>
    <row r="96" spans="1:25" s="31" customFormat="1" ht="15.75" customHeight="1">
      <c r="A96" s="41"/>
      <c r="B96" s="64" t="s">
        <v>164</v>
      </c>
      <c r="C96" s="74"/>
      <c r="D96" s="63"/>
      <c r="E96" s="87"/>
      <c r="F96" s="83"/>
      <c r="G96" s="83"/>
      <c r="H96" s="83"/>
      <c r="I96" s="83"/>
      <c r="J96" s="83"/>
      <c r="K96" s="83"/>
      <c r="L96" s="83"/>
      <c r="M96" s="83"/>
      <c r="N96" s="135"/>
      <c r="O96" s="60"/>
      <c r="P96" s="68"/>
      <c r="Q96" s="68"/>
      <c r="R96" s="68"/>
      <c r="S96" s="68"/>
      <c r="T96" s="206">
        <v>36050</v>
      </c>
      <c r="U96" s="206">
        <f t="shared" si="17"/>
        <v>36410.5</v>
      </c>
      <c r="V96" s="206">
        <f t="shared" si="17"/>
        <v>36774.605</v>
      </c>
      <c r="W96" s="77"/>
      <c r="X96" s="77"/>
      <c r="Y96" s="77"/>
    </row>
    <row r="97" spans="1:25" s="31" customFormat="1" ht="15.75" customHeight="1">
      <c r="A97" s="41"/>
      <c r="B97" s="64" t="s">
        <v>36</v>
      </c>
      <c r="C97" s="74"/>
      <c r="D97" s="63"/>
      <c r="E97" s="87"/>
      <c r="F97" s="83"/>
      <c r="G97" s="83"/>
      <c r="H97" s="83"/>
      <c r="I97" s="83"/>
      <c r="J97" s="83"/>
      <c r="K97" s="83"/>
      <c r="L97" s="83"/>
      <c r="M97" s="83"/>
      <c r="N97" s="135"/>
      <c r="O97" s="60"/>
      <c r="P97" s="68"/>
      <c r="Q97" s="68"/>
      <c r="R97" s="68"/>
      <c r="S97" s="68"/>
      <c r="T97" s="206">
        <v>149000</v>
      </c>
      <c r="U97" s="206">
        <f t="shared" si="17"/>
        <v>150490</v>
      </c>
      <c r="V97" s="206">
        <f t="shared" si="17"/>
        <v>151994.9</v>
      </c>
      <c r="W97" s="77">
        <f>23000000+93648382-70000000</f>
        <v>46648382</v>
      </c>
      <c r="X97" s="77">
        <v>0</v>
      </c>
      <c r="Y97" s="77">
        <v>0</v>
      </c>
    </row>
    <row r="98" spans="1:25" s="31" customFormat="1" ht="15.75" customHeight="1">
      <c r="A98" s="41"/>
      <c r="B98" s="64" t="s">
        <v>148</v>
      </c>
      <c r="C98" s="74"/>
      <c r="D98" s="63"/>
      <c r="E98" s="87"/>
      <c r="F98" s="83"/>
      <c r="G98" s="83"/>
      <c r="H98" s="83"/>
      <c r="I98" s="83"/>
      <c r="J98" s="83"/>
      <c r="K98" s="83"/>
      <c r="L98" s="83"/>
      <c r="M98" s="83"/>
      <c r="N98" s="135"/>
      <c r="O98" s="60"/>
      <c r="P98" s="63"/>
      <c r="Q98" s="68"/>
      <c r="R98" s="68"/>
      <c r="S98" s="68"/>
      <c r="T98" s="206">
        <v>26000</v>
      </c>
      <c r="U98" s="206">
        <f t="shared" si="17"/>
        <v>26260</v>
      </c>
      <c r="V98" s="206">
        <f t="shared" si="17"/>
        <v>26522.6</v>
      </c>
      <c r="W98" s="77"/>
      <c r="X98" s="77"/>
      <c r="Y98" s="77"/>
    </row>
    <row r="99" spans="1:25" s="31" customFormat="1" ht="15.75" customHeight="1">
      <c r="A99" s="41"/>
      <c r="B99" s="64" t="s">
        <v>83</v>
      </c>
      <c r="C99" s="74"/>
      <c r="D99" s="63"/>
      <c r="E99" s="87">
        <v>205000000</v>
      </c>
      <c r="F99" s="140">
        <v>5000000</v>
      </c>
      <c r="G99" s="83">
        <v>35000000</v>
      </c>
      <c r="H99" s="83">
        <v>45150000</v>
      </c>
      <c r="I99" s="83">
        <v>8767500</v>
      </c>
      <c r="J99" s="83">
        <v>8767500</v>
      </c>
      <c r="K99" s="83"/>
      <c r="L99" s="83"/>
      <c r="M99" s="83">
        <v>31500000</v>
      </c>
      <c r="N99" s="135">
        <v>14000000</v>
      </c>
      <c r="O99" s="60"/>
      <c r="P99" s="135">
        <v>24500000</v>
      </c>
      <c r="Q99" s="67"/>
      <c r="R99" s="67"/>
      <c r="S99" s="67"/>
      <c r="T99" s="206">
        <v>133833.12</v>
      </c>
      <c r="U99" s="206">
        <f t="shared" si="17"/>
        <v>135171.4512</v>
      </c>
      <c r="V99" s="206">
        <f t="shared" si="17"/>
        <v>136523.16571200002</v>
      </c>
      <c r="W99" s="77">
        <f>232960000+14040000-54000000</f>
        <v>193000000</v>
      </c>
      <c r="X99" s="77">
        <f aca="true" t="shared" si="18" ref="X99:Y102">W99*1.018</f>
        <v>196474000</v>
      </c>
      <c r="Y99" s="77">
        <f t="shared" si="18"/>
        <v>200010532</v>
      </c>
    </row>
    <row r="100" spans="1:25" s="31" customFormat="1" ht="15.75" customHeight="1">
      <c r="A100" s="41"/>
      <c r="B100" s="64" t="s">
        <v>84</v>
      </c>
      <c r="C100" s="74"/>
      <c r="D100" s="63"/>
      <c r="E100" s="87">
        <v>63000000</v>
      </c>
      <c r="F100" s="83"/>
      <c r="G100" s="83"/>
      <c r="H100" s="83">
        <v>120000000</v>
      </c>
      <c r="I100" s="83"/>
      <c r="J100" s="83"/>
      <c r="K100" s="83"/>
      <c r="L100" s="83"/>
      <c r="M100" s="83"/>
      <c r="N100" s="135">
        <f>60000000</f>
        <v>60000000</v>
      </c>
      <c r="O100" s="83"/>
      <c r="P100" s="83"/>
      <c r="Q100" s="83"/>
      <c r="R100" s="83">
        <v>54000000</v>
      </c>
      <c r="S100" s="83">
        <v>54000000</v>
      </c>
      <c r="T100" s="206">
        <v>25401.6</v>
      </c>
      <c r="U100" s="206">
        <f t="shared" si="17"/>
        <v>25655.615999999998</v>
      </c>
      <c r="V100" s="206">
        <f t="shared" si="17"/>
        <v>25912.17216</v>
      </c>
      <c r="W100" s="77">
        <f>25000000+5000000-10000000</f>
        <v>20000000</v>
      </c>
      <c r="X100" s="77">
        <f t="shared" si="18"/>
        <v>20360000</v>
      </c>
      <c r="Y100" s="77">
        <f t="shared" si="18"/>
        <v>20726480</v>
      </c>
    </row>
    <row r="101" spans="1:25" s="31" customFormat="1" ht="15.75" customHeight="1">
      <c r="A101" s="41"/>
      <c r="B101" s="64" t="s">
        <v>87</v>
      </c>
      <c r="C101" s="74"/>
      <c r="D101" s="63"/>
      <c r="E101" s="87"/>
      <c r="F101" s="83"/>
      <c r="G101" s="83"/>
      <c r="H101" s="83"/>
      <c r="I101" s="83"/>
      <c r="J101" s="83"/>
      <c r="K101" s="83"/>
      <c r="L101" s="83"/>
      <c r="M101" s="83"/>
      <c r="N101" s="135"/>
      <c r="O101" s="63"/>
      <c r="P101" s="63"/>
      <c r="Q101" s="63"/>
      <c r="R101" s="63"/>
      <c r="S101" s="63"/>
      <c r="T101" s="206">
        <v>36582.5</v>
      </c>
      <c r="U101" s="206">
        <f t="shared" si="17"/>
        <v>36948.325</v>
      </c>
      <c r="V101" s="206">
        <f t="shared" si="17"/>
        <v>37317.808249999995</v>
      </c>
      <c r="W101" s="77"/>
      <c r="X101" s="77"/>
      <c r="Y101" s="77"/>
    </row>
    <row r="102" spans="1:25" s="31" customFormat="1" ht="15.75" customHeight="1">
      <c r="A102" s="41"/>
      <c r="B102" s="64" t="s">
        <v>85</v>
      </c>
      <c r="C102" s="74"/>
      <c r="D102" s="63"/>
      <c r="E102" s="87"/>
      <c r="F102" s="83">
        <v>80000000</v>
      </c>
      <c r="G102" s="83"/>
      <c r="H102" s="83"/>
      <c r="I102" s="83"/>
      <c r="J102" s="83"/>
      <c r="K102" s="83"/>
      <c r="L102" s="83"/>
      <c r="M102" s="83"/>
      <c r="N102" s="135"/>
      <c r="O102" s="60"/>
      <c r="P102" s="68">
        <v>1500000</v>
      </c>
      <c r="Q102" s="68"/>
      <c r="R102" s="68"/>
      <c r="S102" s="68"/>
      <c r="T102" s="206">
        <v>36480</v>
      </c>
      <c r="U102" s="206">
        <f t="shared" si="17"/>
        <v>36844.8</v>
      </c>
      <c r="V102" s="206">
        <f t="shared" si="17"/>
        <v>37213.24800000001</v>
      </c>
      <c r="W102" s="77">
        <f>27000000-10000000</f>
        <v>17000000</v>
      </c>
      <c r="X102" s="77">
        <f t="shared" si="18"/>
        <v>17306000</v>
      </c>
      <c r="Y102" s="77">
        <f t="shared" si="18"/>
        <v>17617508</v>
      </c>
    </row>
    <row r="103" spans="1:25" s="31" customFormat="1" ht="15.75" customHeight="1">
      <c r="A103" s="41"/>
      <c r="B103" s="64" t="s">
        <v>187</v>
      </c>
      <c r="C103" s="74"/>
      <c r="D103" s="63"/>
      <c r="E103" s="87"/>
      <c r="F103" s="83"/>
      <c r="G103" s="83"/>
      <c r="H103" s="83"/>
      <c r="I103" s="83"/>
      <c r="J103" s="83"/>
      <c r="K103" s="83"/>
      <c r="L103" s="83"/>
      <c r="M103" s="83"/>
      <c r="N103" s="135"/>
      <c r="O103" s="60"/>
      <c r="P103" s="68"/>
      <c r="Q103" s="68"/>
      <c r="R103" s="68"/>
      <c r="S103" s="68"/>
      <c r="T103" s="206">
        <v>31920</v>
      </c>
      <c r="U103" s="206">
        <f t="shared" si="17"/>
        <v>32239.2</v>
      </c>
      <c r="V103" s="206">
        <f t="shared" si="17"/>
        <v>32561.592</v>
      </c>
      <c r="W103" s="77"/>
      <c r="X103" s="77"/>
      <c r="Y103" s="77"/>
    </row>
    <row r="104" spans="1:25" s="31" customFormat="1" ht="15.75" customHeight="1">
      <c r="A104" s="41"/>
      <c r="B104" s="64" t="s">
        <v>86</v>
      </c>
      <c r="C104" s="74"/>
      <c r="D104" s="63"/>
      <c r="E104" s="87">
        <v>30000000</v>
      </c>
      <c r="F104" s="83"/>
      <c r="G104" s="83"/>
      <c r="H104" s="83"/>
      <c r="I104" s="83"/>
      <c r="J104" s="83"/>
      <c r="K104" s="83"/>
      <c r="L104" s="83"/>
      <c r="M104" s="83"/>
      <c r="N104" s="135"/>
      <c r="O104" s="60"/>
      <c r="P104" s="68"/>
      <c r="Q104" s="68"/>
      <c r="R104" s="68"/>
      <c r="S104" s="68"/>
      <c r="T104" s="206">
        <v>547000</v>
      </c>
      <c r="U104" s="206">
        <f t="shared" si="17"/>
        <v>552470</v>
      </c>
      <c r="V104" s="206">
        <f t="shared" si="17"/>
        <v>557994.7</v>
      </c>
      <c r="W104" s="77">
        <f>433303883-25726127</f>
        <v>407577756</v>
      </c>
      <c r="X104" s="77">
        <f>W104*1.018</f>
        <v>414914155.608</v>
      </c>
      <c r="Y104" s="77">
        <f>X104*1.018</f>
        <v>422382610.408944</v>
      </c>
    </row>
    <row r="105" spans="1:25" s="31" customFormat="1" ht="15.75" customHeight="1">
      <c r="A105" s="41"/>
      <c r="B105" s="64" t="s">
        <v>92</v>
      </c>
      <c r="C105" s="74"/>
      <c r="D105" s="63"/>
      <c r="E105" s="87">
        <v>1500000</v>
      </c>
      <c r="F105" s="83">
        <v>9450000</v>
      </c>
      <c r="G105" s="83">
        <v>1500000</v>
      </c>
      <c r="H105" s="83"/>
      <c r="I105" s="83"/>
      <c r="J105" s="83"/>
      <c r="K105" s="83">
        <v>1700000</v>
      </c>
      <c r="L105" s="83">
        <v>530000</v>
      </c>
      <c r="M105" s="83"/>
      <c r="N105" s="135"/>
      <c r="O105" s="60"/>
      <c r="P105" s="68"/>
      <c r="Q105" s="68"/>
      <c r="R105" s="68"/>
      <c r="S105" s="68"/>
      <c r="T105" s="206">
        <v>86994.36</v>
      </c>
      <c r="U105" s="206">
        <f t="shared" si="17"/>
        <v>87864.3036</v>
      </c>
      <c r="V105" s="206">
        <f t="shared" si="17"/>
        <v>88742.946636</v>
      </c>
      <c r="W105" s="77">
        <f>189800000+14600000+3534960</f>
        <v>207934960</v>
      </c>
      <c r="X105" s="77">
        <f aca="true" t="shared" si="19" ref="X105:Y109">W105*1.018</f>
        <v>211677789.28</v>
      </c>
      <c r="Y105" s="77">
        <f t="shared" si="19"/>
        <v>215487989.48704</v>
      </c>
    </row>
    <row r="106" spans="1:25" s="31" customFormat="1" ht="15.75" customHeight="1">
      <c r="A106" s="41"/>
      <c r="B106" s="64" t="s">
        <v>188</v>
      </c>
      <c r="C106" s="74"/>
      <c r="D106" s="63"/>
      <c r="E106" s="87"/>
      <c r="F106" s="83"/>
      <c r="G106" s="83"/>
      <c r="H106" s="83"/>
      <c r="I106" s="83"/>
      <c r="J106" s="83"/>
      <c r="K106" s="83"/>
      <c r="L106" s="83"/>
      <c r="M106" s="83"/>
      <c r="N106" s="135"/>
      <c r="O106" s="60"/>
      <c r="P106" s="68"/>
      <c r="Q106" s="68"/>
      <c r="R106" s="68"/>
      <c r="S106" s="68"/>
      <c r="T106" s="206">
        <f>55672.7-20000</f>
        <v>35672.7</v>
      </c>
      <c r="U106" s="206">
        <f t="shared" si="17"/>
        <v>36029.426999999996</v>
      </c>
      <c r="V106" s="206">
        <f t="shared" si="17"/>
        <v>36389.721269999995</v>
      </c>
      <c r="W106" s="77"/>
      <c r="X106" s="77"/>
      <c r="Y106" s="77"/>
    </row>
    <row r="107" spans="1:25" s="31" customFormat="1" ht="15.75" customHeight="1">
      <c r="A107" s="41"/>
      <c r="B107" s="64" t="s">
        <v>99</v>
      </c>
      <c r="C107" s="74"/>
      <c r="D107" s="63"/>
      <c r="E107" s="87">
        <v>13000000</v>
      </c>
      <c r="F107" s="83">
        <v>6000000</v>
      </c>
      <c r="G107" s="83">
        <v>1000000</v>
      </c>
      <c r="H107" s="83">
        <v>1100000</v>
      </c>
      <c r="I107" s="83">
        <v>2000000</v>
      </c>
      <c r="J107" s="83">
        <v>2000000</v>
      </c>
      <c r="K107" s="83">
        <v>1400000</v>
      </c>
      <c r="L107" s="83">
        <v>50000</v>
      </c>
      <c r="M107" s="83">
        <v>2150000</v>
      </c>
      <c r="N107" s="135">
        <v>8000000</v>
      </c>
      <c r="O107" s="60"/>
      <c r="P107" s="68">
        <v>450000</v>
      </c>
      <c r="Q107" s="68">
        <v>500000</v>
      </c>
      <c r="R107" s="68">
        <v>2000000</v>
      </c>
      <c r="S107" s="68"/>
      <c r="T107" s="206">
        <v>1800606.45</v>
      </c>
      <c r="U107" s="206">
        <f t="shared" si="17"/>
        <v>1818612.5145</v>
      </c>
      <c r="V107" s="206">
        <f t="shared" si="17"/>
        <v>1836798.639645</v>
      </c>
      <c r="W107" s="77">
        <f>879897875+354193441</f>
        <v>1234091316</v>
      </c>
      <c r="X107" s="77">
        <f t="shared" si="19"/>
        <v>1256304959.688</v>
      </c>
      <c r="Y107" s="77">
        <f t="shared" si="19"/>
        <v>1278918448.962384</v>
      </c>
    </row>
    <row r="108" spans="1:25" s="31" customFormat="1" ht="15.75" customHeight="1">
      <c r="A108" s="41"/>
      <c r="B108" s="64" t="s">
        <v>128</v>
      </c>
      <c r="C108" s="74"/>
      <c r="D108" s="63"/>
      <c r="E108" s="87"/>
      <c r="F108" s="83"/>
      <c r="G108" s="83"/>
      <c r="H108" s="83"/>
      <c r="I108" s="83"/>
      <c r="J108" s="83"/>
      <c r="K108" s="83"/>
      <c r="L108" s="83"/>
      <c r="M108" s="83"/>
      <c r="N108" s="135"/>
      <c r="O108" s="60"/>
      <c r="P108" s="68"/>
      <c r="Q108" s="68"/>
      <c r="R108" s="68"/>
      <c r="S108" s="68"/>
      <c r="T108" s="206">
        <v>87718</v>
      </c>
      <c r="U108" s="206">
        <f t="shared" si="17"/>
        <v>88595.18000000001</v>
      </c>
      <c r="V108" s="206">
        <f t="shared" si="17"/>
        <v>89481.1318</v>
      </c>
      <c r="W108" s="77"/>
      <c r="X108" s="77"/>
      <c r="Y108" s="77"/>
    </row>
    <row r="109" spans="1:25" s="31" customFormat="1" ht="15.75" customHeight="1">
      <c r="A109" s="41"/>
      <c r="B109" s="96" t="s">
        <v>100</v>
      </c>
      <c r="C109" s="97"/>
      <c r="D109" s="98"/>
      <c r="E109" s="87">
        <v>5500000</v>
      </c>
      <c r="F109" s="83">
        <v>3500000</v>
      </c>
      <c r="G109" s="83">
        <v>2500000</v>
      </c>
      <c r="H109" s="83">
        <v>750000</v>
      </c>
      <c r="I109" s="83">
        <v>5000000</v>
      </c>
      <c r="J109" s="83">
        <v>4500000</v>
      </c>
      <c r="K109" s="83">
        <v>600000</v>
      </c>
      <c r="L109" s="83"/>
      <c r="M109" s="83">
        <v>735000</v>
      </c>
      <c r="N109" s="135">
        <v>1500000</v>
      </c>
      <c r="O109" s="60">
        <v>2100000</v>
      </c>
      <c r="P109" s="68">
        <v>2500000</v>
      </c>
      <c r="Q109" s="68"/>
      <c r="R109" s="68"/>
      <c r="S109" s="68"/>
      <c r="T109" s="206">
        <v>95095.1</v>
      </c>
      <c r="U109" s="206">
        <f t="shared" si="17"/>
        <v>96046.051</v>
      </c>
      <c r="V109" s="206">
        <f t="shared" si="17"/>
        <v>97006.51151000001</v>
      </c>
      <c r="W109" s="77">
        <f>416302886-47072205</f>
        <v>369230681</v>
      </c>
      <c r="X109" s="77">
        <f t="shared" si="19"/>
        <v>375876833.258</v>
      </c>
      <c r="Y109" s="77">
        <f t="shared" si="19"/>
        <v>382642616.256644</v>
      </c>
    </row>
    <row r="110" spans="1:25" s="31" customFormat="1" ht="15.75" customHeight="1">
      <c r="A110" s="41"/>
      <c r="B110" s="96" t="s">
        <v>101</v>
      </c>
      <c r="C110" s="97"/>
      <c r="D110" s="85"/>
      <c r="E110" s="87"/>
      <c r="F110" s="83"/>
      <c r="G110" s="83"/>
      <c r="H110" s="83"/>
      <c r="I110" s="83"/>
      <c r="J110" s="83"/>
      <c r="K110" s="83"/>
      <c r="L110" s="83"/>
      <c r="M110" s="83"/>
      <c r="N110" s="135"/>
      <c r="O110" s="60"/>
      <c r="P110" s="68"/>
      <c r="Q110" s="68"/>
      <c r="R110" s="68"/>
      <c r="S110" s="68"/>
      <c r="T110" s="206">
        <v>184854.73</v>
      </c>
      <c r="U110" s="206">
        <f t="shared" si="17"/>
        <v>186703.27730000002</v>
      </c>
      <c r="V110" s="206">
        <f t="shared" si="17"/>
        <v>188570.31007300003</v>
      </c>
      <c r="W110" s="77"/>
      <c r="X110" s="77"/>
      <c r="Y110" s="77"/>
    </row>
    <row r="111" spans="1:25" s="31" customFormat="1" ht="15.75" customHeight="1">
      <c r="A111" s="41"/>
      <c r="B111" s="96" t="s">
        <v>102</v>
      </c>
      <c r="C111" s="97"/>
      <c r="D111" s="85"/>
      <c r="E111" s="87"/>
      <c r="F111" s="83"/>
      <c r="G111" s="83"/>
      <c r="H111" s="83"/>
      <c r="I111" s="83"/>
      <c r="J111" s="83"/>
      <c r="K111" s="83"/>
      <c r="L111" s="83"/>
      <c r="M111" s="83"/>
      <c r="N111" s="135"/>
      <c r="O111" s="60"/>
      <c r="P111" s="68"/>
      <c r="Q111" s="68"/>
      <c r="R111" s="68"/>
      <c r="S111" s="68"/>
      <c r="T111" s="206">
        <v>109200</v>
      </c>
      <c r="U111" s="206">
        <f aca="true" t="shared" si="20" ref="U111:V114">T111*1.01</f>
        <v>110292</v>
      </c>
      <c r="V111" s="206">
        <f t="shared" si="20"/>
        <v>111394.92</v>
      </c>
      <c r="W111" s="77"/>
      <c r="X111" s="77"/>
      <c r="Y111" s="77"/>
    </row>
    <row r="112" spans="1:25" s="31" customFormat="1" ht="15.75" customHeight="1">
      <c r="A112" s="41"/>
      <c r="B112" s="96" t="s">
        <v>189</v>
      </c>
      <c r="C112" s="97"/>
      <c r="D112" s="85"/>
      <c r="E112" s="102"/>
      <c r="F112" s="63"/>
      <c r="G112" s="63"/>
      <c r="H112" s="63"/>
      <c r="I112" s="63"/>
      <c r="J112" s="63"/>
      <c r="K112" s="63"/>
      <c r="L112" s="63"/>
      <c r="M112" s="63"/>
      <c r="N112" s="63"/>
      <c r="O112" s="60"/>
      <c r="P112" s="68"/>
      <c r="Q112" s="68"/>
      <c r="R112" s="68"/>
      <c r="S112" s="68"/>
      <c r="T112" s="206">
        <f>67346.15+12122.31</f>
        <v>79468.45999999999</v>
      </c>
      <c r="U112" s="206">
        <f t="shared" si="20"/>
        <v>80263.1446</v>
      </c>
      <c r="V112" s="206">
        <f t="shared" si="20"/>
        <v>81065.776046</v>
      </c>
      <c r="W112" s="77"/>
      <c r="X112" s="77"/>
      <c r="Y112" s="77"/>
    </row>
    <row r="113" spans="1:25" s="31" customFormat="1" ht="15.75" customHeight="1">
      <c r="A113" s="41"/>
      <c r="B113" s="96" t="s">
        <v>190</v>
      </c>
      <c r="C113" s="97"/>
      <c r="D113" s="85"/>
      <c r="E113" s="102"/>
      <c r="F113" s="63"/>
      <c r="G113" s="63"/>
      <c r="H113" s="63"/>
      <c r="I113" s="63"/>
      <c r="J113" s="63"/>
      <c r="K113" s="63"/>
      <c r="L113" s="63"/>
      <c r="M113" s="63"/>
      <c r="N113" s="63"/>
      <c r="O113" s="60"/>
      <c r="P113" s="68"/>
      <c r="Q113" s="68"/>
      <c r="R113" s="68"/>
      <c r="S113" s="68"/>
      <c r="T113" s="206">
        <f>74996.61+13499.49-17000-3000</f>
        <v>68496.1</v>
      </c>
      <c r="U113" s="206">
        <f t="shared" si="20"/>
        <v>69181.061</v>
      </c>
      <c r="V113" s="206">
        <f t="shared" si="20"/>
        <v>69872.87161</v>
      </c>
      <c r="W113" s="77"/>
      <c r="X113" s="77"/>
      <c r="Y113" s="77"/>
    </row>
    <row r="114" spans="1:25" s="31" customFormat="1" ht="20.25">
      <c r="A114" s="41"/>
      <c r="B114" s="96" t="s">
        <v>191</v>
      </c>
      <c r="C114" s="76"/>
      <c r="D114" s="67"/>
      <c r="E114" s="66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206">
        <f>49230+6036.6</f>
        <v>55266.6</v>
      </c>
      <c r="U114" s="206">
        <f t="shared" si="20"/>
        <v>55819.265999999996</v>
      </c>
      <c r="V114" s="206">
        <f t="shared" si="20"/>
        <v>56377.45866</v>
      </c>
      <c r="W114" s="77">
        <v>1875468</v>
      </c>
      <c r="X114" s="77">
        <f aca="true" t="shared" si="21" ref="X114:Y119">W114*1.018</f>
        <v>1909226.424</v>
      </c>
      <c r="Y114" s="77">
        <f t="shared" si="21"/>
        <v>1943592.4996320002</v>
      </c>
    </row>
    <row r="115" spans="1:25" s="31" customFormat="1" ht="22.5">
      <c r="A115" s="154" t="s">
        <v>107</v>
      </c>
      <c r="B115" s="58"/>
      <c r="C115" s="155"/>
      <c r="D115" s="41"/>
      <c r="E115" s="106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207">
        <f aca="true" t="shared" si="22" ref="T115:Y115">SUM(T116:T119)</f>
        <v>98036.78</v>
      </c>
      <c r="U115" s="207">
        <f t="shared" si="22"/>
        <v>99107.1478</v>
      </c>
      <c r="V115" s="207">
        <f t="shared" si="22"/>
        <v>100098.21927800002</v>
      </c>
      <c r="W115" s="132">
        <f t="shared" si="22"/>
        <v>237064003</v>
      </c>
      <c r="X115" s="132">
        <f t="shared" si="22"/>
        <v>241331155.05400002</v>
      </c>
      <c r="Y115" s="132">
        <f t="shared" si="22"/>
        <v>245675115.84497198</v>
      </c>
    </row>
    <row r="116" spans="1:25" s="31" customFormat="1" ht="20.25">
      <c r="A116" s="41"/>
      <c r="B116" s="153" t="s">
        <v>192</v>
      </c>
      <c r="C116" s="76"/>
      <c r="D116" s="67"/>
      <c r="E116" s="66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206">
        <v>8400</v>
      </c>
      <c r="U116" s="206">
        <f aca="true" t="shared" si="23" ref="U116:V118">T116*1.01</f>
        <v>8484</v>
      </c>
      <c r="V116" s="206">
        <f t="shared" si="23"/>
        <v>8568.84</v>
      </c>
      <c r="W116" s="77">
        <v>3000001</v>
      </c>
      <c r="X116" s="77">
        <f t="shared" si="21"/>
        <v>3054001.018</v>
      </c>
      <c r="Y116" s="77">
        <f t="shared" si="21"/>
        <v>3108973.036324</v>
      </c>
    </row>
    <row r="117" spans="1:25" s="31" customFormat="1" ht="20.25">
      <c r="A117" s="41"/>
      <c r="B117" s="153" t="s">
        <v>193</v>
      </c>
      <c r="C117" s="76"/>
      <c r="D117" s="67"/>
      <c r="E117" s="66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206">
        <v>57299.18</v>
      </c>
      <c r="U117" s="206">
        <f t="shared" si="23"/>
        <v>57872.171800000004</v>
      </c>
      <c r="V117" s="206">
        <f t="shared" si="23"/>
        <v>58450.893518000004</v>
      </c>
      <c r="W117" s="77">
        <f>174064001</f>
        <v>174064001</v>
      </c>
      <c r="X117" s="77">
        <f t="shared" si="21"/>
        <v>177197153.018</v>
      </c>
      <c r="Y117" s="77">
        <f t="shared" si="21"/>
        <v>180386701.772324</v>
      </c>
    </row>
    <row r="118" spans="1:25" s="31" customFormat="1" ht="20.25">
      <c r="A118" s="41"/>
      <c r="B118" s="153" t="s">
        <v>194</v>
      </c>
      <c r="C118" s="76"/>
      <c r="D118" s="67"/>
      <c r="E118" s="66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206">
        <v>23337.6</v>
      </c>
      <c r="U118" s="206">
        <f t="shared" si="23"/>
        <v>23570.976</v>
      </c>
      <c r="V118" s="206">
        <f t="shared" si="23"/>
        <v>23806.68576</v>
      </c>
      <c r="W118" s="77">
        <v>40000001</v>
      </c>
      <c r="X118" s="77">
        <f t="shared" si="21"/>
        <v>40720001.018</v>
      </c>
      <c r="Y118" s="77">
        <f t="shared" si="21"/>
        <v>41452961.036324</v>
      </c>
    </row>
    <row r="119" spans="1:25" s="31" customFormat="1" ht="20.25">
      <c r="A119" s="41"/>
      <c r="B119" s="153" t="s">
        <v>88</v>
      </c>
      <c r="C119" s="76"/>
      <c r="D119" s="67"/>
      <c r="E119" s="66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206">
        <v>9000</v>
      </c>
      <c r="U119" s="206">
        <f>T119*1.02</f>
        <v>9180</v>
      </c>
      <c r="V119" s="206">
        <f>U119*1.01</f>
        <v>9271.8</v>
      </c>
      <c r="W119" s="77">
        <v>20000000</v>
      </c>
      <c r="X119" s="77">
        <f t="shared" si="21"/>
        <v>20360000</v>
      </c>
      <c r="Y119" s="77">
        <f t="shared" si="21"/>
        <v>20726480</v>
      </c>
    </row>
    <row r="120" spans="1:25" s="31" customFormat="1" ht="19.5" customHeight="1">
      <c r="A120" s="57" t="s">
        <v>40</v>
      </c>
      <c r="B120" s="141"/>
      <c r="C120" s="142"/>
      <c r="D120" s="143"/>
      <c r="E120" s="87"/>
      <c r="F120" s="83"/>
      <c r="G120" s="83"/>
      <c r="H120" s="83"/>
      <c r="I120" s="83"/>
      <c r="J120" s="83"/>
      <c r="K120" s="83"/>
      <c r="L120" s="83"/>
      <c r="M120" s="83"/>
      <c r="N120" s="135"/>
      <c r="O120" s="136"/>
      <c r="P120" s="67"/>
      <c r="Q120" s="67"/>
      <c r="R120" s="67"/>
      <c r="S120" s="63"/>
      <c r="T120" s="207">
        <f>SUM(T121:T124)</f>
        <v>33436.44</v>
      </c>
      <c r="U120" s="207">
        <f>SUM(U121:U124)</f>
        <v>33770.80439999999</v>
      </c>
      <c r="V120" s="207">
        <f>SUM(V121:V124)</f>
        <v>34108.512444</v>
      </c>
      <c r="W120" s="132">
        <f>SUM(W121:W123)</f>
        <v>74873191</v>
      </c>
      <c r="X120" s="132">
        <f>SUM(X121:X123)</f>
        <v>76220908.43800001</v>
      </c>
      <c r="Y120" s="132">
        <f>SUM(Y121:Y123)</f>
        <v>77592884.789884</v>
      </c>
    </row>
    <row r="121" spans="1:25" s="31" customFormat="1" ht="15.75" customHeight="1">
      <c r="A121" s="41"/>
      <c r="B121" s="153" t="s">
        <v>41</v>
      </c>
      <c r="C121" s="76"/>
      <c r="D121" s="67"/>
      <c r="E121" s="66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206">
        <v>11989.72</v>
      </c>
      <c r="U121" s="206">
        <f aca="true" t="shared" si="24" ref="U121:V124">T121*1.01</f>
        <v>12109.617199999999</v>
      </c>
      <c r="V121" s="206">
        <f t="shared" si="24"/>
        <v>12230.713371999998</v>
      </c>
      <c r="W121" s="77">
        <f>27234000+37087284</f>
        <v>64321284</v>
      </c>
      <c r="X121" s="77">
        <f aca="true" t="shared" si="25" ref="X121:Y128">W121*1.018</f>
        <v>65479067.112</v>
      </c>
      <c r="Y121" s="77">
        <f t="shared" si="25"/>
        <v>66657690.320016004</v>
      </c>
    </row>
    <row r="122" spans="1:25" s="31" customFormat="1" ht="15.75" customHeight="1">
      <c r="A122" s="156"/>
      <c r="B122" s="71" t="s">
        <v>42</v>
      </c>
      <c r="C122" s="157"/>
      <c r="D122" s="67"/>
      <c r="E122" s="158">
        <v>0.02</v>
      </c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206">
        <v>4097.11</v>
      </c>
      <c r="U122" s="206">
        <f t="shared" si="24"/>
        <v>4138.081099999999</v>
      </c>
      <c r="V122" s="206">
        <f t="shared" si="24"/>
        <v>4179.461910999999</v>
      </c>
      <c r="W122" s="77">
        <f>8456405+2095502</f>
        <v>10551907</v>
      </c>
      <c r="X122" s="77">
        <f t="shared" si="25"/>
        <v>10741841.326</v>
      </c>
      <c r="Y122" s="77">
        <f t="shared" si="25"/>
        <v>10935194.469867999</v>
      </c>
    </row>
    <row r="123" spans="1:25" s="31" customFormat="1" ht="15.75" customHeight="1">
      <c r="A123" s="41"/>
      <c r="B123" s="153" t="s">
        <v>43</v>
      </c>
      <c r="C123" s="76"/>
      <c r="D123" s="67"/>
      <c r="E123" s="66">
        <f>2348259459+15737334+94415004+28191620+29855304+15737334-28191620-26752640-28191620</f>
        <v>2449060175</v>
      </c>
      <c r="F123" s="67">
        <f>360088856-G123</f>
        <v>302459890</v>
      </c>
      <c r="G123" s="67">
        <f>28856668+28772298</f>
        <v>57628966</v>
      </c>
      <c r="H123" s="67"/>
      <c r="I123" s="67">
        <f>77282140+42003905+41910305</f>
        <v>161196350</v>
      </c>
      <c r="J123" s="67">
        <f>42896474+23532401+28729593</f>
        <v>95158468</v>
      </c>
      <c r="K123" s="67">
        <v>28191620</v>
      </c>
      <c r="L123" s="67">
        <v>26752640</v>
      </c>
      <c r="M123" s="67">
        <v>14095810</v>
      </c>
      <c r="N123" s="67">
        <v>14095810</v>
      </c>
      <c r="O123" s="67">
        <f>30474843+28772298+30408283</f>
        <v>89655424</v>
      </c>
      <c r="P123" s="67"/>
      <c r="Q123" s="67"/>
      <c r="R123" s="67"/>
      <c r="S123" s="67"/>
      <c r="T123" s="206">
        <v>2687.56</v>
      </c>
      <c r="U123" s="206">
        <f t="shared" si="24"/>
        <v>2714.4356</v>
      </c>
      <c r="V123" s="206">
        <f t="shared" si="24"/>
        <v>2741.579956</v>
      </c>
      <c r="W123" s="77">
        <v>0</v>
      </c>
      <c r="X123" s="77">
        <f t="shared" si="25"/>
        <v>0</v>
      </c>
      <c r="Y123" s="77">
        <f t="shared" si="25"/>
        <v>0</v>
      </c>
    </row>
    <row r="124" spans="1:25" s="31" customFormat="1" ht="15.75" customHeight="1">
      <c r="A124" s="41"/>
      <c r="B124" s="153" t="s">
        <v>123</v>
      </c>
      <c r="C124" s="76"/>
      <c r="D124" s="67"/>
      <c r="E124" s="66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206">
        <v>14662.05</v>
      </c>
      <c r="U124" s="206">
        <f t="shared" si="24"/>
        <v>14808.6705</v>
      </c>
      <c r="V124" s="206">
        <f t="shared" si="24"/>
        <v>14956.757205</v>
      </c>
      <c r="W124" s="77"/>
      <c r="X124" s="77"/>
      <c r="Y124" s="77"/>
    </row>
    <row r="125" spans="1:25" s="31" customFormat="1" ht="21" customHeight="1">
      <c r="A125" s="57" t="s">
        <v>44</v>
      </c>
      <c r="B125" s="159"/>
      <c r="C125" s="160"/>
      <c r="D125" s="161"/>
      <c r="E125" s="66">
        <v>8544450</v>
      </c>
      <c r="F125" s="79">
        <f>8080000-1150000</f>
        <v>6930000</v>
      </c>
      <c r="G125" s="67">
        <v>1150000</v>
      </c>
      <c r="H125" s="67"/>
      <c r="I125" s="67">
        <v>500000</v>
      </c>
      <c r="J125" s="67">
        <v>500000</v>
      </c>
      <c r="K125" s="67">
        <v>1500000</v>
      </c>
      <c r="L125" s="67">
        <v>505000</v>
      </c>
      <c r="M125" s="67"/>
      <c r="N125" s="67"/>
      <c r="O125" s="67">
        <v>1010000</v>
      </c>
      <c r="P125" s="67"/>
      <c r="Q125" s="67"/>
      <c r="R125" s="67"/>
      <c r="S125" s="67"/>
      <c r="T125" s="207">
        <f>SUM(T126:T129)</f>
        <v>2838181.4099999997</v>
      </c>
      <c r="U125" s="207">
        <f>SUM(U126:U129)</f>
        <v>2923326.8523</v>
      </c>
      <c r="V125" s="207">
        <f>SUM(V126:V129)</f>
        <v>3011026.6578689995</v>
      </c>
      <c r="W125" s="132">
        <f>SUM(W126:W128)</f>
        <v>3517706917</v>
      </c>
      <c r="X125" s="132">
        <f>SUM(X126:X128)</f>
        <v>3581025641.506</v>
      </c>
      <c r="Y125" s="132">
        <f>SUM(Y126:Y128)</f>
        <v>3645484103.053108</v>
      </c>
    </row>
    <row r="126" spans="1:25" s="31" customFormat="1" ht="15.75" customHeight="1">
      <c r="A126" s="41"/>
      <c r="B126" s="153" t="s">
        <v>45</v>
      </c>
      <c r="C126" s="76"/>
      <c r="D126" s="67"/>
      <c r="E126" s="66">
        <f>32896912-K126</f>
        <v>27468112</v>
      </c>
      <c r="F126" s="79">
        <f>17675000-G126</f>
        <v>14335000</v>
      </c>
      <c r="G126" s="67">
        <v>3340000</v>
      </c>
      <c r="H126" s="67"/>
      <c r="I126" s="67">
        <f>52*5*3*17400</f>
        <v>13572000</v>
      </c>
      <c r="J126" s="67">
        <f>52*5*2*17400</f>
        <v>9048000</v>
      </c>
      <c r="K126" s="67">
        <f>3*52*2*17400</f>
        <v>5428800</v>
      </c>
      <c r="L126" s="67"/>
      <c r="M126" s="67"/>
      <c r="N126" s="67"/>
      <c r="O126" s="67">
        <v>7214430</v>
      </c>
      <c r="P126" s="67"/>
      <c r="Q126" s="67"/>
      <c r="R126" s="67"/>
      <c r="S126" s="67"/>
      <c r="T126" s="206">
        <f>2195008.76-100000-260000</f>
        <v>1835008.7599999998</v>
      </c>
      <c r="U126" s="206">
        <f>(T126*1.03)</f>
        <v>1890059.0228</v>
      </c>
      <c r="V126" s="206">
        <f aca="true" t="shared" si="26" ref="U126:V129">U126*1.03</f>
        <v>1946760.793484</v>
      </c>
      <c r="W126" s="77">
        <f>2589603822-16666667</f>
        <v>2572937155</v>
      </c>
      <c r="X126" s="77">
        <f t="shared" si="25"/>
        <v>2619250023.79</v>
      </c>
      <c r="Y126" s="77">
        <f t="shared" si="25"/>
        <v>2666396524.21822</v>
      </c>
    </row>
    <row r="127" spans="1:25" s="31" customFormat="1" ht="15.75" customHeight="1">
      <c r="A127" s="41"/>
      <c r="B127" s="153" t="s">
        <v>195</v>
      </c>
      <c r="C127" s="76"/>
      <c r="D127" s="67"/>
      <c r="E127" s="162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206">
        <f>640855.23-29810.66-65000</f>
        <v>546044.57</v>
      </c>
      <c r="U127" s="206">
        <f>(T127*1.03)</f>
        <v>562425.9071</v>
      </c>
      <c r="V127" s="206">
        <f t="shared" si="26"/>
        <v>579298.684313</v>
      </c>
      <c r="W127" s="77">
        <v>722717793</v>
      </c>
      <c r="X127" s="77">
        <f t="shared" si="25"/>
        <v>735726713.274</v>
      </c>
      <c r="Y127" s="77">
        <f t="shared" si="25"/>
        <v>748969794.1129321</v>
      </c>
    </row>
    <row r="128" spans="1:25" s="31" customFormat="1" ht="15.75" customHeight="1">
      <c r="A128" s="156"/>
      <c r="B128" s="153" t="s">
        <v>46</v>
      </c>
      <c r="C128" s="76"/>
      <c r="D128" s="67"/>
      <c r="E128" s="66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206">
        <f>132128.08-15000</f>
        <v>117128.07999999999</v>
      </c>
      <c r="U128" s="206">
        <f>(T128*1.03)</f>
        <v>120641.9224</v>
      </c>
      <c r="V128" s="206">
        <f t="shared" si="26"/>
        <v>124261.180072</v>
      </c>
      <c r="W128" s="77">
        <v>222051969</v>
      </c>
      <c r="X128" s="77">
        <f t="shared" si="25"/>
        <v>226048904.442</v>
      </c>
      <c r="Y128" s="77">
        <f t="shared" si="25"/>
        <v>230117784.721956</v>
      </c>
    </row>
    <row r="129" spans="1:25" s="31" customFormat="1" ht="15.75" customHeight="1">
      <c r="A129" s="156"/>
      <c r="B129" s="153" t="s">
        <v>215</v>
      </c>
      <c r="C129" s="155"/>
      <c r="D129" s="41"/>
      <c r="E129" s="106"/>
      <c r="F129" s="41"/>
      <c r="G129" s="41"/>
      <c r="H129" s="41"/>
      <c r="I129" s="41"/>
      <c r="J129" s="41"/>
      <c r="K129" s="41"/>
      <c r="L129" s="41"/>
      <c r="M129" s="41"/>
      <c r="N129" s="41"/>
      <c r="O129" s="163"/>
      <c r="P129" s="39"/>
      <c r="Q129" s="41"/>
      <c r="R129" s="39"/>
      <c r="S129" s="39"/>
      <c r="T129" s="206">
        <v>340000</v>
      </c>
      <c r="U129" s="206">
        <f t="shared" si="26"/>
        <v>350200</v>
      </c>
      <c r="V129" s="206">
        <f t="shared" si="26"/>
        <v>360706</v>
      </c>
      <c r="W129" s="77"/>
      <c r="X129" s="77"/>
      <c r="Y129" s="77"/>
    </row>
    <row r="130" spans="1:25" s="31" customFormat="1" ht="18.75" customHeight="1">
      <c r="A130" s="57" t="s">
        <v>47</v>
      </c>
      <c r="B130" s="58"/>
      <c r="C130" s="155"/>
      <c r="D130" s="41"/>
      <c r="E130" s="36"/>
      <c r="F130" s="37"/>
      <c r="G130" s="37"/>
      <c r="H130" s="37"/>
      <c r="I130" s="37"/>
      <c r="J130" s="37"/>
      <c r="K130" s="37"/>
      <c r="L130" s="37"/>
      <c r="M130" s="37"/>
      <c r="N130" s="38"/>
      <c r="O130" s="163"/>
      <c r="P130" s="39"/>
      <c r="Q130" s="41"/>
      <c r="R130" s="39"/>
      <c r="S130" s="39"/>
      <c r="T130" s="207">
        <f aca="true" t="shared" si="27" ref="T130:Y130">SUM(T131:T133)</f>
        <v>270565.38</v>
      </c>
      <c r="U130" s="207">
        <f t="shared" si="27"/>
        <v>274022.4838</v>
      </c>
      <c r="V130" s="207">
        <f t="shared" si="27"/>
        <v>276762.708638</v>
      </c>
      <c r="W130" s="132">
        <f t="shared" si="27"/>
        <v>157936961</v>
      </c>
      <c r="X130" s="132">
        <f t="shared" si="27"/>
        <v>160779826.298</v>
      </c>
      <c r="Y130" s="132">
        <f t="shared" si="27"/>
        <v>163673863.171364</v>
      </c>
    </row>
    <row r="131" spans="1:25" s="31" customFormat="1" ht="15.75" customHeight="1">
      <c r="A131" s="156"/>
      <c r="B131" s="71" t="s">
        <v>104</v>
      </c>
      <c r="C131" s="157"/>
      <c r="D131" s="67"/>
      <c r="E131" s="66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206">
        <v>26453.52</v>
      </c>
      <c r="U131" s="206">
        <f>T131*1.01+751.45</f>
        <v>27469.5052</v>
      </c>
      <c r="V131" s="206">
        <f>U131*1.01</f>
        <v>27744.200252</v>
      </c>
      <c r="W131" s="77">
        <v>157936961</v>
      </c>
      <c r="X131" s="77">
        <f aca="true" t="shared" si="28" ref="X131:Y133">W131*1.018</f>
        <v>160779826.298</v>
      </c>
      <c r="Y131" s="77">
        <f t="shared" si="28"/>
        <v>163673863.171364</v>
      </c>
    </row>
    <row r="132" spans="1:25" s="31" customFormat="1" ht="15.75" customHeight="1">
      <c r="A132" s="156"/>
      <c r="B132" s="71" t="s">
        <v>108</v>
      </c>
      <c r="C132" s="157"/>
      <c r="D132" s="67"/>
      <c r="E132" s="66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206">
        <f>235611.86+8500</f>
        <v>244111.86</v>
      </c>
      <c r="U132" s="206">
        <f>T132*1.01</f>
        <v>246552.9786</v>
      </c>
      <c r="V132" s="206">
        <f>U132*1.01</f>
        <v>249018.508386</v>
      </c>
      <c r="W132" s="77"/>
      <c r="X132" s="77"/>
      <c r="Y132" s="77"/>
    </row>
    <row r="133" spans="1:25" s="31" customFormat="1" ht="15.75" customHeight="1">
      <c r="A133" s="156"/>
      <c r="B133" s="153" t="s">
        <v>48</v>
      </c>
      <c r="C133" s="76"/>
      <c r="D133" s="67"/>
      <c r="E133" s="66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206">
        <v>0</v>
      </c>
      <c r="U133" s="206">
        <v>0</v>
      </c>
      <c r="V133" s="206">
        <v>0</v>
      </c>
      <c r="W133" s="77">
        <v>0</v>
      </c>
      <c r="X133" s="77">
        <f t="shared" si="28"/>
        <v>0</v>
      </c>
      <c r="Y133" s="77">
        <f t="shared" si="28"/>
        <v>0</v>
      </c>
    </row>
    <row r="134" spans="1:25" s="31" customFormat="1" ht="15.75" customHeight="1">
      <c r="A134" s="57" t="s">
        <v>49</v>
      </c>
      <c r="B134" s="164" t="s">
        <v>50</v>
      </c>
      <c r="C134" s="165"/>
      <c r="D134" s="80"/>
      <c r="E134" s="87"/>
      <c r="F134" s="83"/>
      <c r="G134" s="83"/>
      <c r="H134" s="83"/>
      <c r="I134" s="83"/>
      <c r="J134" s="83"/>
      <c r="K134" s="83"/>
      <c r="L134" s="83"/>
      <c r="M134" s="83"/>
      <c r="N134" s="135"/>
      <c r="O134" s="136"/>
      <c r="P134" s="60"/>
      <c r="Q134" s="63"/>
      <c r="R134" s="60"/>
      <c r="S134" s="63"/>
      <c r="T134" s="22">
        <v>0</v>
      </c>
      <c r="U134" s="22">
        <v>0</v>
      </c>
      <c r="V134" s="22">
        <v>0</v>
      </c>
      <c r="W134" s="132">
        <f>SUM(W135:W136)</f>
        <v>0</v>
      </c>
      <c r="X134" s="132">
        <f>SUM(X135:X136)</f>
        <v>0</v>
      </c>
      <c r="Y134" s="132">
        <f>SUM(Y135:Y136)</f>
        <v>0</v>
      </c>
    </row>
    <row r="135" spans="1:25" s="31" customFormat="1" ht="15.75" customHeight="1">
      <c r="A135" s="156"/>
      <c r="B135" s="153" t="s">
        <v>51</v>
      </c>
      <c r="C135" s="76"/>
      <c r="D135" s="67"/>
      <c r="E135" s="66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22">
        <v>0</v>
      </c>
      <c r="U135" s="22">
        <v>0</v>
      </c>
      <c r="V135" s="22">
        <v>0</v>
      </c>
      <c r="W135" s="77">
        <v>0</v>
      </c>
      <c r="X135" s="77">
        <f>W135*1.018</f>
        <v>0</v>
      </c>
      <c r="Y135" s="77">
        <f>X135*1.018</f>
        <v>0</v>
      </c>
    </row>
    <row r="136" spans="1:25" s="31" customFormat="1" ht="15.75" customHeight="1">
      <c r="A136" s="156"/>
      <c r="B136" s="71" t="s">
        <v>52</v>
      </c>
      <c r="C136" s="157"/>
      <c r="D136" s="67"/>
      <c r="E136" s="66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22">
        <v>0</v>
      </c>
      <c r="U136" s="22">
        <v>0</v>
      </c>
      <c r="V136" s="22">
        <v>0</v>
      </c>
      <c r="W136" s="77">
        <v>0</v>
      </c>
      <c r="X136" s="77">
        <f>W136*1.018</f>
        <v>0</v>
      </c>
      <c r="Y136" s="77">
        <f>X136*1.018</f>
        <v>0</v>
      </c>
    </row>
    <row r="137" spans="1:25" s="31" customFormat="1" ht="18.75" customHeight="1">
      <c r="A137" s="57" t="s">
        <v>53</v>
      </c>
      <c r="B137" s="166" t="s">
        <v>54</v>
      </c>
      <c r="C137" s="167"/>
      <c r="D137" s="168"/>
      <c r="E137" s="66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207">
        <f aca="true" t="shared" si="29" ref="T137:Y137">SUM(T138)</f>
        <v>15000</v>
      </c>
      <c r="U137" s="207">
        <f t="shared" si="29"/>
        <v>15150</v>
      </c>
      <c r="V137" s="207">
        <f t="shared" si="29"/>
        <v>15301.5</v>
      </c>
      <c r="W137" s="132">
        <f t="shared" si="29"/>
        <v>0</v>
      </c>
      <c r="X137" s="132">
        <f t="shared" si="29"/>
        <v>0</v>
      </c>
      <c r="Y137" s="132">
        <f t="shared" si="29"/>
        <v>0</v>
      </c>
    </row>
    <row r="138" spans="1:25" s="31" customFormat="1" ht="15.75" customHeight="1">
      <c r="A138" s="156"/>
      <c r="B138" s="71" t="s">
        <v>55</v>
      </c>
      <c r="C138" s="157"/>
      <c r="D138" s="67"/>
      <c r="E138" s="66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206">
        <v>15000</v>
      </c>
      <c r="U138" s="206">
        <f>T138*1.01</f>
        <v>15150</v>
      </c>
      <c r="V138" s="206">
        <f>U138*1.01</f>
        <v>15301.5</v>
      </c>
      <c r="W138" s="77">
        <v>0</v>
      </c>
      <c r="X138" s="77">
        <f>W138*1.018</f>
        <v>0</v>
      </c>
      <c r="Y138" s="77">
        <f>X138*1.018</f>
        <v>0</v>
      </c>
    </row>
    <row r="139" spans="1:25" s="31" customFormat="1" ht="15.75" customHeight="1">
      <c r="A139" s="57" t="s">
        <v>56</v>
      </c>
      <c r="B139" s="166" t="s">
        <v>57</v>
      </c>
      <c r="C139" s="167"/>
      <c r="D139" s="168"/>
      <c r="E139" s="66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22">
        <f>SUM(T140)</f>
        <v>0</v>
      </c>
      <c r="U139" s="22">
        <v>0</v>
      </c>
      <c r="V139" s="22">
        <v>0</v>
      </c>
      <c r="W139" s="132">
        <f>SUM(W140)</f>
        <v>5871883</v>
      </c>
      <c r="X139" s="132">
        <f>SUM(X140)</f>
        <v>5977576.894</v>
      </c>
      <c r="Y139" s="132">
        <f>SUM(Y140)</f>
        <v>6085173.278092001</v>
      </c>
    </row>
    <row r="140" spans="1:25" s="31" customFormat="1" ht="15.75" customHeight="1">
      <c r="A140" s="156"/>
      <c r="B140" s="153" t="s">
        <v>149</v>
      </c>
      <c r="C140" s="76"/>
      <c r="D140" s="67"/>
      <c r="E140" s="66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22">
        <v>0</v>
      </c>
      <c r="U140" s="22">
        <v>0</v>
      </c>
      <c r="V140" s="22">
        <v>0</v>
      </c>
      <c r="W140" s="77">
        <v>5871883</v>
      </c>
      <c r="X140" s="77">
        <f>W140*1.018</f>
        <v>5977576.894</v>
      </c>
      <c r="Y140" s="77">
        <f>X140*1.018</f>
        <v>6085173.278092001</v>
      </c>
    </row>
    <row r="141" spans="1:25" s="31" customFormat="1" ht="19.5" customHeight="1">
      <c r="A141" s="57" t="s">
        <v>58</v>
      </c>
      <c r="B141" s="166" t="s">
        <v>59</v>
      </c>
      <c r="C141" s="167"/>
      <c r="D141" s="168"/>
      <c r="E141" s="66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207">
        <f aca="true" t="shared" si="30" ref="T141:Y141">SUM(T142:T152)</f>
        <v>83627.68999999999</v>
      </c>
      <c r="U141" s="207">
        <f t="shared" si="30"/>
        <v>84463.9669</v>
      </c>
      <c r="V141" s="207">
        <f t="shared" si="30"/>
        <v>85308.606569</v>
      </c>
      <c r="W141" s="132">
        <f t="shared" si="30"/>
        <v>42107273</v>
      </c>
      <c r="X141" s="132">
        <f t="shared" si="30"/>
        <v>42865203.914</v>
      </c>
      <c r="Y141" s="132">
        <f t="shared" si="30"/>
        <v>43636777.584452</v>
      </c>
    </row>
    <row r="142" spans="1:25" s="31" customFormat="1" ht="15.75" customHeight="1">
      <c r="A142" s="156"/>
      <c r="B142" s="153" t="s">
        <v>60</v>
      </c>
      <c r="C142" s="76"/>
      <c r="D142" s="67"/>
      <c r="E142" s="66">
        <v>30600000</v>
      </c>
      <c r="F142" s="67"/>
      <c r="G142" s="67"/>
      <c r="H142" s="67">
        <v>1500000</v>
      </c>
      <c r="I142" s="67">
        <v>700000</v>
      </c>
      <c r="J142" s="67">
        <v>800000</v>
      </c>
      <c r="K142" s="67"/>
      <c r="L142" s="67"/>
      <c r="M142" s="67"/>
      <c r="N142" s="67"/>
      <c r="O142" s="67"/>
      <c r="P142" s="67"/>
      <c r="Q142" s="67"/>
      <c r="R142" s="67"/>
      <c r="S142" s="67"/>
      <c r="T142" s="206">
        <v>8124.17</v>
      </c>
      <c r="U142" s="206">
        <f aca="true" t="shared" si="31" ref="U142:V152">T142*1.01</f>
        <v>8205.4117</v>
      </c>
      <c r="V142" s="206">
        <f t="shared" si="31"/>
        <v>8287.465817</v>
      </c>
      <c r="W142" s="77">
        <v>8019293</v>
      </c>
      <c r="X142" s="77">
        <f>W142*1.018</f>
        <v>8163640.274</v>
      </c>
      <c r="Y142" s="77">
        <f>X142*1.018</f>
        <v>8310585.798932</v>
      </c>
    </row>
    <row r="143" spans="1:25" s="31" customFormat="1" ht="15.75" customHeight="1">
      <c r="A143" s="156"/>
      <c r="B143" s="153" t="s">
        <v>124</v>
      </c>
      <c r="C143" s="76"/>
      <c r="D143" s="67"/>
      <c r="E143" s="66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206">
        <v>529.37</v>
      </c>
      <c r="U143" s="206">
        <f t="shared" si="31"/>
        <v>534.6637000000001</v>
      </c>
      <c r="V143" s="206">
        <f t="shared" si="31"/>
        <v>540.010337</v>
      </c>
      <c r="W143" s="77"/>
      <c r="X143" s="77"/>
      <c r="Y143" s="77"/>
    </row>
    <row r="144" spans="1:25" s="31" customFormat="1" ht="15.75" customHeight="1">
      <c r="A144" s="156"/>
      <c r="B144" s="153" t="s">
        <v>196</v>
      </c>
      <c r="C144" s="76"/>
      <c r="D144" s="67"/>
      <c r="E144" s="66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206">
        <v>738</v>
      </c>
      <c r="U144" s="206">
        <f t="shared" si="31"/>
        <v>745.38</v>
      </c>
      <c r="V144" s="206">
        <f t="shared" si="31"/>
        <v>752.8338</v>
      </c>
      <c r="W144" s="77"/>
      <c r="X144" s="77"/>
      <c r="Y144" s="77"/>
    </row>
    <row r="145" spans="1:25" s="31" customFormat="1" ht="15.75" customHeight="1">
      <c r="A145" s="156"/>
      <c r="B145" s="153" t="s">
        <v>125</v>
      </c>
      <c r="C145" s="76"/>
      <c r="D145" s="67"/>
      <c r="E145" s="66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206">
        <v>726.27</v>
      </c>
      <c r="U145" s="206">
        <f t="shared" si="31"/>
        <v>733.5327</v>
      </c>
      <c r="V145" s="206">
        <f t="shared" si="31"/>
        <v>740.868027</v>
      </c>
      <c r="W145" s="77"/>
      <c r="X145" s="77"/>
      <c r="Y145" s="77"/>
    </row>
    <row r="146" spans="1:25" s="31" customFormat="1" ht="15.75" customHeight="1">
      <c r="A146" s="156"/>
      <c r="B146" s="153" t="s">
        <v>150</v>
      </c>
      <c r="C146" s="76"/>
      <c r="D146" s="67"/>
      <c r="E146" s="66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206">
        <v>5897.96</v>
      </c>
      <c r="U146" s="206">
        <f t="shared" si="31"/>
        <v>5956.9396</v>
      </c>
      <c r="V146" s="206">
        <f t="shared" si="31"/>
        <v>6016.508996</v>
      </c>
      <c r="W146" s="77"/>
      <c r="X146" s="77"/>
      <c r="Y146" s="77"/>
    </row>
    <row r="147" spans="1:25" s="31" customFormat="1" ht="15.75" customHeight="1">
      <c r="A147" s="156"/>
      <c r="B147" s="153" t="s">
        <v>151</v>
      </c>
      <c r="C147" s="76"/>
      <c r="D147" s="67"/>
      <c r="E147" s="66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206">
        <f>2845.65+2000</f>
        <v>4845.65</v>
      </c>
      <c r="U147" s="206">
        <f t="shared" si="31"/>
        <v>4894.1065</v>
      </c>
      <c r="V147" s="206">
        <f t="shared" si="31"/>
        <v>4943.047565</v>
      </c>
      <c r="W147" s="77"/>
      <c r="X147" s="77"/>
      <c r="Y147" s="77"/>
    </row>
    <row r="148" spans="1:25" s="31" customFormat="1" ht="15.75" customHeight="1">
      <c r="A148" s="156"/>
      <c r="B148" s="153" t="s">
        <v>197</v>
      </c>
      <c r="C148" s="76"/>
      <c r="D148" s="67"/>
      <c r="E148" s="66">
        <v>1020000</v>
      </c>
      <c r="F148" s="67"/>
      <c r="G148" s="67"/>
      <c r="H148" s="67"/>
      <c r="I148" s="67">
        <v>1000000</v>
      </c>
      <c r="J148" s="67">
        <v>1000000</v>
      </c>
      <c r="K148" s="67"/>
      <c r="L148" s="67"/>
      <c r="M148" s="67"/>
      <c r="N148" s="67"/>
      <c r="O148" s="67"/>
      <c r="P148" s="67"/>
      <c r="Q148" s="67"/>
      <c r="R148" s="67"/>
      <c r="S148" s="67"/>
      <c r="T148" s="206">
        <v>17094.5</v>
      </c>
      <c r="U148" s="206">
        <f t="shared" si="31"/>
        <v>17265.445</v>
      </c>
      <c r="V148" s="206">
        <f t="shared" si="31"/>
        <v>17438.09945</v>
      </c>
      <c r="W148" s="77">
        <v>24787091</v>
      </c>
      <c r="X148" s="77">
        <f>W148*1.018</f>
        <v>25233258.638</v>
      </c>
      <c r="Y148" s="77">
        <f>X148*1.018</f>
        <v>25687457.293484002</v>
      </c>
    </row>
    <row r="149" spans="1:25" s="31" customFormat="1" ht="15.75" customHeight="1">
      <c r="A149" s="156"/>
      <c r="B149" s="153" t="s">
        <v>198</v>
      </c>
      <c r="C149" s="76"/>
      <c r="D149" s="67"/>
      <c r="E149" s="66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206">
        <v>38239.61</v>
      </c>
      <c r="U149" s="206">
        <f t="shared" si="31"/>
        <v>38622.0061</v>
      </c>
      <c r="V149" s="206">
        <f t="shared" si="31"/>
        <v>39008.226161</v>
      </c>
      <c r="W149" s="77"/>
      <c r="X149" s="77"/>
      <c r="Y149" s="77"/>
    </row>
    <row r="150" spans="1:25" s="31" customFormat="1" ht="15.75" customHeight="1">
      <c r="A150" s="156"/>
      <c r="B150" s="153" t="s">
        <v>199</v>
      </c>
      <c r="C150" s="76"/>
      <c r="D150" s="67"/>
      <c r="E150" s="66">
        <v>1428000</v>
      </c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206">
        <v>5214.79</v>
      </c>
      <c r="U150" s="206">
        <f t="shared" si="31"/>
        <v>5266.9379</v>
      </c>
      <c r="V150" s="206">
        <f t="shared" si="31"/>
        <v>5319.607279</v>
      </c>
      <c r="W150" s="77">
        <v>4369289</v>
      </c>
      <c r="X150" s="77">
        <f aca="true" t="shared" si="32" ref="X150:Y152">W150*1.018</f>
        <v>4447936.2020000005</v>
      </c>
      <c r="Y150" s="77">
        <f t="shared" si="32"/>
        <v>4527999.0536360005</v>
      </c>
    </row>
    <row r="151" spans="1:25" s="31" customFormat="1" ht="15.75" customHeight="1">
      <c r="A151" s="156"/>
      <c r="B151" s="169" t="s">
        <v>89</v>
      </c>
      <c r="C151" s="76"/>
      <c r="D151" s="67"/>
      <c r="E151" s="66">
        <v>22700000</v>
      </c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206">
        <v>1332.5</v>
      </c>
      <c r="U151" s="206">
        <f t="shared" si="31"/>
        <v>1345.825</v>
      </c>
      <c r="V151" s="206">
        <f t="shared" si="31"/>
        <v>1359.28325</v>
      </c>
      <c r="W151" s="77">
        <f>1236000+1236000</f>
        <v>2472000</v>
      </c>
      <c r="X151" s="77">
        <f t="shared" si="32"/>
        <v>2516496</v>
      </c>
      <c r="Y151" s="77">
        <f t="shared" si="32"/>
        <v>2561792.928</v>
      </c>
    </row>
    <row r="152" spans="1:25" s="31" customFormat="1" ht="15.75" customHeight="1">
      <c r="A152" s="156"/>
      <c r="B152" s="170" t="s">
        <v>61</v>
      </c>
      <c r="C152" s="43"/>
      <c r="D152" s="39"/>
      <c r="E152" s="171">
        <v>2000000</v>
      </c>
      <c r="F152" s="39">
        <v>2000000</v>
      </c>
      <c r="G152" s="39">
        <v>2000000</v>
      </c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206">
        <v>884.87</v>
      </c>
      <c r="U152" s="206">
        <f t="shared" si="31"/>
        <v>893.7187</v>
      </c>
      <c r="V152" s="206">
        <f t="shared" si="31"/>
        <v>902.655887</v>
      </c>
      <c r="W152" s="172">
        <f>1359600+600000+500000</f>
        <v>2459600</v>
      </c>
      <c r="X152" s="77">
        <f t="shared" si="32"/>
        <v>2503872.8</v>
      </c>
      <c r="Y152" s="77">
        <f t="shared" si="32"/>
        <v>2548942.5104</v>
      </c>
    </row>
    <row r="153" spans="1:25" s="31" customFormat="1" ht="15.75" customHeight="1">
      <c r="A153" s="143"/>
      <c r="B153" s="97"/>
      <c r="C153" s="97"/>
      <c r="D153" s="85"/>
      <c r="E153" s="173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22"/>
      <c r="U153" s="22"/>
      <c r="V153" s="22"/>
      <c r="W153" s="174"/>
      <c r="X153" s="174"/>
      <c r="Y153" s="174"/>
    </row>
    <row r="154" spans="1:25" s="31" customFormat="1" ht="18.75" customHeight="1">
      <c r="A154" s="68"/>
      <c r="B154" s="112" t="s">
        <v>23</v>
      </c>
      <c r="C154" s="112"/>
      <c r="D154" s="73"/>
      <c r="E154" s="175">
        <f aca="true" t="shared" si="33" ref="E154:S154">SUM(E128:E150)</f>
        <v>33048000</v>
      </c>
      <c r="F154" s="176">
        <f t="shared" si="33"/>
        <v>0</v>
      </c>
      <c r="G154" s="176">
        <f t="shared" si="33"/>
        <v>0</v>
      </c>
      <c r="H154" s="176">
        <f t="shared" si="33"/>
        <v>1500000</v>
      </c>
      <c r="I154" s="176">
        <f t="shared" si="33"/>
        <v>1700000</v>
      </c>
      <c r="J154" s="176">
        <f t="shared" si="33"/>
        <v>1800000</v>
      </c>
      <c r="K154" s="176">
        <f t="shared" si="33"/>
        <v>0</v>
      </c>
      <c r="L154" s="176">
        <f t="shared" si="33"/>
        <v>0</v>
      </c>
      <c r="M154" s="176">
        <f t="shared" si="33"/>
        <v>0</v>
      </c>
      <c r="N154" s="176">
        <f t="shared" si="33"/>
        <v>0</v>
      </c>
      <c r="O154" s="176">
        <f t="shared" si="33"/>
        <v>0</v>
      </c>
      <c r="P154" s="176">
        <f t="shared" si="33"/>
        <v>0</v>
      </c>
      <c r="Q154" s="176">
        <f t="shared" si="33"/>
        <v>0</v>
      </c>
      <c r="R154" s="176">
        <f t="shared" si="33"/>
        <v>0</v>
      </c>
      <c r="S154" s="176">
        <f t="shared" si="33"/>
        <v>0</v>
      </c>
      <c r="T154" s="207">
        <f>T50+T63+T115+T120+T125+T130+T137+T139+T141</f>
        <v>8570898.58</v>
      </c>
      <c r="U154" s="207">
        <f>U50+U63+U115+U120+U125+U130+U137+U141</f>
        <v>8713328.9988</v>
      </c>
      <c r="V154" s="207">
        <f>V50+V63+V115+V120+V125+V130+V137+V141</f>
        <v>8858045.180634</v>
      </c>
      <c r="W154" s="177">
        <f>SUM(W50+W63+W115+W120+W125+W130+W134+W137+W139+W141)</f>
        <v>13036053905</v>
      </c>
      <c r="X154" s="177">
        <f>SUM(X50+X63+X115+X120+X125+X130+X134+X137+X139+X141)</f>
        <v>13223214822.414</v>
      </c>
      <c r="Y154" s="177">
        <f>SUM(Y50+Y63+Y115+Y120+Y125+Y130+Y134+Y137+Y139+Y141)</f>
        <v>13574073710.760946</v>
      </c>
    </row>
    <row r="155" spans="1:25" s="31" customFormat="1" ht="15.75" customHeight="1">
      <c r="A155" s="178"/>
      <c r="B155" s="97"/>
      <c r="C155" s="97"/>
      <c r="D155" s="85"/>
      <c r="E155" s="173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174"/>
      <c r="U155" s="174"/>
      <c r="V155" s="174"/>
      <c r="W155" s="174"/>
      <c r="X155" s="174"/>
      <c r="Y155" s="174"/>
    </row>
    <row r="156" spans="1:25" s="181" customFormat="1" ht="22.5">
      <c r="A156" s="32" t="s">
        <v>62</v>
      </c>
      <c r="B156" s="122" t="s">
        <v>63</v>
      </c>
      <c r="C156" s="123"/>
      <c r="D156" s="179"/>
      <c r="E156" s="119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207">
        <f>SUM(T157:T159)</f>
        <v>203388.12</v>
      </c>
      <c r="U156" s="207">
        <f>SUM(U157:U159)</f>
        <v>221253.27</v>
      </c>
      <c r="V156" s="207">
        <f>SUM(V157:V159)</f>
        <v>241369.28</v>
      </c>
      <c r="W156" s="180">
        <f>SUM(W159-W158-W157)</f>
        <v>-20000000</v>
      </c>
      <c r="X156" s="180">
        <f>SUM(X159-X158-X157)</f>
        <v>-20000000</v>
      </c>
      <c r="Y156" s="180">
        <f>SUM(Y159-Y158-Y157)</f>
        <v>-20000000</v>
      </c>
    </row>
    <row r="157" spans="1:25" s="181" customFormat="1" ht="20.25">
      <c r="A157" s="182" t="s">
        <v>64</v>
      </c>
      <c r="B157" s="183" t="s">
        <v>65</v>
      </c>
      <c r="C157" s="183"/>
      <c r="D157" s="184"/>
      <c r="E157" s="119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22">
        <v>255000</v>
      </c>
      <c r="U157" s="22">
        <f>T157*1.06</f>
        <v>270300</v>
      </c>
      <c r="V157" s="22">
        <f>U157*1.07</f>
        <v>289221</v>
      </c>
      <c r="W157" s="77">
        <v>0</v>
      </c>
      <c r="X157" s="77">
        <f aca="true" t="shared" si="34" ref="X157:Y159">W157*1.018</f>
        <v>0</v>
      </c>
      <c r="Y157" s="77">
        <f t="shared" si="34"/>
        <v>0</v>
      </c>
    </row>
    <row r="158" spans="1:25" s="181" customFormat="1" ht="20.25">
      <c r="A158" s="185" t="s">
        <v>66</v>
      </c>
      <c r="B158" s="183" t="s">
        <v>67</v>
      </c>
      <c r="C158" s="183"/>
      <c r="D158" s="184"/>
      <c r="E158" s="119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22">
        <v>8964.12</v>
      </c>
      <c r="U158" s="22">
        <v>7000</v>
      </c>
      <c r="V158" s="22">
        <v>6000</v>
      </c>
      <c r="W158" s="186">
        <v>20000000</v>
      </c>
      <c r="X158" s="186">
        <f>W158</f>
        <v>20000000</v>
      </c>
      <c r="Y158" s="186">
        <f>X158</f>
        <v>20000000</v>
      </c>
    </row>
    <row r="159" spans="1:25" s="181" customFormat="1" ht="20.25">
      <c r="A159" s="187" t="s">
        <v>68</v>
      </c>
      <c r="B159" s="183" t="s">
        <v>69</v>
      </c>
      <c r="C159" s="183"/>
      <c r="D159" s="184"/>
      <c r="E159" s="119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22">
        <v>-60576</v>
      </c>
      <c r="U159" s="22">
        <f>-21872.33-30174.4-4000</f>
        <v>-56046.73</v>
      </c>
      <c r="V159" s="22">
        <f>-20897.11-28954.61-4000</f>
        <v>-53851.72</v>
      </c>
      <c r="W159" s="77">
        <v>0</v>
      </c>
      <c r="X159" s="77">
        <f t="shared" si="34"/>
        <v>0</v>
      </c>
      <c r="Y159" s="77">
        <f t="shared" si="34"/>
        <v>0</v>
      </c>
    </row>
    <row r="160" spans="1:25" s="181" customFormat="1" ht="20.25">
      <c r="A160" s="32" t="s">
        <v>70</v>
      </c>
      <c r="B160" s="122" t="s">
        <v>90</v>
      </c>
      <c r="C160" s="123"/>
      <c r="D160" s="124"/>
      <c r="E160" s="119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10">
        <f>W160/1936.27</f>
        <v>0</v>
      </c>
      <c r="U160" s="110">
        <f>X160/1936.27</f>
        <v>0</v>
      </c>
      <c r="V160" s="110">
        <f>Y160/1936.27</f>
        <v>0</v>
      </c>
      <c r="W160" s="132">
        <v>0</v>
      </c>
      <c r="X160" s="132">
        <v>0</v>
      </c>
      <c r="Y160" s="132">
        <v>0</v>
      </c>
    </row>
    <row r="161" spans="1:25" s="181" customFormat="1" ht="20.25">
      <c r="A161" s="188"/>
      <c r="B161" s="117"/>
      <c r="C161" s="117"/>
      <c r="D161" s="53"/>
      <c r="E161" s="119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10"/>
      <c r="U161" s="110"/>
      <c r="V161" s="110"/>
      <c r="W161" s="77"/>
      <c r="X161" s="77"/>
      <c r="Y161" s="77"/>
    </row>
    <row r="162" spans="1:25" s="181" customFormat="1" ht="20.25">
      <c r="A162" s="32" t="s">
        <v>71</v>
      </c>
      <c r="B162" s="189" t="s">
        <v>72</v>
      </c>
      <c r="C162" s="190"/>
      <c r="D162" s="191"/>
      <c r="E162" s="119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22">
        <f>SUM(T163:T164)</f>
        <v>0</v>
      </c>
      <c r="U162" s="22">
        <f>SUM(U163:U164)</f>
        <v>0</v>
      </c>
      <c r="V162" s="22">
        <f>SUM(V163:V164)</f>
        <v>0</v>
      </c>
      <c r="W162" s="132">
        <f>SUM(-W163+W164)</f>
        <v>0</v>
      </c>
      <c r="X162" s="132">
        <f>SUM(-X163+X164)</f>
        <v>0</v>
      </c>
      <c r="Y162" s="132">
        <f>SUM(-Y163+Y164)</f>
        <v>0</v>
      </c>
    </row>
    <row r="163" spans="1:25" s="181" customFormat="1" ht="20.25">
      <c r="A163" s="182" t="s">
        <v>73</v>
      </c>
      <c r="B163" s="183" t="s">
        <v>129</v>
      </c>
      <c r="C163" s="192"/>
      <c r="D163" s="193"/>
      <c r="E163" s="119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22"/>
      <c r="U163" s="22"/>
      <c r="V163" s="22"/>
      <c r="W163" s="77">
        <v>0</v>
      </c>
      <c r="X163" s="77">
        <f>W163*1.018</f>
        <v>0</v>
      </c>
      <c r="Y163" s="77">
        <f>X163*1.018</f>
        <v>0</v>
      </c>
    </row>
    <row r="164" spans="1:25" s="31" customFormat="1" ht="15.75" customHeight="1">
      <c r="A164" s="57" t="s">
        <v>74</v>
      </c>
      <c r="B164" s="164" t="s">
        <v>75</v>
      </c>
      <c r="C164" s="112"/>
      <c r="D164" s="194"/>
      <c r="E164" s="195"/>
      <c r="F164" s="39"/>
      <c r="G164" s="39"/>
      <c r="H164" s="39"/>
      <c r="I164" s="39"/>
      <c r="J164" s="39"/>
      <c r="K164" s="39"/>
      <c r="L164" s="39"/>
      <c r="M164" s="39"/>
      <c r="N164" s="39"/>
      <c r="O164" s="109"/>
      <c r="P164" s="39"/>
      <c r="Q164" s="109"/>
      <c r="R164" s="109"/>
      <c r="S164" s="109"/>
      <c r="T164" s="110"/>
      <c r="U164" s="110">
        <f>X164/1936.27</f>
        <v>0</v>
      </c>
      <c r="V164" s="110"/>
      <c r="W164" s="172">
        <v>0</v>
      </c>
      <c r="X164" s="77">
        <f>W164*1.018</f>
        <v>0</v>
      </c>
      <c r="Y164" s="77">
        <f>X164*1.018</f>
        <v>0</v>
      </c>
    </row>
    <row r="165" spans="1:25" s="31" customFormat="1" ht="15.75" customHeight="1">
      <c r="A165" s="80"/>
      <c r="B165" s="164"/>
      <c r="C165" s="112"/>
      <c r="D165" s="196"/>
      <c r="E165" s="173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110"/>
      <c r="U165" s="110"/>
      <c r="V165" s="110"/>
      <c r="W165" s="174"/>
      <c r="X165" s="174"/>
      <c r="Y165" s="174"/>
    </row>
    <row r="166" spans="1:25" s="31" customFormat="1" ht="18.75" customHeight="1">
      <c r="A166" s="32" t="s">
        <v>76</v>
      </c>
      <c r="B166" s="122" t="s">
        <v>105</v>
      </c>
      <c r="C166" s="123"/>
      <c r="D166" s="197"/>
      <c r="E166" s="87"/>
      <c r="F166" s="83"/>
      <c r="G166" s="83"/>
      <c r="H166" s="83"/>
      <c r="I166" s="83"/>
      <c r="J166" s="83"/>
      <c r="K166" s="83"/>
      <c r="L166" s="83"/>
      <c r="M166" s="83"/>
      <c r="N166" s="83"/>
      <c r="O166" s="63"/>
      <c r="P166" s="60"/>
      <c r="Q166" s="136"/>
      <c r="R166" s="136"/>
      <c r="S166" s="136"/>
      <c r="T166" s="207">
        <v>130884.02</v>
      </c>
      <c r="U166" s="207">
        <f>T166*1.13</f>
        <v>147898.94259999998</v>
      </c>
      <c r="V166" s="207">
        <f>U166*1.01</f>
        <v>149377.932026</v>
      </c>
      <c r="W166" s="180">
        <v>154720074</v>
      </c>
      <c r="X166" s="132">
        <f>W166*1.018</f>
        <v>157505035.33200002</v>
      </c>
      <c r="Y166" s="132">
        <f>X166*1.018</f>
        <v>160340125.96797603</v>
      </c>
    </row>
    <row r="167" spans="1:25" s="31" customFormat="1" ht="15.75" customHeight="1">
      <c r="A167" s="198"/>
      <c r="E167" s="199"/>
      <c r="T167" s="110"/>
      <c r="U167" s="110"/>
      <c r="V167" s="110"/>
      <c r="W167" s="23"/>
      <c r="X167" s="23"/>
      <c r="Y167" s="23"/>
    </row>
    <row r="168" spans="1:25" s="31" customFormat="1" ht="24.75" customHeight="1">
      <c r="A168" s="32"/>
      <c r="B168" s="122" t="s">
        <v>91</v>
      </c>
      <c r="C168" s="123"/>
      <c r="D168" s="200"/>
      <c r="E168" s="199"/>
      <c r="T168" s="207">
        <f>T45-T154+T156-T162-T166</f>
        <v>3.637978807091713E-10</v>
      </c>
      <c r="U168" s="207">
        <f>U45-U154+U156-U162-U166</f>
        <v>0.003600000578444451</v>
      </c>
      <c r="V168" s="207">
        <f>V45-V154+V156-V162-V166</f>
        <v>-0.002659999328898266</v>
      </c>
      <c r="W168" s="201">
        <f>SUM(W45-W154-W156-W160-W162-W166)</f>
        <v>-7694518603</v>
      </c>
      <c r="X168" s="201">
        <f>SUM(X45-X154-X156-X160-X162-X166)</f>
        <v>-7083069272.548</v>
      </c>
      <c r="Y168" s="201">
        <f>SUM(Y45-Y154-Y156-Y160-Y162-Y166)</f>
        <v>-6634726062.937858</v>
      </c>
    </row>
    <row r="169" spans="1:22" ht="15.75" customHeight="1">
      <c r="A169" s="202"/>
      <c r="B169"/>
      <c r="C169"/>
      <c r="D169"/>
      <c r="E169" s="15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 s="5"/>
      <c r="U169" s="5"/>
      <c r="V169" s="5"/>
    </row>
    <row r="170" spans="1:22" ht="15.75" customHeight="1">
      <c r="A170"/>
      <c r="B170"/>
      <c r="C170"/>
      <c r="D170"/>
      <c r="E170" s="15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 s="5"/>
      <c r="U170" s="5"/>
      <c r="V170" s="5"/>
    </row>
    <row r="171" spans="1:22" ht="15.75" customHeight="1">
      <c r="A171"/>
      <c r="B171"/>
      <c r="C171"/>
      <c r="D171"/>
      <c r="E171" s="15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 s="5"/>
      <c r="U171" s="5"/>
      <c r="V171" s="5"/>
    </row>
    <row r="172" spans="1:22" ht="15.75" customHeight="1">
      <c r="A172"/>
      <c r="B172"/>
      <c r="C172"/>
      <c r="D172"/>
      <c r="E172" s="15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 s="5"/>
      <c r="U172" s="5"/>
      <c r="V172" s="5"/>
    </row>
    <row r="173" spans="1:22" ht="15.75" customHeight="1">
      <c r="A173"/>
      <c r="B173"/>
      <c r="C173"/>
      <c r="D173"/>
      <c r="E173" s="15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 s="5"/>
      <c r="U173" s="5"/>
      <c r="V173" s="5"/>
    </row>
    <row r="174" spans="1:22" ht="15.75" customHeight="1">
      <c r="A174"/>
      <c r="B174"/>
      <c r="C174"/>
      <c r="D174"/>
      <c r="E174" s="15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 s="5"/>
      <c r="U174" s="5"/>
      <c r="V174" s="5"/>
    </row>
    <row r="175" spans="1:22" ht="15.75" customHeight="1">
      <c r="A175"/>
      <c r="B175"/>
      <c r="C175"/>
      <c r="D175"/>
      <c r="E175" s="1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 s="5"/>
      <c r="U175" s="5"/>
      <c r="V175" s="5"/>
    </row>
    <row r="176" spans="1:22" ht="15.75">
      <c r="A176"/>
      <c r="B176"/>
      <c r="C176"/>
      <c r="D176"/>
      <c r="E176" s="15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 s="5"/>
      <c r="U176" s="5"/>
      <c r="V176" s="5"/>
    </row>
    <row r="177" spans="1:22" ht="15.75">
      <c r="A177"/>
      <c r="B177"/>
      <c r="C177"/>
      <c r="D177"/>
      <c r="E177" s="15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 s="5"/>
      <c r="U177" s="5"/>
      <c r="V177" s="5"/>
    </row>
    <row r="178" spans="1:22" ht="15.75">
      <c r="A178"/>
      <c r="B178"/>
      <c r="C178"/>
      <c r="D178"/>
      <c r="E178" s="15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 s="5"/>
      <c r="U178" s="5"/>
      <c r="V178" s="5"/>
    </row>
    <row r="179" spans="1:22" ht="15.75">
      <c r="A179"/>
      <c r="B179"/>
      <c r="C179"/>
      <c r="D179"/>
      <c r="E179" s="15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 s="5"/>
      <c r="U179" s="5"/>
      <c r="V179" s="5"/>
    </row>
    <row r="180" spans="1:22" ht="15.75">
      <c r="A180"/>
      <c r="B180"/>
      <c r="C180"/>
      <c r="D180"/>
      <c r="E180" s="15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 s="5"/>
      <c r="U180" s="5"/>
      <c r="V180" s="5"/>
    </row>
    <row r="181" spans="1:22" ht="15.75">
      <c r="A181"/>
      <c r="B181"/>
      <c r="C181"/>
      <c r="D181"/>
      <c r="E181" s="15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 s="5"/>
      <c r="U181" s="5"/>
      <c r="V181" s="5"/>
    </row>
    <row r="182" spans="1:22" ht="15.75">
      <c r="A182"/>
      <c r="B182"/>
      <c r="C182"/>
      <c r="D182"/>
      <c r="E182" s="15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 s="5"/>
      <c r="U182" s="5"/>
      <c r="V182" s="5"/>
    </row>
    <row r="183" spans="1:22" ht="15.75">
      <c r="A183"/>
      <c r="B183"/>
      <c r="C183"/>
      <c r="D183"/>
      <c r="E183" s="15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 s="5"/>
      <c r="U183" s="5"/>
      <c r="V183" s="5"/>
    </row>
    <row r="184" spans="1:22" ht="15.75">
      <c r="A184"/>
      <c r="B184"/>
      <c r="C184"/>
      <c r="D184"/>
      <c r="E184" s="15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 s="5"/>
      <c r="U184" s="5"/>
      <c r="V184" s="5"/>
    </row>
    <row r="185" spans="1:22" ht="15.75">
      <c r="A185"/>
      <c r="B185"/>
      <c r="C185"/>
      <c r="D185"/>
      <c r="E185" s="1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 s="5"/>
      <c r="U185" s="5"/>
      <c r="V185" s="5"/>
    </row>
    <row r="186" spans="1:22" ht="15.75">
      <c r="A186"/>
      <c r="B186"/>
      <c r="C186"/>
      <c r="D186"/>
      <c r="E186" s="15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 s="5"/>
      <c r="U186" s="5"/>
      <c r="V186" s="5"/>
    </row>
    <row r="187" spans="1:22" ht="15.75">
      <c r="A187"/>
      <c r="B187"/>
      <c r="C187"/>
      <c r="D187"/>
      <c r="E187" s="15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 s="5"/>
      <c r="U187" s="5"/>
      <c r="V187" s="5"/>
    </row>
    <row r="188" spans="1:19" ht="12.75">
      <c r="A188"/>
      <c r="B188"/>
      <c r="C188"/>
      <c r="D188"/>
      <c r="E188" s="15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</row>
    <row r="189" spans="1:19" ht="12.75">
      <c r="A189"/>
      <c r="B189"/>
      <c r="C189"/>
      <c r="D189"/>
      <c r="E189" s="15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</row>
    <row r="190" spans="1:19" ht="12.75">
      <c r="A190"/>
      <c r="B190"/>
      <c r="C190"/>
      <c r="D190"/>
      <c r="E190" s="15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</row>
    <row r="191" spans="1:19" ht="12.75">
      <c r="A191"/>
      <c r="B191"/>
      <c r="C191"/>
      <c r="D191"/>
      <c r="E191" s="15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</row>
    <row r="192" spans="1:19" ht="12.75">
      <c r="A192"/>
      <c r="B192"/>
      <c r="C192"/>
      <c r="D192"/>
      <c r="E192" s="15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</row>
    <row r="193" spans="1:19" ht="12.75">
      <c r="A193"/>
      <c r="B193"/>
      <c r="C193"/>
      <c r="D193"/>
      <c r="E193" s="15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</row>
    <row r="194" spans="1:19" ht="12.75">
      <c r="A194"/>
      <c r="B194"/>
      <c r="C194"/>
      <c r="D194"/>
      <c r="E194" s="15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</row>
    <row r="195" spans="1:19" ht="12.75">
      <c r="A195"/>
      <c r="B195"/>
      <c r="C195"/>
      <c r="D195"/>
      <c r="E195" s="1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</row>
    <row r="196" spans="1:19" ht="12.75">
      <c r="A196"/>
      <c r="B196"/>
      <c r="C196"/>
      <c r="D196"/>
      <c r="E196" s="15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</row>
  </sheetData>
  <mergeCells count="3">
    <mergeCell ref="A2:V2"/>
    <mergeCell ref="A3:V3"/>
    <mergeCell ref="A5:V5"/>
  </mergeCells>
  <printOptions horizontalCentered="1"/>
  <pageMargins left="0" right="0.7874015748031497" top="0" bottom="0" header="0" footer="0"/>
  <pageSetup fitToHeight="2" horizontalDpi="600" verticalDpi="600" orientation="portrait" paperSize="9" scale="54" r:id="rId1"/>
  <rowBreaks count="1" manualBreakCount="1">
    <brk id="8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89"/>
  <sheetViews>
    <sheetView workbookViewId="0" topLeftCell="A70">
      <selection activeCell="A86" sqref="A86"/>
    </sheetView>
  </sheetViews>
  <sheetFormatPr defaultColWidth="9.140625" defaultRowHeight="12.75"/>
  <cols>
    <col min="1" max="1" width="83.00390625" style="16" customWidth="1"/>
  </cols>
  <sheetData>
    <row r="2" ht="12.75">
      <c r="A2" s="18" t="s">
        <v>200</v>
      </c>
    </row>
    <row r="4" ht="12.75">
      <c r="A4" s="16" t="s">
        <v>109</v>
      </c>
    </row>
    <row r="6" ht="12.75">
      <c r="A6" s="19" t="s">
        <v>110</v>
      </c>
    </row>
    <row r="8" ht="12.75">
      <c r="A8" s="17" t="s">
        <v>126</v>
      </c>
    </row>
    <row r="9" ht="12.75">
      <c r="A9" s="17"/>
    </row>
    <row r="10" ht="12.75">
      <c r="A10" s="16" t="s">
        <v>217</v>
      </c>
    </row>
    <row r="11" ht="12.75">
      <c r="A11" s="16" t="s">
        <v>218</v>
      </c>
    </row>
    <row r="13" ht="12.75">
      <c r="A13" s="17" t="s">
        <v>152</v>
      </c>
    </row>
    <row r="14" ht="12.75">
      <c r="A14" s="17"/>
    </row>
    <row r="15" ht="12.75">
      <c r="A15" s="21" t="s">
        <v>201</v>
      </c>
    </row>
    <row r="16" ht="12.75">
      <c r="A16" s="17"/>
    </row>
    <row r="17" ht="12.75">
      <c r="A17" s="17" t="s">
        <v>153</v>
      </c>
    </row>
    <row r="19" ht="12.75">
      <c r="A19" s="16" t="s">
        <v>202</v>
      </c>
    </row>
    <row r="21" ht="12.75">
      <c r="A21" s="17" t="s">
        <v>111</v>
      </c>
    </row>
    <row r="23" ht="25.5">
      <c r="A23" s="16" t="s">
        <v>170</v>
      </c>
    </row>
    <row r="26" ht="12.75">
      <c r="A26" s="17" t="s">
        <v>171</v>
      </c>
    </row>
    <row r="28" ht="12.75">
      <c r="A28" s="16" t="s">
        <v>203</v>
      </c>
    </row>
    <row r="30" ht="12.75">
      <c r="A30" s="17" t="s">
        <v>154</v>
      </c>
    </row>
    <row r="32" ht="12.75">
      <c r="A32" s="16" t="s">
        <v>203</v>
      </c>
    </row>
    <row r="34" ht="12.75">
      <c r="A34" s="17" t="s">
        <v>112</v>
      </c>
    </row>
    <row r="36" ht="12.75">
      <c r="A36" s="16" t="s">
        <v>203</v>
      </c>
    </row>
    <row r="39" ht="12.75">
      <c r="A39" s="17" t="s">
        <v>155</v>
      </c>
    </row>
    <row r="41" ht="12.75">
      <c r="A41" s="16" t="s">
        <v>203</v>
      </c>
    </row>
    <row r="43" ht="12.75">
      <c r="A43" s="17" t="s">
        <v>156</v>
      </c>
    </row>
    <row r="45" ht="25.5">
      <c r="A45" s="16" t="s">
        <v>214</v>
      </c>
    </row>
    <row r="46" ht="12.75">
      <c r="A46" s="16" t="s">
        <v>219</v>
      </c>
    </row>
    <row r="47" ht="12.75">
      <c r="A47" s="17" t="s">
        <v>113</v>
      </c>
    </row>
    <row r="49" ht="25.5">
      <c r="A49" s="16" t="s">
        <v>205</v>
      </c>
    </row>
    <row r="51" ht="12.75">
      <c r="A51" s="17" t="s">
        <v>157</v>
      </c>
    </row>
    <row r="53" ht="12.75">
      <c r="A53" s="16" t="s">
        <v>206</v>
      </c>
    </row>
    <row r="55" ht="12.75">
      <c r="A55" s="17" t="s">
        <v>158</v>
      </c>
    </row>
    <row r="57" ht="25.5">
      <c r="A57" s="16" t="s">
        <v>204</v>
      </c>
    </row>
    <row r="59" ht="12.75">
      <c r="A59" s="17" t="s">
        <v>165</v>
      </c>
    </row>
    <row r="60" ht="12.75">
      <c r="A60" s="17"/>
    </row>
    <row r="61" ht="25.5">
      <c r="A61" s="16" t="s">
        <v>220</v>
      </c>
    </row>
    <row r="63" ht="12.75">
      <c r="A63" s="19" t="s">
        <v>114</v>
      </c>
    </row>
    <row r="65" ht="38.25">
      <c r="A65" s="21" t="s">
        <v>211</v>
      </c>
    </row>
    <row r="66" ht="12.75">
      <c r="A66" s="21"/>
    </row>
    <row r="67" ht="12.75">
      <c r="A67" s="17" t="s">
        <v>173</v>
      </c>
    </row>
    <row r="68" ht="12.75">
      <c r="A68" s="17"/>
    </row>
    <row r="69" spans="1:2" ht="12.75">
      <c r="A69" s="21" t="s">
        <v>212</v>
      </c>
      <c r="B69" t="s">
        <v>207</v>
      </c>
    </row>
    <row r="70" ht="12.75">
      <c r="A70" s="17"/>
    </row>
    <row r="71" ht="12.75">
      <c r="A71" s="17" t="s">
        <v>172</v>
      </c>
    </row>
    <row r="73" ht="12.75">
      <c r="A73" s="16" t="s">
        <v>213</v>
      </c>
    </row>
    <row r="75" ht="12.75">
      <c r="A75" s="18" t="s">
        <v>72</v>
      </c>
    </row>
    <row r="77" ht="38.25">
      <c r="A77" s="16" t="s">
        <v>221</v>
      </c>
    </row>
    <row r="79" ht="25.5">
      <c r="A79" s="16" t="s">
        <v>208</v>
      </c>
    </row>
    <row r="81" ht="38.25">
      <c r="A81" s="16" t="s">
        <v>209</v>
      </c>
    </row>
    <row r="83" ht="12.75">
      <c r="A83" s="18" t="s">
        <v>132</v>
      </c>
    </row>
    <row r="85" ht="12.75">
      <c r="A85" s="209" t="s">
        <v>222</v>
      </c>
    </row>
    <row r="89" ht="12.75">
      <c r="A89" s="20"/>
    </row>
  </sheetData>
  <printOptions/>
  <pageMargins left="0.75" right="0.75" top="1" bottom="1" header="0.5" footer="0.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A.S.I.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lstorchi</cp:lastModifiedBy>
  <cp:lastPrinted>2007-02-23T11:07:57Z</cp:lastPrinted>
  <dcterms:created xsi:type="dcterms:W3CDTF">2000-01-12T12:55:58Z</dcterms:created>
  <dcterms:modified xsi:type="dcterms:W3CDTF">2009-09-25T13:52:44Z</dcterms:modified>
  <cp:category/>
  <cp:version/>
  <cp:contentType/>
  <cp:contentStatus/>
</cp:coreProperties>
</file>