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5" windowWidth="9690" windowHeight="7290" tabRatio="737" activeTab="0"/>
  </bookViews>
  <sheets>
    <sheet name="BILANCIO IN EURO" sheetId="1" r:id="rId1"/>
  </sheets>
  <definedNames>
    <definedName name="_xlnm.Print_Area" localSheetId="0">'BILANCIO IN EURO'!$B$1:$I$266</definedName>
  </definedNames>
  <calcPr fullCalcOnLoad="1"/>
</workbook>
</file>

<file path=xl/sharedStrings.xml><?xml version="1.0" encoding="utf-8"?>
<sst xmlns="http://schemas.openxmlformats.org/spreadsheetml/2006/main" count="393" uniqueCount="136">
  <si>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</si>
  <si>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</si>
  <si>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</si>
  <si>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</si>
  <si>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</si>
  <si>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</si>
  <si>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</si>
  <si>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</si>
  <si>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</si>
  <si>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</si>
  <si>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</si>
  <si>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</si>
  <si>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</si>
  <si>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</si>
  <si>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</si>
  <si>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</si>
  <si>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</si>
  <si>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</si>
  <si>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</si>
  <si>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</si>
  <si>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</si>
  <si>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</si>
  <si>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</si>
  <si>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</si>
  <si>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</si>
  <si>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</si>
  <si>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</si>
  <si>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</si>
  <si>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</si>
  <si>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</si>
  <si>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</si>
  <si>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</si>
  <si>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</si>
  <si>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</si>
  <si>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</si>
  <si>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</si>
  <si>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</si>
  <si>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</si>
  <si>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</si>
  <si>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</si>
  <si>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</si>
  <si>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</si>
  <si>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</si>
  <si>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</si>
  <si>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</si>
  <si>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</si>
  <si>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</si>
  <si>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</si>
  <si>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</si>
  <si>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</si>
  <si>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</si>
  <si>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</si>
  <si>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</si>
  <si>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</si>
  <si>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</si>
  <si>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</si>
  <si>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</si>
  <si>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</si>
  <si>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</si>
  <si>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</si>
  <si>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</si>
  <si>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</si>
  <si>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</si>
  <si>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</si>
  <si>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</si>
  <si>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</si>
  <si>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</si>
  <si>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</si>
  <si>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</si>
  <si>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</si>
  <si>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</si>
  <si>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</si>
  <si>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S.A.D.</t>
  </si>
  <si>
    <t>IRAP</t>
  </si>
  <si>
    <t>Farmacia 2 Pini</t>
  </si>
  <si>
    <t>Farmacia Gramsci</t>
  </si>
  <si>
    <t>Nuoto disabili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</si>
  <si>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</si>
  <si>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</si>
  <si>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</si>
  <si>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</si>
  <si>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</si>
  <si>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</si>
  <si>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</si>
  <si>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</si>
  <si>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</si>
  <si>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</si>
  <si>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</si>
  <si>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</si>
  <si>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</si>
  <si>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</si>
  <si>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</si>
  <si>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r>
      <t xml:space="preserve">Ristorazione </t>
    </r>
    <r>
      <rPr>
        <sz val="8"/>
        <rFont val="Geneva"/>
        <family val="0"/>
      </rPr>
      <t>(*vedi nota integrativa)</t>
    </r>
  </si>
  <si>
    <t xml:space="preserve">   A.S.P.e F. Azienda Servizi alla Persona e alla Famiglia</t>
  </si>
  <si>
    <t>C.A.H.Comunità Alloggio Handicap</t>
  </si>
  <si>
    <t>C.A.H. Comunità Alloggio Handicap</t>
  </si>
  <si>
    <t>C.A.H.Comunita' Alloggio Handicap</t>
  </si>
  <si>
    <t>CONSUNTIVO 2000</t>
  </si>
  <si>
    <t>redatto secondo il Decreto del Ministero del Tesoro 26.04.1995</t>
  </si>
  <si>
    <t>Costi comuni</t>
  </si>
  <si>
    <t>Servizio Trasporto Protetto</t>
  </si>
  <si>
    <t>Area Minori (ex C.a.g. e SADM)</t>
  </si>
  <si>
    <t>R.S.A. "Isabella D'Este"</t>
  </si>
  <si>
    <t>R.S.A. "Luigi Bianchi"</t>
  </si>
  <si>
    <t>R.S.A "Luigi Bianchi"</t>
  </si>
  <si>
    <t>* plusvalenze per conferimento</t>
  </si>
  <si>
    <t>IRES</t>
  </si>
  <si>
    <t>BILANCIO DI PREVISIONE ANNO 2006</t>
  </si>
  <si>
    <t>PREVISIONALE 2006</t>
  </si>
  <si>
    <t>CONSUNTIVO 2004</t>
  </si>
  <si>
    <t>Fisioterapia</t>
  </si>
  <si>
    <t>di cui: contributi in conto esercizio</t>
  </si>
  <si>
    <t>Spese per lavoro interinale</t>
  </si>
  <si>
    <t>11) variazioni delle rimanenze delle materie</t>
  </si>
  <si>
    <t>prime, sussidiarie di consumo e merci;</t>
  </si>
  <si>
    <t>* Farmacia 2 Pini</t>
  </si>
  <si>
    <t>* Farmacia Gramsci</t>
  </si>
  <si>
    <t>S.A.D. e Voucher</t>
  </si>
  <si>
    <t>S.A.D.e Voucher</t>
  </si>
  <si>
    <t>e conforme agli art.2423 e seguenti del Codice Civile</t>
  </si>
  <si>
    <t>Comunità Residenziale Minori</t>
  </si>
  <si>
    <t>Servizio Affidi</t>
  </si>
  <si>
    <t>Comunità residenziale Minori</t>
  </si>
  <si>
    <t>contributo Fondo Sanitario Regionale</t>
  </si>
  <si>
    <t xml:space="preserve"> contributo Fondo Sanitario Regionale</t>
  </si>
  <si>
    <t xml:space="preserve"> contributo Regionale per lavori I.D'Este</t>
  </si>
  <si>
    <t>contributo ASL ex circolare 4</t>
  </si>
  <si>
    <t>contributo Piano di Zona</t>
  </si>
  <si>
    <t xml:space="preserve">contributo ASL legge 185 </t>
  </si>
  <si>
    <t>*Altri ricavi personale in distacco / comando</t>
  </si>
  <si>
    <t>e - altri costi per il personale in distacco / comando</t>
  </si>
  <si>
    <t>*Altri ricavi e proventi art. 23 dello statuto</t>
  </si>
  <si>
    <t xml:space="preserve">*Altri ricavi e proventi </t>
  </si>
  <si>
    <t>*Altri ricavi e proventi contratto di servizio farm.</t>
  </si>
  <si>
    <t>*Altri ricavi e proventi affitti farmacie</t>
  </si>
  <si>
    <t>Area Integrazione Sociale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</si>
</sst>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16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6"/>
      <name val="Geneva"/>
      <family val="0"/>
    </font>
    <font>
      <b/>
      <sz val="11"/>
      <name val="Geneva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10" fillId="0" borderId="18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0" fillId="0" borderId="19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0" borderId="25" xfId="0" applyNumberFormat="1" applyFont="1" applyFill="1" applyBorder="1" applyAlignment="1" applyProtection="1">
      <alignment/>
      <protection locked="0"/>
    </xf>
    <xf numFmtId="3" fontId="1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 locked="0"/>
    </xf>
    <xf numFmtId="3" fontId="10" fillId="0" borderId="3" xfId="0" applyNumberFormat="1" applyFont="1" applyFill="1" applyBorder="1" applyAlignment="1" applyProtection="1">
      <alignment/>
      <protection locked="0"/>
    </xf>
    <xf numFmtId="3" fontId="10" fillId="0" borderId="4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/>
    </xf>
    <xf numFmtId="3" fontId="0" fillId="2" borderId="26" xfId="0" applyNumberFormat="1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/>
      <protection locked="0"/>
    </xf>
    <xf numFmtId="3" fontId="10" fillId="2" borderId="19" xfId="0" applyNumberFormat="1" applyFon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0" fillId="2" borderId="19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10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17" xfId="0" applyNumberFormat="1" applyFill="1" applyBorder="1" applyAlignment="1" applyProtection="1">
      <alignment/>
      <protection/>
    </xf>
    <xf numFmtId="4" fontId="10" fillId="2" borderId="19" xfId="0" applyNumberFormat="1" applyFont="1" applyFill="1" applyBorder="1" applyAlignment="1" applyProtection="1">
      <alignment/>
      <protection locked="0"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/>
      <protection locked="0"/>
    </xf>
    <xf numFmtId="4" fontId="0" fillId="2" borderId="18" xfId="0" applyNumberFormat="1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4" fontId="0" fillId="2" borderId="19" xfId="0" applyNumberFormat="1" applyFill="1" applyBorder="1" applyAlignment="1" applyProtection="1">
      <alignment/>
      <protection locked="0"/>
    </xf>
    <xf numFmtId="4" fontId="8" fillId="2" borderId="4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4" fontId="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0" fillId="2" borderId="25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4" fontId="0" fillId="2" borderId="8" xfId="0" applyNumberFormat="1" applyFont="1" applyFill="1" applyBorder="1" applyAlignment="1" applyProtection="1">
      <alignment/>
      <protection locked="0"/>
    </xf>
    <xf numFmtId="4" fontId="9" fillId="2" borderId="2" xfId="0" applyNumberFormat="1" applyFont="1" applyFill="1" applyBorder="1" applyAlignment="1" applyProtection="1">
      <alignment/>
      <protection/>
    </xf>
    <xf numFmtId="4" fontId="1" fillId="2" borderId="2" xfId="0" applyNumberFormat="1" applyFont="1" applyFill="1" applyBorder="1" applyAlignment="1" applyProtection="1">
      <alignment/>
      <protection/>
    </xf>
    <xf numFmtId="4" fontId="1" fillId="2" borderId="4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0" fillId="2" borderId="18" xfId="0" applyNumberFormat="1" applyFont="1" applyFill="1" applyBorder="1" applyAlignment="1" applyProtection="1">
      <alignment/>
      <protection locked="0"/>
    </xf>
    <xf numFmtId="4" fontId="0" fillId="2" borderId="19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4" fontId="1" fillId="2" borderId="17" xfId="0" applyNumberFormat="1" applyFont="1" applyFill="1" applyBorder="1" applyAlignment="1" applyProtection="1">
      <alignment/>
      <protection/>
    </xf>
    <xf numFmtId="4" fontId="1" fillId="2" borderId="22" xfId="0" applyNumberFormat="1" applyFont="1" applyFill="1" applyBorder="1" applyAlignment="1" applyProtection="1">
      <alignment/>
      <protection/>
    </xf>
    <xf numFmtId="4" fontId="1" fillId="2" borderId="18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1" fillId="2" borderId="18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7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/>
      <protection/>
    </xf>
    <xf numFmtId="4" fontId="11" fillId="0" borderId="2" xfId="0" applyNumberFormat="1" applyFont="1" applyFill="1" applyBorder="1" applyAlignment="1" applyProtection="1">
      <alignment/>
      <protection/>
    </xf>
    <xf numFmtId="4" fontId="14" fillId="2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4" fontId="11" fillId="2" borderId="2" xfId="0" applyNumberFormat="1" applyFont="1" applyFill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 topLeftCell="B189">
      <selection activeCell="F195" sqref="F195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37.25390625" style="9" customWidth="1"/>
    <col min="6" max="6" width="20.75390625" style="8" customWidth="1"/>
    <col min="7" max="7" width="19.25390625" style="8" customWidth="1"/>
    <col min="8" max="8" width="22.25390625" style="8" customWidth="1"/>
    <col min="9" max="9" width="14.87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73"/>
      <c r="C1" s="73"/>
      <c r="D1" s="73"/>
      <c r="E1" s="73"/>
      <c r="F1" s="74"/>
      <c r="G1" s="74"/>
      <c r="H1" s="75"/>
      <c r="I1" s="77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6"/>
      <c r="B3" s="76"/>
      <c r="C3" s="70"/>
      <c r="D3" s="70"/>
      <c r="E3" s="70"/>
      <c r="F3" s="71"/>
      <c r="G3" s="71"/>
      <c r="H3" s="72"/>
      <c r="I3" s="46"/>
    </row>
    <row r="4" spans="1:13" s="4" customFormat="1" ht="13.5" customHeight="1">
      <c r="A4" s="79"/>
      <c r="B4" s="79"/>
      <c r="C4" s="45"/>
      <c r="D4" s="45"/>
      <c r="E4" s="45"/>
      <c r="F4" s="80"/>
      <c r="G4" s="96"/>
      <c r="H4" s="29"/>
      <c r="I4" s="81"/>
      <c r="M4" s="93"/>
    </row>
    <row r="5" spans="1:13" s="4" customFormat="1" ht="13.5" customHeight="1">
      <c r="A5" s="83"/>
      <c r="B5" s="83"/>
      <c r="C5" s="82"/>
      <c r="D5" s="82"/>
      <c r="E5" s="82"/>
      <c r="F5" s="69"/>
      <c r="G5" s="96"/>
      <c r="H5" s="53"/>
      <c r="I5" s="81"/>
      <c r="M5" s="93"/>
    </row>
    <row r="6" spans="1:13" s="4" customFormat="1" ht="20.25">
      <c r="A6" s="83"/>
      <c r="B6" s="83"/>
      <c r="C6" s="82"/>
      <c r="D6" s="82"/>
      <c r="E6" s="82"/>
      <c r="F6" s="95" t="s">
        <v>93</v>
      </c>
      <c r="G6" s="97"/>
      <c r="H6" s="53"/>
      <c r="I6" s="81"/>
      <c r="M6" s="93"/>
    </row>
    <row r="7" spans="1:13" s="4" customFormat="1" ht="13.5" customHeight="1">
      <c r="A7" s="83"/>
      <c r="B7" s="83"/>
      <c r="C7" s="82"/>
      <c r="D7" s="82"/>
      <c r="E7" s="82"/>
      <c r="F7" s="69"/>
      <c r="G7" s="96"/>
      <c r="H7" s="53"/>
      <c r="I7" s="81"/>
      <c r="M7" s="93"/>
    </row>
    <row r="8" spans="1:9" ht="13.5" customHeight="1" thickBot="1">
      <c r="A8" s="47"/>
      <c r="B8" s="47"/>
      <c r="C8" s="48"/>
      <c r="D8" s="48"/>
      <c r="E8" s="48"/>
      <c r="F8" s="49"/>
      <c r="G8" s="49"/>
      <c r="H8" s="50"/>
      <c r="I8" s="51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6"/>
      <c r="C10" s="212"/>
      <c r="D10" s="212"/>
      <c r="E10" s="212"/>
      <c r="F10" s="6" t="s">
        <v>107</v>
      </c>
      <c r="G10" s="212"/>
      <c r="H10" s="212"/>
      <c r="I10" s="212"/>
    </row>
    <row r="11" spans="1:9" ht="16.5" customHeight="1">
      <c r="A11" s="5"/>
      <c r="B11" s="80"/>
      <c r="C11" s="80"/>
      <c r="D11" s="80"/>
      <c r="E11" s="80"/>
      <c r="F11" s="80" t="s">
        <v>98</v>
      </c>
      <c r="G11" s="80"/>
      <c r="H11" s="80"/>
      <c r="I11" s="80"/>
    </row>
    <row r="12" spans="1:13" s="86" customFormat="1" ht="12" customHeight="1">
      <c r="A12" s="84"/>
      <c r="B12" s="84"/>
      <c r="C12" s="84"/>
      <c r="D12" s="84"/>
      <c r="E12" s="84"/>
      <c r="F12" s="84" t="s">
        <v>119</v>
      </c>
      <c r="G12" s="219"/>
      <c r="H12" s="219"/>
      <c r="I12" s="85"/>
      <c r="M12" s="94"/>
    </row>
    <row r="13" spans="1:7" ht="12.75" customHeight="1">
      <c r="A13" s="12"/>
      <c r="B13" s="12"/>
      <c r="C13" s="12"/>
      <c r="D13" s="12"/>
      <c r="E13" s="30"/>
      <c r="F13" s="29"/>
      <c r="G13" s="29"/>
    </row>
    <row r="14" spans="1:8" ht="12.75" customHeight="1">
      <c r="A14" s="12"/>
      <c r="B14" s="12"/>
      <c r="C14" s="12"/>
      <c r="D14" s="12"/>
      <c r="F14" s="29"/>
      <c r="G14" s="29"/>
      <c r="H14" s="63"/>
    </row>
    <row r="15" spans="1:11" ht="12.75" customHeight="1">
      <c r="A15" s="12"/>
      <c r="B15" s="12"/>
      <c r="C15" s="12"/>
      <c r="D15" s="12"/>
      <c r="F15" s="224" t="s">
        <v>108</v>
      </c>
      <c r="G15" s="225"/>
      <c r="H15" s="222" t="s">
        <v>109</v>
      </c>
      <c r="I15" s="223"/>
      <c r="J15" s="222" t="s">
        <v>97</v>
      </c>
      <c r="K15" s="223"/>
    </row>
    <row r="16" spans="1:11" ht="12.75" customHeight="1">
      <c r="A16" s="12"/>
      <c r="B16" s="31"/>
      <c r="C16" s="32"/>
      <c r="D16" s="32"/>
      <c r="E16" s="26" t="s">
        <v>1</v>
      </c>
      <c r="F16" s="10" t="s">
        <v>2</v>
      </c>
      <c r="G16" s="10" t="s">
        <v>3</v>
      </c>
      <c r="H16" s="99" t="s">
        <v>2</v>
      </c>
      <c r="I16" s="99" t="s">
        <v>3</v>
      </c>
      <c r="J16" s="99" t="s">
        <v>2</v>
      </c>
      <c r="K16" s="99" t="s">
        <v>3</v>
      </c>
    </row>
    <row r="17" spans="1:11" ht="12.75" customHeight="1">
      <c r="A17" s="12"/>
      <c r="B17" s="11"/>
      <c r="C17" s="12"/>
      <c r="D17" s="12"/>
      <c r="E17" s="9" t="s">
        <v>0</v>
      </c>
      <c r="F17" s="28"/>
      <c r="G17" s="28"/>
      <c r="H17" s="100"/>
      <c r="I17" s="100"/>
      <c r="J17" s="100"/>
      <c r="K17" s="100"/>
    </row>
    <row r="18" spans="1:11" ht="12.75" customHeight="1">
      <c r="A18" s="12"/>
      <c r="B18" s="185" t="s">
        <v>4</v>
      </c>
      <c r="C18" s="12"/>
      <c r="D18" s="12"/>
      <c r="F18" s="28"/>
      <c r="G18" s="166">
        <f>F20+F40+F44+F46+F49</f>
        <v>7259572.01</v>
      </c>
      <c r="H18" s="100"/>
      <c r="I18" s="209">
        <f>H20+H40+H44+H46+H49</f>
        <v>8466216.349999998</v>
      </c>
      <c r="J18" s="100"/>
      <c r="K18" s="101">
        <v>12020729812</v>
      </c>
    </row>
    <row r="19" spans="1:11" ht="12.75" customHeight="1">
      <c r="A19" s="12"/>
      <c r="B19" s="16"/>
      <c r="C19" s="12"/>
      <c r="D19" s="12"/>
      <c r="F19" s="28"/>
      <c r="G19" s="166"/>
      <c r="H19" s="100"/>
      <c r="I19" s="140"/>
      <c r="J19" s="100"/>
      <c r="K19" s="101"/>
    </row>
    <row r="20" spans="1:11" ht="12.75" customHeight="1">
      <c r="A20" s="12"/>
      <c r="B20" s="11"/>
      <c r="C20" s="17" t="s">
        <v>85</v>
      </c>
      <c r="D20" s="12"/>
      <c r="F20" s="165">
        <f>SUM(F22:F37)</f>
        <v>3591667.07</v>
      </c>
      <c r="G20" s="33"/>
      <c r="H20" s="193">
        <f>SUM(H22:H37)</f>
        <v>5714775.759999999</v>
      </c>
      <c r="I20" s="102"/>
      <c r="J20" s="102">
        <f>SUM(J22:J37)</f>
        <v>3203415685</v>
      </c>
      <c r="K20" s="102"/>
    </row>
    <row r="21" spans="1:11" ht="12.75" customHeight="1">
      <c r="A21" s="12"/>
      <c r="B21" s="11"/>
      <c r="C21" s="12"/>
      <c r="D21" s="12"/>
      <c r="F21" s="170"/>
      <c r="G21" s="33"/>
      <c r="H21" s="171"/>
      <c r="I21" s="102"/>
      <c r="J21" s="172"/>
      <c r="K21" s="102"/>
    </row>
    <row r="22" spans="1:11" ht="12.75" customHeight="1">
      <c r="A22" s="12"/>
      <c r="B22" s="11"/>
      <c r="C22" s="12"/>
      <c r="D22" t="s">
        <v>22</v>
      </c>
      <c r="E22" s="9" t="s">
        <v>102</v>
      </c>
      <c r="F22" s="206">
        <f>1554473.5</f>
        <v>1554473.5</v>
      </c>
      <c r="G22" s="36"/>
      <c r="H22" s="186">
        <f>1315337.29+144748.38+5246.98</f>
        <v>1465332.65</v>
      </c>
      <c r="I22" s="102"/>
      <c r="J22" s="103">
        <v>2044114950</v>
      </c>
      <c r="K22" s="102"/>
    </row>
    <row r="23" spans="1:11" ht="12.75" customHeight="1">
      <c r="A23" s="12"/>
      <c r="B23" s="11"/>
      <c r="C23" s="12"/>
      <c r="D23" t="s">
        <v>22</v>
      </c>
      <c r="E23" s="9" t="s">
        <v>103</v>
      </c>
      <c r="F23" s="206">
        <f>668512.11</f>
        <v>668512.11</v>
      </c>
      <c r="G23" s="36"/>
      <c r="H23" s="186">
        <f>446537.03+12059.14</f>
        <v>458596.17000000004</v>
      </c>
      <c r="I23" s="102"/>
      <c r="J23" s="103"/>
      <c r="K23" s="102"/>
    </row>
    <row r="24" spans="1:11" ht="12.75" customHeight="1">
      <c r="A24" s="12"/>
      <c r="B24" s="11"/>
      <c r="C24" s="12"/>
      <c r="D24" t="s">
        <v>22</v>
      </c>
      <c r="E24" s="9" t="s">
        <v>110</v>
      </c>
      <c r="F24" s="206">
        <f>169222.92-119222.92</f>
        <v>50000.000000000015</v>
      </c>
      <c r="G24" s="36"/>
      <c r="H24" s="186">
        <v>0</v>
      </c>
      <c r="I24" s="102"/>
      <c r="J24" s="103"/>
      <c r="K24" s="102"/>
    </row>
    <row r="25" spans="1:11" ht="12.75" customHeight="1">
      <c r="A25" s="12"/>
      <c r="B25" s="11"/>
      <c r="C25" s="12"/>
      <c r="D25" t="s">
        <v>22</v>
      </c>
      <c r="E25" s="9" t="s">
        <v>92</v>
      </c>
      <c r="F25" s="206">
        <v>0</v>
      </c>
      <c r="G25" s="36"/>
      <c r="H25" s="186">
        <v>0</v>
      </c>
      <c r="I25" s="102"/>
      <c r="J25" s="103">
        <v>0</v>
      </c>
      <c r="K25" s="102"/>
    </row>
    <row r="26" spans="1:11" ht="12.75" customHeight="1">
      <c r="A26" s="12"/>
      <c r="B26" s="11"/>
      <c r="C26" s="12"/>
      <c r="D26" t="s">
        <v>22</v>
      </c>
      <c r="E26" s="9" t="s">
        <v>117</v>
      </c>
      <c r="F26" s="201">
        <f>72569.48+163679.5+184104.64</f>
        <v>420353.62</v>
      </c>
      <c r="G26" s="36"/>
      <c r="H26" s="186">
        <f>144252.28+56483.92+220133.47</f>
        <v>420869.67000000004</v>
      </c>
      <c r="I26" s="102"/>
      <c r="J26" s="103">
        <v>525125985</v>
      </c>
      <c r="K26" s="102"/>
    </row>
    <row r="27" spans="1:11" ht="12.75" customHeight="1">
      <c r="A27" s="12"/>
      <c r="B27" s="11"/>
      <c r="C27" s="12"/>
      <c r="D27" t="s">
        <v>22</v>
      </c>
      <c r="E27" s="9" t="s">
        <v>90</v>
      </c>
      <c r="F27" s="201">
        <f>5262.68+52683</f>
        <v>57945.68</v>
      </c>
      <c r="G27" s="36"/>
      <c r="H27" s="186">
        <f>68377.63</f>
        <v>68377.63</v>
      </c>
      <c r="I27" s="102"/>
      <c r="J27" s="103">
        <v>85455465</v>
      </c>
      <c r="K27" s="102"/>
    </row>
    <row r="28" spans="1:11" ht="12.75" customHeight="1" hidden="1">
      <c r="A28" s="12"/>
      <c r="B28" s="11"/>
      <c r="C28" s="12"/>
      <c r="D28" t="s">
        <v>22</v>
      </c>
      <c r="E28" s="9" t="s">
        <v>91</v>
      </c>
      <c r="F28" s="207"/>
      <c r="G28" s="36"/>
      <c r="H28" s="186"/>
      <c r="I28" s="102"/>
      <c r="J28" s="103"/>
      <c r="K28" s="102"/>
    </row>
    <row r="29" spans="1:11" ht="12.75" customHeight="1">
      <c r="A29" s="12"/>
      <c r="B29" s="11"/>
      <c r="C29" s="12"/>
      <c r="D29" t="s">
        <v>22</v>
      </c>
      <c r="E29" s="9" t="s">
        <v>135</v>
      </c>
      <c r="F29" s="201">
        <f>36206.02+21918.92</f>
        <v>58124.939999999995</v>
      </c>
      <c r="G29" s="36"/>
      <c r="H29" s="186">
        <f>31705.5+17264.8</f>
        <v>48970.3</v>
      </c>
      <c r="I29" s="102"/>
      <c r="J29" s="103">
        <v>0</v>
      </c>
      <c r="K29" s="102"/>
    </row>
    <row r="30" spans="1:11" ht="12.75" customHeight="1">
      <c r="A30" s="12"/>
      <c r="B30" s="11"/>
      <c r="C30" s="12"/>
      <c r="D30" t="s">
        <v>22</v>
      </c>
      <c r="E30" s="9" t="s">
        <v>74</v>
      </c>
      <c r="F30" s="201">
        <v>0</v>
      </c>
      <c r="G30" s="36"/>
      <c r="H30" s="186">
        <f>1049069.52+3491.67</f>
        <v>1052561.19</v>
      </c>
      <c r="I30" s="102"/>
      <c r="J30" s="103"/>
      <c r="K30" s="102"/>
    </row>
    <row r="31" spans="1:11" ht="12.75" customHeight="1">
      <c r="A31" s="12"/>
      <c r="B31" s="11"/>
      <c r="C31" s="12"/>
      <c r="D31" t="s">
        <v>22</v>
      </c>
      <c r="E31" s="9" t="s">
        <v>75</v>
      </c>
      <c r="F31" s="201">
        <v>0</v>
      </c>
      <c r="G31" s="36"/>
      <c r="H31" s="186">
        <f>1716354.04+4109.56</f>
        <v>1720463.6</v>
      </c>
      <c r="I31" s="102"/>
      <c r="J31" s="103"/>
      <c r="K31" s="102"/>
    </row>
    <row r="32" spans="1:11" ht="12.75" customHeight="1">
      <c r="A32" s="12"/>
      <c r="B32" s="11"/>
      <c r="C32" s="12"/>
      <c r="D32" t="s">
        <v>22</v>
      </c>
      <c r="E32" s="9" t="s">
        <v>100</v>
      </c>
      <c r="F32" s="201">
        <v>11801.42</v>
      </c>
      <c r="G32" s="36"/>
      <c r="H32" s="186">
        <v>12274</v>
      </c>
      <c r="I32" s="102"/>
      <c r="J32" s="103">
        <v>109205285</v>
      </c>
      <c r="K32" s="102"/>
    </row>
    <row r="33" spans="1:11" ht="12.75" customHeight="1">
      <c r="A33" s="12"/>
      <c r="B33" s="11"/>
      <c r="C33" s="12"/>
      <c r="D33" s="12" t="s">
        <v>22</v>
      </c>
      <c r="E33" s="9" t="s">
        <v>101</v>
      </c>
      <c r="F33" s="201">
        <f>118405+132500</f>
        <v>250905</v>
      </c>
      <c r="G33" s="36"/>
      <c r="H33" s="186">
        <f>97402.41+136697.5</f>
        <v>234099.91</v>
      </c>
      <c r="I33" s="102"/>
      <c r="J33" s="103"/>
      <c r="K33" s="102"/>
    </row>
    <row r="34" spans="1:11" ht="12.75" customHeight="1">
      <c r="A34" s="12"/>
      <c r="B34" s="11"/>
      <c r="C34" s="12"/>
      <c r="D34" s="12" t="s">
        <v>22</v>
      </c>
      <c r="E34" s="9" t="s">
        <v>120</v>
      </c>
      <c r="F34" s="201">
        <v>216000</v>
      </c>
      <c r="G34" s="36"/>
      <c r="H34" s="186">
        <v>0</v>
      </c>
      <c r="I34" s="102"/>
      <c r="J34" s="103"/>
      <c r="K34" s="102"/>
    </row>
    <row r="35" spans="1:11" ht="12.75" customHeight="1">
      <c r="A35" s="12"/>
      <c r="B35" s="11"/>
      <c r="C35" s="12"/>
      <c r="D35" s="12" t="s">
        <v>22</v>
      </c>
      <c r="E35" s="9" t="s">
        <v>121</v>
      </c>
      <c r="F35" s="201">
        <v>102000</v>
      </c>
      <c r="G35" s="36"/>
      <c r="H35" s="186">
        <v>0</v>
      </c>
      <c r="I35" s="102"/>
      <c r="J35" s="103"/>
      <c r="K35" s="102"/>
    </row>
    <row r="36" spans="1:11" ht="12.75" customHeight="1">
      <c r="A36" s="12"/>
      <c r="B36" s="11"/>
      <c r="C36" s="12"/>
      <c r="D36" t="s">
        <v>22</v>
      </c>
      <c r="E36" s="9" t="s">
        <v>76</v>
      </c>
      <c r="F36" s="201">
        <v>0</v>
      </c>
      <c r="G36" s="36"/>
      <c r="H36" s="186">
        <v>13284.08</v>
      </c>
      <c r="I36" s="102"/>
      <c r="J36" s="103">
        <v>249863500</v>
      </c>
      <c r="K36" s="102"/>
    </row>
    <row r="37" spans="1:11" ht="12.75" customHeight="1">
      <c r="A37" s="12"/>
      <c r="B37" s="11"/>
      <c r="C37" s="12"/>
      <c r="D37" t="s">
        <v>22</v>
      </c>
      <c r="E37" s="9" t="s">
        <v>94</v>
      </c>
      <c r="F37" s="201">
        <v>201550.8</v>
      </c>
      <c r="G37" s="36"/>
      <c r="H37" s="186">
        <f>219946.56</f>
        <v>219946.56</v>
      </c>
      <c r="I37" s="102"/>
      <c r="J37" s="103">
        <v>189650500</v>
      </c>
      <c r="K37" s="102"/>
    </row>
    <row r="38" spans="1:11" ht="12.75" customHeight="1">
      <c r="A38" s="12"/>
      <c r="B38" s="11"/>
      <c r="C38" s="12"/>
      <c r="D38"/>
      <c r="F38" s="147"/>
      <c r="G38" s="36"/>
      <c r="H38" s="138"/>
      <c r="I38" s="102"/>
      <c r="J38" s="103"/>
      <c r="K38" s="102"/>
    </row>
    <row r="39" spans="1:11" ht="12.75" customHeight="1">
      <c r="A39" s="12"/>
      <c r="B39" s="11"/>
      <c r="C39" s="17" t="s">
        <v>84</v>
      </c>
      <c r="D39" s="12"/>
      <c r="F39" s="15"/>
      <c r="G39" s="33"/>
      <c r="H39" s="105"/>
      <c r="I39" s="102"/>
      <c r="J39" s="105"/>
      <c r="K39" s="102"/>
    </row>
    <row r="40" spans="1:11" ht="12.75" customHeight="1">
      <c r="A40" s="12"/>
      <c r="B40" s="11"/>
      <c r="C40" s="12"/>
      <c r="D40" s="12" t="s">
        <v>5</v>
      </c>
      <c r="F40" s="15">
        <f>SUM(F41:F42)</f>
        <v>0</v>
      </c>
      <c r="G40" s="33"/>
      <c r="H40" s="139">
        <f>H41+H42</f>
        <v>929.9500000000007</v>
      </c>
      <c r="I40" s="102"/>
      <c r="J40" s="105">
        <f>J41+J42</f>
        <v>23192468</v>
      </c>
      <c r="K40" s="102"/>
    </row>
    <row r="41" spans="1:11" ht="12.75" customHeight="1">
      <c r="A41" s="12"/>
      <c r="B41" s="11"/>
      <c r="C41" s="12"/>
      <c r="D41" t="s">
        <v>22</v>
      </c>
      <c r="E41" s="9" t="s">
        <v>86</v>
      </c>
      <c r="F41" s="91">
        <v>0</v>
      </c>
      <c r="G41" s="90"/>
      <c r="H41" s="187">
        <f>26905-23281.8</f>
        <v>3623.2000000000007</v>
      </c>
      <c r="I41" s="102"/>
      <c r="J41" s="104">
        <v>22527154</v>
      </c>
      <c r="K41" s="102"/>
    </row>
    <row r="42" spans="1:11" ht="12.75" customHeight="1">
      <c r="A42" s="12"/>
      <c r="B42" s="11"/>
      <c r="C42" s="12"/>
      <c r="D42" t="s">
        <v>22</v>
      </c>
      <c r="E42" s="9" t="s">
        <v>89</v>
      </c>
      <c r="F42" s="88">
        <v>0</v>
      </c>
      <c r="G42" s="36"/>
      <c r="H42" s="188">
        <f>5015.15-7708.4</f>
        <v>-2693.25</v>
      </c>
      <c r="I42" s="102"/>
      <c r="J42" s="106">
        <v>665314</v>
      </c>
      <c r="K42" s="102"/>
    </row>
    <row r="43" spans="1:11" ht="12.75" customHeight="1">
      <c r="A43" s="12"/>
      <c r="B43" s="11"/>
      <c r="C43" s="12"/>
      <c r="D43"/>
      <c r="F43" s="88"/>
      <c r="G43" s="36"/>
      <c r="H43" s="138"/>
      <c r="I43" s="102"/>
      <c r="J43" s="106"/>
      <c r="K43" s="102"/>
    </row>
    <row r="44" spans="1:11" ht="12.75" customHeight="1">
      <c r="A44" s="12"/>
      <c r="B44" s="11"/>
      <c r="C44" s="17" t="s">
        <v>83</v>
      </c>
      <c r="D44" s="12"/>
      <c r="F44" s="89">
        <v>0</v>
      </c>
      <c r="G44" s="33"/>
      <c r="H44" s="138">
        <f>J44/1936.27</f>
        <v>0</v>
      </c>
      <c r="I44" s="102"/>
      <c r="J44" s="107">
        <v>0</v>
      </c>
      <c r="K44" s="102"/>
    </row>
    <row r="45" spans="1:11" ht="12.75" customHeight="1">
      <c r="A45" s="12"/>
      <c r="B45" s="11"/>
      <c r="C45" s="12"/>
      <c r="D45" s="12"/>
      <c r="F45" s="87"/>
      <c r="G45" s="33"/>
      <c r="H45" s="138"/>
      <c r="I45" s="102"/>
      <c r="J45" s="108"/>
      <c r="K45" s="102"/>
    </row>
    <row r="46" spans="1:11" ht="12.75" customHeight="1">
      <c r="A46" s="12"/>
      <c r="B46" s="11"/>
      <c r="C46" s="17" t="s">
        <v>6</v>
      </c>
      <c r="D46" s="12"/>
      <c r="F46" s="87">
        <v>0</v>
      </c>
      <c r="G46" s="33"/>
      <c r="H46" s="138">
        <f>J46/1936.27</f>
        <v>0</v>
      </c>
      <c r="I46" s="102"/>
      <c r="J46" s="108">
        <v>0</v>
      </c>
      <c r="K46" s="102"/>
    </row>
    <row r="47" spans="1:11" ht="12.75" customHeight="1">
      <c r="A47" s="12"/>
      <c r="B47" s="11"/>
      <c r="C47" s="12"/>
      <c r="D47" s="12"/>
      <c r="F47" s="33"/>
      <c r="G47" s="33"/>
      <c r="H47" s="138"/>
      <c r="I47" s="102"/>
      <c r="J47" s="102"/>
      <c r="K47" s="102"/>
    </row>
    <row r="48" spans="1:11" ht="12.75" customHeight="1">
      <c r="A48" s="12"/>
      <c r="B48" s="11"/>
      <c r="C48" s="17" t="s">
        <v>7</v>
      </c>
      <c r="D48" s="12"/>
      <c r="F48" s="78" t="s">
        <v>0</v>
      </c>
      <c r="G48" s="15"/>
      <c r="H48" s="138">
        <f>J48/1936.27</f>
        <v>0</v>
      </c>
      <c r="I48" s="105"/>
      <c r="J48" s="109">
        <v>0</v>
      </c>
      <c r="K48" s="105"/>
    </row>
    <row r="49" spans="1:11" ht="12.75" customHeight="1">
      <c r="A49" s="12"/>
      <c r="B49" s="11"/>
      <c r="C49" s="12"/>
      <c r="D49" s="12" t="s">
        <v>8</v>
      </c>
      <c r="F49" s="148">
        <f>F51+F55+F58+F61+F62+F63+F66+F69+F70+F71+F73+F77+F79+F82+F83+F84+F85+F86</f>
        <v>3667904.9400000004</v>
      </c>
      <c r="G49" s="15"/>
      <c r="H49" s="192">
        <f>H51+H55+H58+H61+H62+H63+H66+H69+H70+H71+H73+H77+H79+H82+H83</f>
        <v>2750510.639999999</v>
      </c>
      <c r="I49" s="105"/>
      <c r="J49" s="110">
        <v>3635595181</v>
      </c>
      <c r="K49" s="105"/>
    </row>
    <row r="50" spans="1:11" ht="12.75" customHeight="1">
      <c r="A50" s="12"/>
      <c r="B50" s="11"/>
      <c r="C50" s="12"/>
      <c r="D50" s="12"/>
      <c r="F50" s="173"/>
      <c r="G50" s="15"/>
      <c r="H50" s="164"/>
      <c r="I50" s="105"/>
      <c r="J50" s="174"/>
      <c r="K50" s="105"/>
    </row>
    <row r="51" spans="1:11" ht="12.75" customHeight="1">
      <c r="A51" s="12"/>
      <c r="B51" s="11"/>
      <c r="C51" s="12"/>
      <c r="D51" t="s">
        <v>22</v>
      </c>
      <c r="E51" s="9" t="s">
        <v>102</v>
      </c>
      <c r="F51" s="201">
        <f>F52</f>
        <v>1692723.91</v>
      </c>
      <c r="G51" s="36"/>
      <c r="H51" s="186">
        <f>H52+1549.38+756.5+380.02+1856.31+1314.88+3712.57</f>
        <v>1753876.16</v>
      </c>
      <c r="I51" s="111"/>
      <c r="J51" s="103">
        <v>2867127482</v>
      </c>
      <c r="K51" s="111"/>
    </row>
    <row r="52" spans="1:11" ht="12.75" customHeight="1">
      <c r="A52" s="12"/>
      <c r="B52" s="11"/>
      <c r="C52" s="12"/>
      <c r="D52" s="189"/>
      <c r="E52" s="189" t="s">
        <v>111</v>
      </c>
      <c r="F52" s="208">
        <f>SUM(F53:F54)</f>
        <v>1692723.91</v>
      </c>
      <c r="G52" s="36"/>
      <c r="H52" s="221">
        <f>SUM(H53:H54)</f>
        <v>1744306.5</v>
      </c>
      <c r="I52" s="111"/>
      <c r="J52" s="103"/>
      <c r="K52" s="111"/>
    </row>
    <row r="53" spans="1:11" ht="12.75" customHeight="1">
      <c r="A53" s="12"/>
      <c r="B53" s="11"/>
      <c r="C53" s="12"/>
      <c r="D53" s="189"/>
      <c r="E53" s="220" t="s">
        <v>124</v>
      </c>
      <c r="F53" s="208">
        <v>1625312.91</v>
      </c>
      <c r="G53" s="36"/>
      <c r="H53" s="221">
        <v>1676895.5</v>
      </c>
      <c r="I53" s="111"/>
      <c r="J53" s="103"/>
      <c r="K53" s="111"/>
    </row>
    <row r="54" spans="1:11" ht="12.75" customHeight="1">
      <c r="A54" s="12"/>
      <c r="B54" s="11"/>
      <c r="C54" s="12"/>
      <c r="D54" s="189"/>
      <c r="E54" s="220" t="s">
        <v>125</v>
      </c>
      <c r="F54" s="208">
        <v>67411</v>
      </c>
      <c r="G54" s="36"/>
      <c r="H54" s="221">
        <v>67411</v>
      </c>
      <c r="I54" s="111"/>
      <c r="J54" s="103"/>
      <c r="K54" s="111"/>
    </row>
    <row r="55" spans="1:11" ht="12.75" customHeight="1">
      <c r="A55" s="12"/>
      <c r="B55" s="11"/>
      <c r="C55" s="12"/>
      <c r="D55" t="s">
        <v>22</v>
      </c>
      <c r="E55" s="9" t="s">
        <v>103</v>
      </c>
      <c r="F55" s="201">
        <f>F56</f>
        <v>745083.55</v>
      </c>
      <c r="G55" s="36"/>
      <c r="H55" s="186">
        <f>H56+778.96+521.16+14.76+8812.5</f>
        <v>370309.22000000003</v>
      </c>
      <c r="I55" s="111"/>
      <c r="J55" s="103"/>
      <c r="K55" s="111"/>
    </row>
    <row r="56" spans="1:11" ht="12.75" customHeight="1">
      <c r="A56" s="12"/>
      <c r="B56" s="11"/>
      <c r="C56" s="12"/>
      <c r="D56" s="189"/>
      <c r="E56" s="189" t="s">
        <v>111</v>
      </c>
      <c r="F56" s="208">
        <f>SUM(F57:F57)</f>
        <v>745083.55</v>
      </c>
      <c r="G56" s="36"/>
      <c r="H56" s="221">
        <f>SUM(H57)</f>
        <v>360181.84</v>
      </c>
      <c r="I56" s="111"/>
      <c r="J56" s="103"/>
      <c r="K56" s="111"/>
    </row>
    <row r="57" spans="1:11" ht="12.75" customHeight="1">
      <c r="A57" s="12"/>
      <c r="B57" s="11"/>
      <c r="C57" s="12"/>
      <c r="D57" s="189"/>
      <c r="E57" s="220" t="s">
        <v>123</v>
      </c>
      <c r="F57" s="208">
        <v>745083.55</v>
      </c>
      <c r="G57" s="36"/>
      <c r="H57" s="221">
        <v>360181.84</v>
      </c>
      <c r="I57" s="111"/>
      <c r="J57" s="103"/>
      <c r="K57" s="111"/>
    </row>
    <row r="58" spans="1:11" ht="12.75" customHeight="1">
      <c r="A58" s="12"/>
      <c r="B58" s="11"/>
      <c r="C58" s="12"/>
      <c r="D58" s="189" t="s">
        <v>22</v>
      </c>
      <c r="E58" s="9" t="s">
        <v>90</v>
      </c>
      <c r="F58" s="201">
        <v>73950</v>
      </c>
      <c r="G58" s="36"/>
      <c r="H58" s="186">
        <f>H59+219.3+23.22</f>
        <v>84493.03</v>
      </c>
      <c r="I58" s="111"/>
      <c r="J58" s="103"/>
      <c r="K58" s="111"/>
    </row>
    <row r="59" spans="1:11" ht="12.75" customHeight="1">
      <c r="A59" s="12"/>
      <c r="B59" s="11"/>
      <c r="C59" s="12"/>
      <c r="D59" s="189"/>
      <c r="E59" s="189" t="s">
        <v>111</v>
      </c>
      <c r="F59" s="208">
        <f>F60</f>
        <v>73950</v>
      </c>
      <c r="G59" s="36"/>
      <c r="H59" s="221">
        <f>SUM(H60)</f>
        <v>84250.51</v>
      </c>
      <c r="I59" s="111"/>
      <c r="J59" s="103"/>
      <c r="K59" s="111"/>
    </row>
    <row r="60" spans="1:11" ht="12.75" customHeight="1">
      <c r="A60" s="12"/>
      <c r="B60" s="11"/>
      <c r="C60" s="12"/>
      <c r="D60" s="189"/>
      <c r="E60" s="220" t="s">
        <v>123</v>
      </c>
      <c r="F60" s="208">
        <v>73950</v>
      </c>
      <c r="G60" s="36"/>
      <c r="H60" s="221">
        <v>84250.51</v>
      </c>
      <c r="I60" s="111"/>
      <c r="J60" s="103"/>
      <c r="K60" s="111"/>
    </row>
    <row r="61" spans="1:11" ht="12.75" customHeight="1">
      <c r="A61" s="12"/>
      <c r="B61" s="11"/>
      <c r="C61" s="12"/>
      <c r="D61" t="s">
        <v>22</v>
      </c>
      <c r="E61" s="9" t="s">
        <v>110</v>
      </c>
      <c r="F61" s="201">
        <v>0</v>
      </c>
      <c r="G61" s="36"/>
      <c r="H61" s="191">
        <v>0</v>
      </c>
      <c r="I61" s="111"/>
      <c r="J61" s="103"/>
      <c r="K61" s="111"/>
    </row>
    <row r="62" spans="1:11" ht="12.75" customHeight="1">
      <c r="A62" s="12"/>
      <c r="B62" s="11"/>
      <c r="C62" s="12"/>
      <c r="D62" t="s">
        <v>22</v>
      </c>
      <c r="E62" s="9" t="s">
        <v>89</v>
      </c>
      <c r="F62" s="201">
        <v>0</v>
      </c>
      <c r="G62" s="36"/>
      <c r="H62" s="186">
        <f>347.82</f>
        <v>347.82</v>
      </c>
      <c r="I62" s="111"/>
      <c r="J62" s="103">
        <v>20645756</v>
      </c>
      <c r="K62" s="111"/>
    </row>
    <row r="63" spans="1:11" ht="12.75" customHeight="1">
      <c r="A63" s="12"/>
      <c r="B63" s="11"/>
      <c r="C63" s="12"/>
      <c r="D63" t="s">
        <v>22</v>
      </c>
      <c r="E63" s="9" t="s">
        <v>72</v>
      </c>
      <c r="F63" s="201">
        <f>F64</f>
        <v>92643</v>
      </c>
      <c r="G63" s="36"/>
      <c r="H63" s="186">
        <f>H64+770.13</f>
        <v>93413.13</v>
      </c>
      <c r="I63" s="111"/>
      <c r="J63" s="103">
        <v>456346688</v>
      </c>
      <c r="K63" s="111"/>
    </row>
    <row r="64" spans="1:11" ht="12.75" customHeight="1">
      <c r="A64" s="12"/>
      <c r="B64" s="11"/>
      <c r="C64" s="12"/>
      <c r="D64"/>
      <c r="E64" s="189" t="s">
        <v>111</v>
      </c>
      <c r="F64" s="208">
        <f>SUM(F65:F65)</f>
        <v>92643</v>
      </c>
      <c r="G64" s="36"/>
      <c r="H64" s="221">
        <f>SUM(H65)</f>
        <v>92643</v>
      </c>
      <c r="I64" s="111"/>
      <c r="J64" s="103"/>
      <c r="K64" s="111"/>
    </row>
    <row r="65" spans="1:11" ht="12.75" customHeight="1">
      <c r="A65" s="12"/>
      <c r="B65" s="11"/>
      <c r="C65" s="12"/>
      <c r="D65"/>
      <c r="E65" s="220" t="s">
        <v>126</v>
      </c>
      <c r="F65" s="208">
        <v>92643</v>
      </c>
      <c r="G65" s="36"/>
      <c r="H65" s="221">
        <v>92643</v>
      </c>
      <c r="I65" s="111"/>
      <c r="J65" s="103"/>
      <c r="K65" s="111"/>
    </row>
    <row r="66" spans="1:11" ht="12.75" customHeight="1">
      <c r="A66" s="12"/>
      <c r="B66" s="11"/>
      <c r="C66" s="12"/>
      <c r="D66" t="s">
        <v>22</v>
      </c>
      <c r="E66" s="9" t="s">
        <v>135</v>
      </c>
      <c r="F66" s="201">
        <f>F67</f>
        <v>59645.68</v>
      </c>
      <c r="G66" s="36"/>
      <c r="H66" s="186">
        <f>H67+700</f>
        <v>65147.84</v>
      </c>
      <c r="I66" s="111"/>
      <c r="J66" s="103">
        <v>14836</v>
      </c>
      <c r="K66" s="111"/>
    </row>
    <row r="67" spans="1:11" ht="12.75" customHeight="1">
      <c r="A67" s="12"/>
      <c r="B67" s="11"/>
      <c r="C67" s="12"/>
      <c r="D67"/>
      <c r="E67" s="189" t="s">
        <v>111</v>
      </c>
      <c r="F67" s="208">
        <f>SUM(F68:F68)</f>
        <v>59645.68</v>
      </c>
      <c r="G67" s="36"/>
      <c r="H67" s="221">
        <f>SUM(H68)</f>
        <v>64447.84</v>
      </c>
      <c r="I67" s="111"/>
      <c r="J67" s="103"/>
      <c r="K67" s="111"/>
    </row>
    <row r="68" spans="1:11" ht="12.75" customHeight="1">
      <c r="A68" s="12"/>
      <c r="B68" s="11"/>
      <c r="C68" s="12"/>
      <c r="D68"/>
      <c r="E68" s="220" t="s">
        <v>127</v>
      </c>
      <c r="F68" s="208">
        <f>8000+51645.68</f>
        <v>59645.68</v>
      </c>
      <c r="G68" s="36"/>
      <c r="H68" s="221">
        <f>6666.67+51645.68+6135.49</f>
        <v>64447.84</v>
      </c>
      <c r="I68" s="111"/>
      <c r="J68" s="103"/>
      <c r="K68" s="111"/>
    </row>
    <row r="69" spans="1:11" ht="12.75" customHeight="1">
      <c r="A69" s="12"/>
      <c r="B69" s="11"/>
      <c r="C69" s="12"/>
      <c r="D69" t="s">
        <v>22</v>
      </c>
      <c r="E69" s="9" t="s">
        <v>74</v>
      </c>
      <c r="F69" s="147">
        <v>0</v>
      </c>
      <c r="G69" s="36"/>
      <c r="H69" s="186">
        <f>3260.21+29.29</f>
        <v>3289.5</v>
      </c>
      <c r="I69" s="111"/>
      <c r="J69" s="103">
        <v>1595647</v>
      </c>
      <c r="K69" s="111"/>
    </row>
    <row r="70" spans="1:11" ht="12.75" customHeight="1">
      <c r="A70" s="12"/>
      <c r="B70" s="11"/>
      <c r="C70" s="12"/>
      <c r="D70" t="s">
        <v>22</v>
      </c>
      <c r="E70" s="9" t="s">
        <v>75</v>
      </c>
      <c r="F70" s="147">
        <v>0</v>
      </c>
      <c r="G70" s="36"/>
      <c r="H70" s="186">
        <f>959.9+42.66</f>
        <v>1002.56</v>
      </c>
      <c r="I70" s="111"/>
      <c r="J70" s="103">
        <v>1628745</v>
      </c>
      <c r="K70" s="111"/>
    </row>
    <row r="71" spans="1:11" ht="12.75" customHeight="1">
      <c r="A71" s="12"/>
      <c r="B71" s="11"/>
      <c r="C71" s="12"/>
      <c r="D71" t="s">
        <v>22</v>
      </c>
      <c r="E71" s="9" t="s">
        <v>100</v>
      </c>
      <c r="F71" s="147">
        <v>0</v>
      </c>
      <c r="G71" s="36"/>
      <c r="H71" s="186">
        <f>816+23.22</f>
        <v>839.22</v>
      </c>
      <c r="I71" s="111"/>
      <c r="J71" s="103">
        <v>9644</v>
      </c>
      <c r="K71" s="111"/>
    </row>
    <row r="72" spans="1:11" ht="12.75" customHeight="1">
      <c r="A72" s="12"/>
      <c r="B72" s="11"/>
      <c r="C72" s="12"/>
      <c r="D72"/>
      <c r="E72" s="189" t="s">
        <v>111</v>
      </c>
      <c r="F72" s="147">
        <v>0</v>
      </c>
      <c r="G72" s="36"/>
      <c r="H72" s="221">
        <v>816</v>
      </c>
      <c r="I72" s="111"/>
      <c r="J72" s="103"/>
      <c r="K72" s="111"/>
    </row>
    <row r="73" spans="1:11" ht="12.75" customHeight="1">
      <c r="A73" s="12"/>
      <c r="B73" s="11"/>
      <c r="C73" s="12"/>
      <c r="D73" s="12" t="s">
        <v>22</v>
      </c>
      <c r="E73" s="9" t="s">
        <v>101</v>
      </c>
      <c r="F73" s="201">
        <f>F74</f>
        <v>62194.56</v>
      </c>
      <c r="G73" s="36"/>
      <c r="H73" s="186">
        <f>H74+51.6</f>
        <v>61706.86</v>
      </c>
      <c r="I73" s="111"/>
      <c r="J73" s="103">
        <v>148088986</v>
      </c>
      <c r="K73" s="111"/>
    </row>
    <row r="74" spans="1:11" ht="12.75" customHeight="1">
      <c r="A74" s="12"/>
      <c r="B74" s="11"/>
      <c r="C74" s="12"/>
      <c r="D74" s="12"/>
      <c r="E74" s="189" t="s">
        <v>111</v>
      </c>
      <c r="F74" s="208">
        <f>SUM(F75:F76)</f>
        <v>62194.56</v>
      </c>
      <c r="G74" s="36"/>
      <c r="H74" s="221">
        <f>SUM(H75:H76)</f>
        <v>61655.26</v>
      </c>
      <c r="I74" s="111"/>
      <c r="J74" s="103"/>
      <c r="K74" s="111"/>
    </row>
    <row r="75" spans="1:11" ht="12.75" customHeight="1">
      <c r="A75" s="12"/>
      <c r="B75" s="11"/>
      <c r="C75" s="12"/>
      <c r="D75" s="12"/>
      <c r="E75" s="220" t="s">
        <v>126</v>
      </c>
      <c r="F75" s="208">
        <v>49105.36</v>
      </c>
      <c r="G75" s="36"/>
      <c r="H75" s="221">
        <v>49105.36</v>
      </c>
      <c r="I75" s="111"/>
      <c r="J75" s="103"/>
      <c r="K75" s="111"/>
    </row>
    <row r="76" spans="1:11" ht="12.75" customHeight="1">
      <c r="A76" s="12"/>
      <c r="B76" s="11"/>
      <c r="C76" s="12"/>
      <c r="D76" s="12"/>
      <c r="E76" s="220" t="s">
        <v>128</v>
      </c>
      <c r="F76" s="208">
        <v>13089.2</v>
      </c>
      <c r="G76" s="36"/>
      <c r="H76" s="221">
        <v>12549.9</v>
      </c>
      <c r="I76" s="111"/>
      <c r="J76" s="103"/>
      <c r="K76" s="111"/>
    </row>
    <row r="77" spans="1:11" ht="12.75" customHeight="1">
      <c r="A77" s="12"/>
      <c r="B77" s="11"/>
      <c r="C77" s="12"/>
      <c r="D77" t="s">
        <v>22</v>
      </c>
      <c r="E77" s="9" t="s">
        <v>76</v>
      </c>
      <c r="F77" s="201">
        <v>0</v>
      </c>
      <c r="G77" s="36"/>
      <c r="H77" s="186">
        <f>72248.07+64.5</f>
        <v>72312.57</v>
      </c>
      <c r="I77" s="111"/>
      <c r="J77" s="103">
        <v>1031082</v>
      </c>
      <c r="K77" s="111"/>
    </row>
    <row r="78" spans="1:11" ht="12.75" customHeight="1">
      <c r="A78" s="12"/>
      <c r="B78" s="11"/>
      <c r="C78" s="12"/>
      <c r="D78"/>
      <c r="E78" s="189" t="s">
        <v>111</v>
      </c>
      <c r="F78" s="208">
        <v>0</v>
      </c>
      <c r="G78" s="36"/>
      <c r="H78" s="221">
        <v>72248.07</v>
      </c>
      <c r="I78" s="111"/>
      <c r="J78" s="103"/>
      <c r="K78" s="111"/>
    </row>
    <row r="79" spans="1:11" ht="12.75" customHeight="1">
      <c r="A79" s="12"/>
      <c r="B79" s="11"/>
      <c r="C79" s="12"/>
      <c r="D79" t="s">
        <v>22</v>
      </c>
      <c r="E79" s="9" t="s">
        <v>95</v>
      </c>
      <c r="F79" s="201">
        <f>F80</f>
        <v>50808</v>
      </c>
      <c r="G79" s="36"/>
      <c r="H79" s="186">
        <f>H80+70.95+16.77+3739.2</f>
        <v>48356.38999999999</v>
      </c>
      <c r="I79" s="111"/>
      <c r="J79" s="103">
        <v>31866498</v>
      </c>
      <c r="K79" s="111"/>
    </row>
    <row r="80" spans="1:11" ht="12.75" customHeight="1">
      <c r="A80" s="12"/>
      <c r="B80" s="11"/>
      <c r="C80" s="12"/>
      <c r="D80"/>
      <c r="E80" s="189" t="s">
        <v>111</v>
      </c>
      <c r="F80" s="208">
        <f>SUM(F81)</f>
        <v>50808</v>
      </c>
      <c r="G80" s="36"/>
      <c r="H80" s="221">
        <f>SUM(H81)</f>
        <v>44529.47</v>
      </c>
      <c r="I80" s="111"/>
      <c r="J80" s="103"/>
      <c r="K80" s="111"/>
    </row>
    <row r="81" spans="1:11" ht="12.75" customHeight="1">
      <c r="A81" s="12"/>
      <c r="B81" s="11"/>
      <c r="C81" s="12"/>
      <c r="D81"/>
      <c r="E81" s="220" t="s">
        <v>126</v>
      </c>
      <c r="F81" s="208">
        <v>50808</v>
      </c>
      <c r="G81" s="36"/>
      <c r="H81" s="221">
        <v>44529.47</v>
      </c>
      <c r="I81" s="111"/>
      <c r="J81" s="103"/>
      <c r="K81" s="111"/>
    </row>
    <row r="82" spans="1:11" ht="12.75" customHeight="1">
      <c r="A82" s="12"/>
      <c r="B82" s="11"/>
      <c r="C82" s="12"/>
      <c r="D82" s="12" t="s">
        <v>129</v>
      </c>
      <c r="F82" s="201">
        <v>39000</v>
      </c>
      <c r="G82" s="36"/>
      <c r="H82" s="186">
        <v>0</v>
      </c>
      <c r="I82" s="111"/>
      <c r="J82" s="103">
        <v>0</v>
      </c>
      <c r="K82" s="111"/>
    </row>
    <row r="83" spans="1:11" ht="12.75" customHeight="1">
      <c r="A83" s="12"/>
      <c r="B83" s="11"/>
      <c r="C83" s="12"/>
      <c r="D83" s="12" t="s">
        <v>131</v>
      </c>
      <c r="F83" s="201">
        <v>713510.2</v>
      </c>
      <c r="G83" s="36"/>
      <c r="H83" s="186">
        <v>195416.34</v>
      </c>
      <c r="I83" s="111"/>
      <c r="J83" s="103"/>
      <c r="K83" s="111"/>
    </row>
    <row r="84" spans="1:11" ht="12.75" customHeight="1">
      <c r="A84" s="12"/>
      <c r="B84" s="11"/>
      <c r="C84" s="12"/>
      <c r="D84" s="12" t="s">
        <v>133</v>
      </c>
      <c r="F84" s="201">
        <v>20000</v>
      </c>
      <c r="G84" s="36"/>
      <c r="H84" s="186">
        <v>0</v>
      </c>
      <c r="I84" s="111"/>
      <c r="J84" s="103"/>
      <c r="K84" s="111"/>
    </row>
    <row r="85" spans="1:11" ht="12.75" customHeight="1">
      <c r="A85" s="12"/>
      <c r="B85" s="11"/>
      <c r="C85" s="12"/>
      <c r="D85" s="12" t="s">
        <v>134</v>
      </c>
      <c r="F85" s="201">
        <v>40000</v>
      </c>
      <c r="G85" s="36"/>
      <c r="H85" s="186">
        <v>0</v>
      </c>
      <c r="I85" s="111"/>
      <c r="J85" s="103"/>
      <c r="K85" s="111"/>
    </row>
    <row r="86" spans="1:11" ht="12.75" customHeight="1">
      <c r="A86" s="12"/>
      <c r="B86" s="11"/>
      <c r="C86" s="12"/>
      <c r="D86" s="12" t="s">
        <v>132</v>
      </c>
      <c r="E86" s="12"/>
      <c r="F86" s="151">
        <f>76117.88+2228.16</f>
        <v>78346.04000000001</v>
      </c>
      <c r="G86" s="15"/>
      <c r="H86" s="186">
        <v>0</v>
      </c>
      <c r="I86" s="105"/>
      <c r="J86" s="105"/>
      <c r="K86" s="105"/>
    </row>
    <row r="87" spans="1:11" ht="12.75" customHeight="1">
      <c r="A87" s="12"/>
      <c r="B87" s="11"/>
      <c r="C87" s="12"/>
      <c r="D87" s="12"/>
      <c r="E87" s="12"/>
      <c r="F87" s="15"/>
      <c r="G87" s="15"/>
      <c r="H87" s="105"/>
      <c r="I87" s="105"/>
      <c r="J87" s="105"/>
      <c r="K87" s="105"/>
    </row>
    <row r="88" spans="1:13" s="3" customFormat="1" ht="12.75" customHeight="1">
      <c r="A88" s="17"/>
      <c r="B88" s="185" t="s">
        <v>9</v>
      </c>
      <c r="C88" s="17"/>
      <c r="D88" s="17"/>
      <c r="E88" s="24"/>
      <c r="F88" s="18"/>
      <c r="G88" s="166">
        <f>-(F91+F110+F132+F146+F154+F168+F170+F172)</f>
        <v>-7342940.862501449</v>
      </c>
      <c r="H88" s="112"/>
      <c r="I88" s="209">
        <f>-(H91+H110+H132+H146+H154+H163+H168+H170+H172)</f>
        <v>-8982161.379999999</v>
      </c>
      <c r="J88" s="112"/>
      <c r="K88" s="113">
        <v>-13079347992</v>
      </c>
      <c r="M88" s="92"/>
    </row>
    <row r="89" spans="1:13" s="3" customFormat="1" ht="12.75" customHeight="1">
      <c r="A89" s="17"/>
      <c r="B89" s="16"/>
      <c r="C89" s="17"/>
      <c r="D89" s="17"/>
      <c r="E89" s="24"/>
      <c r="F89" s="18"/>
      <c r="G89" s="166"/>
      <c r="H89" s="112"/>
      <c r="I89" s="143"/>
      <c r="J89" s="112"/>
      <c r="K89" s="113"/>
      <c r="M89" s="92"/>
    </row>
    <row r="90" spans="1:11" ht="12.75" customHeight="1">
      <c r="A90" s="12"/>
      <c r="B90" s="11"/>
      <c r="C90" s="17" t="s">
        <v>10</v>
      </c>
      <c r="D90" s="12"/>
      <c r="F90" s="15" t="s">
        <v>0</v>
      </c>
      <c r="G90" s="15"/>
      <c r="H90" s="105" t="s">
        <v>0</v>
      </c>
      <c r="I90" s="105"/>
      <c r="J90" s="105" t="s">
        <v>0</v>
      </c>
      <c r="K90" s="105"/>
    </row>
    <row r="91" spans="1:11" ht="12.75" customHeight="1">
      <c r="A91" s="12"/>
      <c r="B91" s="11"/>
      <c r="D91" s="17" t="s">
        <v>11</v>
      </c>
      <c r="E91" s="60"/>
      <c r="F91" s="165">
        <f>SUM(F93:F108)</f>
        <v>745710.6399999999</v>
      </c>
      <c r="G91" s="15"/>
      <c r="H91" s="193">
        <f>SUM(H93:H108)</f>
        <v>2565409.9999999995</v>
      </c>
      <c r="I91" s="105"/>
      <c r="J91" s="105">
        <v>4380769479</v>
      </c>
      <c r="K91" s="105"/>
    </row>
    <row r="92" spans="1:11" ht="12.75" customHeight="1">
      <c r="A92" s="12"/>
      <c r="B92" s="11"/>
      <c r="D92" s="12"/>
      <c r="F92" s="170"/>
      <c r="G92" s="15"/>
      <c r="H92" s="171"/>
      <c r="I92" s="105"/>
      <c r="J92" s="105"/>
      <c r="K92" s="105"/>
    </row>
    <row r="93" spans="1:11" ht="12.75" customHeight="1">
      <c r="A93" s="12"/>
      <c r="B93" s="11"/>
      <c r="C93" s="12"/>
      <c r="D93" t="s">
        <v>22</v>
      </c>
      <c r="E93" s="9" t="s">
        <v>102</v>
      </c>
      <c r="F93" s="201">
        <v>293291.92</v>
      </c>
      <c r="G93" s="15"/>
      <c r="H93" s="186">
        <v>317407.9</v>
      </c>
      <c r="I93" s="105"/>
      <c r="J93" s="111">
        <v>605752456</v>
      </c>
      <c r="K93" s="105"/>
    </row>
    <row r="94" spans="1:11" ht="12.75" customHeight="1">
      <c r="A94" s="12"/>
      <c r="B94" s="11"/>
      <c r="C94" s="12"/>
      <c r="D94" t="s">
        <v>22</v>
      </c>
      <c r="E94" s="9" t="s">
        <v>103</v>
      </c>
      <c r="F94" s="201">
        <v>113983.74</v>
      </c>
      <c r="G94" s="15"/>
      <c r="H94" s="186">
        <v>100821.52</v>
      </c>
      <c r="I94" s="105"/>
      <c r="J94" s="111"/>
      <c r="K94" s="105"/>
    </row>
    <row r="95" spans="1:11" ht="12.75" customHeight="1">
      <c r="A95" s="12"/>
      <c r="B95" s="11"/>
      <c r="C95" s="12"/>
      <c r="D95" t="s">
        <v>22</v>
      </c>
      <c r="E95" s="9" t="s">
        <v>110</v>
      </c>
      <c r="F95" s="201">
        <v>10000</v>
      </c>
      <c r="G95" s="15"/>
      <c r="H95" s="138">
        <v>0</v>
      </c>
      <c r="I95" s="105"/>
      <c r="J95" s="111"/>
      <c r="K95" s="105"/>
    </row>
    <row r="96" spans="1:11" ht="12.75" customHeight="1">
      <c r="A96" s="12"/>
      <c r="B96" s="11"/>
      <c r="C96" s="12"/>
      <c r="D96" t="s">
        <v>22</v>
      </c>
      <c r="E96" s="9" t="s">
        <v>89</v>
      </c>
      <c r="F96" s="201">
        <v>214508.21</v>
      </c>
      <c r="G96" s="15"/>
      <c r="H96" s="186">
        <v>207502.71</v>
      </c>
      <c r="I96" s="105"/>
      <c r="J96" s="111">
        <v>487105241</v>
      </c>
      <c r="K96" s="105"/>
    </row>
    <row r="97" spans="1:11" ht="12.75" customHeight="1">
      <c r="A97" s="12"/>
      <c r="B97" s="11"/>
      <c r="C97" s="12"/>
      <c r="D97" t="s">
        <v>22</v>
      </c>
      <c r="E97" s="9" t="s">
        <v>117</v>
      </c>
      <c r="F97" s="201">
        <f>9998.31+6865.22</f>
        <v>16863.53</v>
      </c>
      <c r="G97" s="15"/>
      <c r="H97" s="186">
        <v>11257.78</v>
      </c>
      <c r="I97" s="105"/>
      <c r="J97" s="111">
        <v>13703490</v>
      </c>
      <c r="K97" s="105"/>
    </row>
    <row r="98" spans="1:11" ht="12.75" customHeight="1">
      <c r="A98" s="12"/>
      <c r="B98" s="11"/>
      <c r="C98" s="12"/>
      <c r="D98" t="s">
        <v>22</v>
      </c>
      <c r="E98" s="9" t="s">
        <v>90</v>
      </c>
      <c r="F98" s="201">
        <v>7707.23</v>
      </c>
      <c r="G98" s="15"/>
      <c r="H98" s="186">
        <v>4921.21</v>
      </c>
      <c r="I98" s="105"/>
      <c r="J98" s="111">
        <v>6937294</v>
      </c>
      <c r="K98" s="105"/>
    </row>
    <row r="99" spans="1:11" ht="12.75" customHeight="1">
      <c r="A99" s="12"/>
      <c r="B99" s="11"/>
      <c r="C99" s="12"/>
      <c r="D99" t="s">
        <v>22</v>
      </c>
      <c r="E99" s="9" t="s">
        <v>135</v>
      </c>
      <c r="F99" s="201">
        <f>18250.78+6300+1882</f>
        <v>26432.78</v>
      </c>
      <c r="G99" s="15"/>
      <c r="H99" s="186">
        <f>9800.03+2177.45+3119.22</f>
        <v>15096.699999999999</v>
      </c>
      <c r="I99" s="105"/>
      <c r="J99" s="111">
        <v>16285199</v>
      </c>
      <c r="K99" s="105"/>
    </row>
    <row r="100" spans="1:11" ht="12.75" customHeight="1">
      <c r="A100" s="12"/>
      <c r="B100" s="11"/>
      <c r="C100" s="12"/>
      <c r="D100" t="s">
        <v>22</v>
      </c>
      <c r="E100" s="9" t="s">
        <v>74</v>
      </c>
      <c r="F100" s="201">
        <v>0</v>
      </c>
      <c r="G100" s="15"/>
      <c r="H100" s="186">
        <v>715161.62</v>
      </c>
      <c r="I100" s="105"/>
      <c r="J100" s="111">
        <v>1373587462</v>
      </c>
      <c r="K100" s="105"/>
    </row>
    <row r="101" spans="1:11" ht="12.75" customHeight="1">
      <c r="A101" s="12"/>
      <c r="B101" s="11"/>
      <c r="C101" s="12"/>
      <c r="D101" t="s">
        <v>22</v>
      </c>
      <c r="E101" s="9" t="s">
        <v>75</v>
      </c>
      <c r="F101" s="201">
        <v>0</v>
      </c>
      <c r="G101" s="15"/>
      <c r="H101" s="186">
        <v>1168694.74</v>
      </c>
      <c r="I101" s="105"/>
      <c r="J101" s="111">
        <v>1829247116</v>
      </c>
      <c r="K101" s="105"/>
    </row>
    <row r="102" spans="1:11" ht="12.75" customHeight="1">
      <c r="A102" s="12"/>
      <c r="B102" s="11"/>
      <c r="C102" s="12"/>
      <c r="D102" t="s">
        <v>22</v>
      </c>
      <c r="E102" s="9" t="s">
        <v>100</v>
      </c>
      <c r="F102" s="201">
        <v>5733</v>
      </c>
      <c r="G102" s="15"/>
      <c r="H102" s="186">
        <v>7150.55</v>
      </c>
      <c r="I102" s="105"/>
      <c r="J102" s="111">
        <v>5812110</v>
      </c>
      <c r="K102" s="105"/>
    </row>
    <row r="103" spans="1:11" ht="12.75" customHeight="1">
      <c r="A103" s="12"/>
      <c r="B103" s="11"/>
      <c r="C103" s="12"/>
      <c r="D103" s="12" t="s">
        <v>22</v>
      </c>
      <c r="E103" s="9" t="s">
        <v>101</v>
      </c>
      <c r="F103" s="201">
        <v>15429.32</v>
      </c>
      <c r="G103" s="15"/>
      <c r="H103" s="186">
        <v>6373.45</v>
      </c>
      <c r="I103" s="105"/>
      <c r="J103" s="111"/>
      <c r="K103" s="105"/>
    </row>
    <row r="104" spans="1:11" ht="12.75" customHeight="1">
      <c r="A104" s="12"/>
      <c r="B104" s="11"/>
      <c r="C104" s="12"/>
      <c r="D104" s="12" t="s">
        <v>22</v>
      </c>
      <c r="E104" s="9" t="s">
        <v>120</v>
      </c>
      <c r="F104" s="201">
        <v>9000</v>
      </c>
      <c r="G104" s="15"/>
      <c r="H104" s="186">
        <v>0</v>
      </c>
      <c r="I104" s="105"/>
      <c r="J104" s="111"/>
      <c r="K104" s="105"/>
    </row>
    <row r="105" spans="1:11" ht="12.75" customHeight="1">
      <c r="A105" s="12"/>
      <c r="B105" s="11"/>
      <c r="C105" s="12"/>
      <c r="D105" s="12" t="s">
        <v>22</v>
      </c>
      <c r="E105" s="9" t="s">
        <v>121</v>
      </c>
      <c r="F105" s="201">
        <v>4000</v>
      </c>
      <c r="G105" s="15"/>
      <c r="H105" s="186">
        <v>0</v>
      </c>
      <c r="I105" s="105"/>
      <c r="J105" s="111"/>
      <c r="K105" s="105"/>
    </row>
    <row r="106" spans="1:11" ht="12.75" customHeight="1">
      <c r="A106" s="12"/>
      <c r="B106" s="11"/>
      <c r="C106" s="12"/>
      <c r="D106" t="s">
        <v>22</v>
      </c>
      <c r="E106" s="9" t="s">
        <v>76</v>
      </c>
      <c r="F106" s="201">
        <v>0</v>
      </c>
      <c r="G106" s="15"/>
      <c r="H106" s="138">
        <v>0</v>
      </c>
      <c r="I106" s="105"/>
      <c r="J106" s="111">
        <v>0</v>
      </c>
      <c r="K106" s="105"/>
    </row>
    <row r="107" spans="1:11" ht="12.75" customHeight="1">
      <c r="A107" s="12"/>
      <c r="B107" s="11"/>
      <c r="C107" s="12"/>
      <c r="D107" t="s">
        <v>22</v>
      </c>
      <c r="E107" s="9" t="s">
        <v>95</v>
      </c>
      <c r="F107" s="201">
        <v>7808.82</v>
      </c>
      <c r="G107" s="15"/>
      <c r="H107" s="138">
        <v>0</v>
      </c>
      <c r="I107" s="105"/>
      <c r="J107" s="111">
        <v>12518923</v>
      </c>
      <c r="K107" s="105"/>
    </row>
    <row r="108" spans="1:11" ht="12.75" customHeight="1">
      <c r="A108" s="12"/>
      <c r="B108" s="11"/>
      <c r="C108" s="12"/>
      <c r="D108" s="12" t="s">
        <v>22</v>
      </c>
      <c r="E108" s="22" t="s">
        <v>99</v>
      </c>
      <c r="F108" s="201">
        <v>20952.09</v>
      </c>
      <c r="G108" s="15"/>
      <c r="H108" s="186">
        <v>11021.82</v>
      </c>
      <c r="I108" s="105"/>
      <c r="J108" s="111">
        <v>13589893</v>
      </c>
      <c r="K108" s="105"/>
    </row>
    <row r="109" spans="1:11" ht="12.75" customHeight="1">
      <c r="A109" s="12"/>
      <c r="B109" s="11"/>
      <c r="C109" s="12"/>
      <c r="D109" s="12"/>
      <c r="E109" s="22"/>
      <c r="F109" s="147"/>
      <c r="G109" s="15"/>
      <c r="H109" s="138"/>
      <c r="I109" s="105"/>
      <c r="J109" s="111"/>
      <c r="K109" s="105"/>
    </row>
    <row r="110" spans="1:11" ht="12.75" customHeight="1">
      <c r="A110" s="12"/>
      <c r="B110" s="11"/>
      <c r="C110" s="17" t="s">
        <v>12</v>
      </c>
      <c r="D110" s="12"/>
      <c r="F110" s="167">
        <f>SUM(F112:F130)</f>
        <v>3745033.2200000007</v>
      </c>
      <c r="G110" s="15"/>
      <c r="H110" s="199">
        <f>SUM(H112:H130)</f>
        <v>3532646.0300000003</v>
      </c>
      <c r="I110" s="105"/>
      <c r="J110" s="114">
        <v>4210407973</v>
      </c>
      <c r="K110" s="105"/>
    </row>
    <row r="111" spans="1:11" ht="12.75" customHeight="1">
      <c r="A111" s="12"/>
      <c r="B111" s="11"/>
      <c r="C111" s="12"/>
      <c r="D111" s="12"/>
      <c r="F111" s="173"/>
      <c r="G111" s="15"/>
      <c r="H111" s="164"/>
      <c r="I111" s="105"/>
      <c r="J111" s="110"/>
      <c r="K111" s="105"/>
    </row>
    <row r="112" spans="1:11" ht="12.75" customHeight="1">
      <c r="A112" s="12"/>
      <c r="B112" s="11"/>
      <c r="C112" s="12"/>
      <c r="D112" t="s">
        <v>22</v>
      </c>
      <c r="E112" s="9" t="s">
        <v>102</v>
      </c>
      <c r="F112" s="201">
        <f>1606135.6-357238-50000</f>
        <v>1198897.6</v>
      </c>
      <c r="G112" s="15"/>
      <c r="H112" s="186">
        <f>1720930.2-384615</f>
        <v>1336315.2</v>
      </c>
      <c r="I112" s="105"/>
      <c r="J112" s="111">
        <v>1408440542</v>
      </c>
      <c r="K112" s="105"/>
    </row>
    <row r="113" spans="1:11" ht="12.75" customHeight="1">
      <c r="A113" s="12"/>
      <c r="B113" s="11"/>
      <c r="C113" s="12"/>
      <c r="D113" t="s">
        <v>22</v>
      </c>
      <c r="E113" s="9" t="s">
        <v>104</v>
      </c>
      <c r="F113" s="201">
        <f>964545.26-153102</f>
        <v>811443.26</v>
      </c>
      <c r="G113" s="15"/>
      <c r="H113" s="186">
        <f>724437.12-91660.8</f>
        <v>632776.32</v>
      </c>
      <c r="I113" s="105"/>
      <c r="J113" s="111"/>
      <c r="K113" s="105"/>
    </row>
    <row r="114" spans="1:11" ht="12.75" customHeight="1">
      <c r="A114" s="12"/>
      <c r="B114" s="11"/>
      <c r="C114" s="12"/>
      <c r="D114" t="s">
        <v>22</v>
      </c>
      <c r="E114" s="9" t="s">
        <v>110</v>
      </c>
      <c r="F114" s="201">
        <v>18000</v>
      </c>
      <c r="G114" s="15"/>
      <c r="H114" s="186">
        <v>0</v>
      </c>
      <c r="I114" s="105"/>
      <c r="J114" s="111"/>
      <c r="K114" s="105"/>
    </row>
    <row r="115" spans="1:11" ht="12.75" customHeight="1">
      <c r="A115" s="12"/>
      <c r="B115" s="11"/>
      <c r="C115" s="12"/>
      <c r="D115" t="s">
        <v>22</v>
      </c>
      <c r="E115" s="9" t="s">
        <v>89</v>
      </c>
      <c r="F115" s="201">
        <v>77800.34</v>
      </c>
      <c r="G115" s="15"/>
      <c r="H115" s="186">
        <v>16943.27</v>
      </c>
      <c r="I115" s="105"/>
      <c r="J115" s="111">
        <v>177401293</v>
      </c>
      <c r="K115" s="105"/>
    </row>
    <row r="116" spans="1:11" ht="12.75" customHeight="1">
      <c r="A116" s="12"/>
      <c r="B116" s="11"/>
      <c r="C116" s="12"/>
      <c r="D116" t="s">
        <v>22</v>
      </c>
      <c r="E116" s="9" t="s">
        <v>118</v>
      </c>
      <c r="F116" s="201">
        <f>227021.48+141417.72</f>
        <v>368439.2</v>
      </c>
      <c r="G116" s="15"/>
      <c r="H116" s="186">
        <f>405619.09-7862.4</f>
        <v>397756.69</v>
      </c>
      <c r="I116" s="105"/>
      <c r="J116" s="111">
        <v>540772475</v>
      </c>
      <c r="K116" s="105"/>
    </row>
    <row r="117" spans="1:11" ht="12.75" customHeight="1">
      <c r="A117" s="12"/>
      <c r="B117" s="11"/>
      <c r="C117" s="12"/>
      <c r="D117" t="s">
        <v>22</v>
      </c>
      <c r="E117" s="9" t="s">
        <v>90</v>
      </c>
      <c r="F117" s="201">
        <f>30158.36-18012</f>
        <v>12146.36</v>
      </c>
      <c r="G117" s="15"/>
      <c r="H117" s="186">
        <f>28848.74-12314.4</f>
        <v>16534.340000000004</v>
      </c>
      <c r="I117" s="105"/>
      <c r="J117" s="111">
        <v>79304413</v>
      </c>
      <c r="K117" s="105"/>
    </row>
    <row r="118" spans="1:11" ht="12.75" customHeight="1">
      <c r="A118" s="12"/>
      <c r="B118" s="11"/>
      <c r="C118" s="12"/>
      <c r="D118" t="s">
        <v>22</v>
      </c>
      <c r="E118" s="9" t="s">
        <v>135</v>
      </c>
      <c r="F118" s="201">
        <f>134685.61+3543.14+8030.41</f>
        <v>146259.16</v>
      </c>
      <c r="G118" s="15"/>
      <c r="H118" s="186">
        <f>56309.39+20756.77+4577.44</f>
        <v>81643.6</v>
      </c>
      <c r="I118" s="105"/>
      <c r="J118" s="111">
        <v>146792901</v>
      </c>
      <c r="K118" s="105"/>
    </row>
    <row r="119" spans="1:11" ht="12.75" customHeight="1">
      <c r="A119" s="12"/>
      <c r="B119" s="11"/>
      <c r="C119" s="12"/>
      <c r="D119" t="s">
        <v>22</v>
      </c>
      <c r="E119" s="9" t="s">
        <v>74</v>
      </c>
      <c r="F119" s="201">
        <v>0</v>
      </c>
      <c r="G119" s="15"/>
      <c r="H119" s="186">
        <f>48011.67</f>
        <v>48011.67</v>
      </c>
      <c r="I119" s="105"/>
      <c r="J119" s="111">
        <v>90314829</v>
      </c>
      <c r="K119" s="105"/>
    </row>
    <row r="120" spans="1:11" ht="12.75" customHeight="1">
      <c r="A120" s="12"/>
      <c r="B120" s="11"/>
      <c r="C120" s="12"/>
      <c r="D120" t="s">
        <v>22</v>
      </c>
      <c r="E120" s="9" t="s">
        <v>75</v>
      </c>
      <c r="F120" s="201">
        <v>0</v>
      </c>
      <c r="G120" s="15"/>
      <c r="H120" s="186">
        <f>42748</f>
        <v>42748</v>
      </c>
      <c r="I120" s="105"/>
      <c r="J120" s="111">
        <v>81606455</v>
      </c>
      <c r="K120" s="105"/>
    </row>
    <row r="121" spans="1:11" ht="12.75" customHeight="1">
      <c r="A121" s="12"/>
      <c r="B121" s="11"/>
      <c r="C121" s="12"/>
      <c r="D121" t="s">
        <v>22</v>
      </c>
      <c r="E121" s="9" t="s">
        <v>100</v>
      </c>
      <c r="F121" s="201">
        <v>9290.69</v>
      </c>
      <c r="G121" s="15"/>
      <c r="H121" s="186">
        <v>12178.75</v>
      </c>
      <c r="I121" s="105"/>
      <c r="J121" s="111">
        <v>81579641</v>
      </c>
      <c r="K121" s="105"/>
    </row>
    <row r="122" spans="1:11" ht="12.75" customHeight="1">
      <c r="A122" s="12"/>
      <c r="B122" s="11"/>
      <c r="C122" s="12"/>
      <c r="D122" s="12" t="s">
        <v>22</v>
      </c>
      <c r="E122" s="9" t="s">
        <v>101</v>
      </c>
      <c r="F122" s="201">
        <v>221320.66</v>
      </c>
      <c r="G122" s="15"/>
      <c r="H122" s="186">
        <v>207541.02</v>
      </c>
      <c r="I122" s="105"/>
      <c r="J122" s="111"/>
      <c r="K122" s="105"/>
    </row>
    <row r="123" spans="1:11" ht="12.75" customHeight="1">
      <c r="A123" s="12"/>
      <c r="B123" s="11"/>
      <c r="C123" s="12"/>
      <c r="D123" s="12" t="s">
        <v>22</v>
      </c>
      <c r="E123" s="9" t="s">
        <v>120</v>
      </c>
      <c r="F123" s="201">
        <v>192500</v>
      </c>
      <c r="G123" s="15"/>
      <c r="H123" s="186">
        <v>0</v>
      </c>
      <c r="I123" s="105"/>
      <c r="J123" s="111"/>
      <c r="K123" s="105"/>
    </row>
    <row r="124" spans="1:11" ht="12.75" customHeight="1">
      <c r="A124" s="12"/>
      <c r="B124" s="11"/>
      <c r="C124" s="12"/>
      <c r="D124" s="12" t="s">
        <v>22</v>
      </c>
      <c r="E124" s="9" t="s">
        <v>121</v>
      </c>
      <c r="F124" s="201">
        <v>95000</v>
      </c>
      <c r="G124" s="15"/>
      <c r="H124" s="186">
        <v>0</v>
      </c>
      <c r="I124" s="105"/>
      <c r="J124" s="111"/>
      <c r="K124" s="105"/>
    </row>
    <row r="125" spans="1:11" ht="12.75" customHeight="1">
      <c r="A125" s="12"/>
      <c r="B125" s="11"/>
      <c r="C125" s="12"/>
      <c r="D125" t="s">
        <v>22</v>
      </c>
      <c r="E125" s="9" t="s">
        <v>76</v>
      </c>
      <c r="F125" s="201">
        <v>0</v>
      </c>
      <c r="G125" s="15"/>
      <c r="H125" s="186">
        <f>66522.17</f>
        <v>66522.17</v>
      </c>
      <c r="I125" s="105"/>
      <c r="J125" s="111">
        <v>43500907</v>
      </c>
      <c r="K125" s="105"/>
    </row>
    <row r="126" spans="1:11" ht="12.75" customHeight="1">
      <c r="A126" s="12"/>
      <c r="B126" s="11"/>
      <c r="C126" s="12"/>
      <c r="D126" t="s">
        <v>22</v>
      </c>
      <c r="E126" s="9" t="s">
        <v>94</v>
      </c>
      <c r="F126" s="201">
        <v>192691.52</v>
      </c>
      <c r="G126" s="15"/>
      <c r="H126" s="186">
        <f>230583.81</f>
        <v>230583.81</v>
      </c>
      <c r="I126" s="105"/>
      <c r="J126" s="111">
        <v>192837781</v>
      </c>
      <c r="K126" s="105"/>
    </row>
    <row r="127" spans="1:11" ht="12.75" customHeight="1">
      <c r="A127" s="12"/>
      <c r="B127" s="11"/>
      <c r="C127" s="12"/>
      <c r="D127" t="s">
        <v>22</v>
      </c>
      <c r="E127" s="9" t="s">
        <v>112</v>
      </c>
      <c r="F127" s="201">
        <v>50000</v>
      </c>
      <c r="G127" s="15"/>
      <c r="H127" s="186">
        <f>52377.24+23461</f>
        <v>75838.23999999999</v>
      </c>
      <c r="I127" s="105"/>
      <c r="J127" s="111"/>
      <c r="K127" s="105"/>
    </row>
    <row r="128" spans="1:11" ht="12.75" customHeight="1">
      <c r="A128" s="12"/>
      <c r="B128" s="11"/>
      <c r="C128" s="12"/>
      <c r="D128" s="12" t="s">
        <v>22</v>
      </c>
      <c r="E128" s="9" t="s">
        <v>87</v>
      </c>
      <c r="F128" s="201">
        <f>77368.92+10059.6</f>
        <v>87428.52</v>
      </c>
      <c r="G128" s="15"/>
      <c r="H128" s="186">
        <f>85965.36+9512.88</f>
        <v>95478.24</v>
      </c>
      <c r="I128" s="105"/>
      <c r="J128" s="111">
        <v>132008967</v>
      </c>
      <c r="K128" s="105"/>
    </row>
    <row r="129" spans="1:11" ht="12.75" customHeight="1">
      <c r="A129" s="12"/>
      <c r="B129" s="11"/>
      <c r="C129" s="12"/>
      <c r="D129" s="12" t="s">
        <v>22</v>
      </c>
      <c r="E129" s="9" t="s">
        <v>88</v>
      </c>
      <c r="F129" s="201">
        <v>32228</v>
      </c>
      <c r="G129" s="14"/>
      <c r="H129" s="186">
        <v>29507.06</v>
      </c>
      <c r="I129" s="105"/>
      <c r="J129" s="115">
        <v>57946270</v>
      </c>
      <c r="K129" s="105"/>
    </row>
    <row r="130" spans="1:11" ht="12.75" customHeight="1">
      <c r="A130" s="12"/>
      <c r="B130" s="11"/>
      <c r="C130" s="12"/>
      <c r="D130" s="12" t="s">
        <v>22</v>
      </c>
      <c r="E130" s="22" t="s">
        <v>99</v>
      </c>
      <c r="F130" s="201">
        <f>255108.13-77368.92-10059.6-32228+96136.3</f>
        <v>231587.91000000003</v>
      </c>
      <c r="G130" s="15"/>
      <c r="H130" s="186">
        <f>248110.76-85965.36-9512.88-29507.06+124547.78-5405.59</f>
        <v>242267.65000000002</v>
      </c>
      <c r="I130" s="105"/>
      <c r="J130" s="111">
        <v>280534</v>
      </c>
      <c r="K130" s="105"/>
    </row>
    <row r="131" spans="1:11" ht="12.75" customHeight="1">
      <c r="A131" s="12"/>
      <c r="B131" s="11"/>
      <c r="C131" s="12"/>
      <c r="D131" s="12"/>
      <c r="E131" s="22"/>
      <c r="F131" s="147"/>
      <c r="G131" s="15"/>
      <c r="H131" s="138"/>
      <c r="I131" s="105"/>
      <c r="J131" s="111"/>
      <c r="K131" s="105"/>
    </row>
    <row r="132" spans="1:11" ht="12.75" customHeight="1">
      <c r="A132" s="12"/>
      <c r="B132" s="11"/>
      <c r="C132" s="17" t="s">
        <v>13</v>
      </c>
      <c r="D132" s="12"/>
      <c r="E132" s="60"/>
      <c r="F132" s="167">
        <f>SUM(F134:F144)</f>
        <v>32961.58</v>
      </c>
      <c r="G132" s="15"/>
      <c r="H132" s="199">
        <f>SUM(H134:H144)</f>
        <v>77186.79</v>
      </c>
      <c r="I132" s="105"/>
      <c r="J132" s="114">
        <v>161250379</v>
      </c>
      <c r="K132" s="105"/>
    </row>
    <row r="133" spans="1:11" ht="12.75" customHeight="1">
      <c r="A133" s="12"/>
      <c r="B133" s="11"/>
      <c r="C133" s="12"/>
      <c r="D133" s="12"/>
      <c r="F133" s="148"/>
      <c r="G133" s="15"/>
      <c r="H133" s="164"/>
      <c r="I133" s="105"/>
      <c r="J133" s="110"/>
      <c r="K133" s="105"/>
    </row>
    <row r="134" spans="1:11" ht="12.75" customHeight="1">
      <c r="A134" s="12"/>
      <c r="B134" s="11"/>
      <c r="C134" s="12"/>
      <c r="D134" t="s">
        <v>22</v>
      </c>
      <c r="E134" s="9" t="s">
        <v>102</v>
      </c>
      <c r="F134" s="210">
        <v>12706.78</v>
      </c>
      <c r="G134" s="15"/>
      <c r="H134" s="194">
        <v>12376.91</v>
      </c>
      <c r="I134" s="105"/>
      <c r="J134" s="111">
        <v>46644000</v>
      </c>
      <c r="K134" s="105"/>
    </row>
    <row r="135" spans="1:11" ht="12.75" customHeight="1">
      <c r="A135" s="12"/>
      <c r="B135" s="11"/>
      <c r="C135" s="12"/>
      <c r="D135" s="12" t="s">
        <v>22</v>
      </c>
      <c r="E135" s="9" t="s">
        <v>103</v>
      </c>
      <c r="F135" s="210">
        <v>0</v>
      </c>
      <c r="G135" s="15"/>
      <c r="H135" s="194">
        <v>172.8</v>
      </c>
      <c r="I135" s="105"/>
      <c r="J135" s="111"/>
      <c r="K135" s="105"/>
    </row>
    <row r="136" spans="1:11" ht="12.75" customHeight="1">
      <c r="A136" s="12"/>
      <c r="B136" s="11"/>
      <c r="C136" s="12"/>
      <c r="D136" t="s">
        <v>22</v>
      </c>
      <c r="E136" s="9" t="s">
        <v>89</v>
      </c>
      <c r="F136" s="210">
        <v>0</v>
      </c>
      <c r="G136" s="15"/>
      <c r="H136" s="194">
        <v>0</v>
      </c>
      <c r="I136" s="105"/>
      <c r="J136" s="111"/>
      <c r="K136" s="105"/>
    </row>
    <row r="137" spans="1:11" ht="12.75" customHeight="1">
      <c r="A137" s="12"/>
      <c r="B137" s="11"/>
      <c r="C137" s="12"/>
      <c r="D137" t="s">
        <v>22</v>
      </c>
      <c r="E137" s="9" t="s">
        <v>72</v>
      </c>
      <c r="F137" s="210">
        <v>2117</v>
      </c>
      <c r="G137" s="15"/>
      <c r="H137" s="194">
        <v>2038.32</v>
      </c>
      <c r="I137" s="105"/>
      <c r="J137" s="111">
        <v>20292480</v>
      </c>
      <c r="K137" s="105"/>
    </row>
    <row r="138" spans="1:11" ht="12.75" customHeight="1">
      <c r="A138" s="12"/>
      <c r="B138" s="11"/>
      <c r="C138" s="12"/>
      <c r="D138" t="s">
        <v>22</v>
      </c>
      <c r="E138" s="9" t="s">
        <v>135</v>
      </c>
      <c r="F138" s="210">
        <v>10445.46</v>
      </c>
      <c r="G138" s="15"/>
      <c r="H138" s="194">
        <v>11118.46</v>
      </c>
      <c r="I138" s="105"/>
      <c r="J138" s="111"/>
      <c r="K138" s="105"/>
    </row>
    <row r="139" spans="1:11" ht="12.75" customHeight="1">
      <c r="A139" s="12"/>
      <c r="B139" s="11"/>
      <c r="C139" s="12"/>
      <c r="D139" t="s">
        <v>22</v>
      </c>
      <c r="E139" s="9" t="s">
        <v>74</v>
      </c>
      <c r="F139" s="210">
        <v>0</v>
      </c>
      <c r="G139" s="15"/>
      <c r="H139" s="194">
        <v>15750.3</v>
      </c>
      <c r="I139" s="105"/>
      <c r="J139" s="111">
        <v>25668000</v>
      </c>
      <c r="K139" s="105"/>
    </row>
    <row r="140" spans="1:11" ht="12.75" customHeight="1">
      <c r="A140" s="12"/>
      <c r="B140" s="11"/>
      <c r="C140" s="12"/>
      <c r="D140" t="s">
        <v>22</v>
      </c>
      <c r="E140" s="9" t="s">
        <v>75</v>
      </c>
      <c r="F140" s="210">
        <v>0</v>
      </c>
      <c r="G140" s="15"/>
      <c r="H140" s="194">
        <v>23953.28</v>
      </c>
      <c r="I140" s="105"/>
      <c r="J140" s="111">
        <v>43741899</v>
      </c>
      <c r="K140" s="105"/>
    </row>
    <row r="141" spans="1:11" ht="12.75" customHeight="1">
      <c r="A141" s="12"/>
      <c r="B141" s="11"/>
      <c r="C141" s="12"/>
      <c r="D141" t="s">
        <v>22</v>
      </c>
      <c r="E141" s="9" t="s">
        <v>101</v>
      </c>
      <c r="F141" s="210">
        <v>2403</v>
      </c>
      <c r="G141" s="15"/>
      <c r="H141" s="186">
        <v>2487.74</v>
      </c>
      <c r="I141" s="105"/>
      <c r="J141" s="111"/>
      <c r="K141" s="105"/>
    </row>
    <row r="142" spans="1:11" ht="12.75" customHeight="1">
      <c r="A142" s="12"/>
      <c r="B142" s="11"/>
      <c r="C142" s="12"/>
      <c r="D142" t="s">
        <v>22</v>
      </c>
      <c r="E142" s="9" t="s">
        <v>121</v>
      </c>
      <c r="F142" s="210">
        <v>3000</v>
      </c>
      <c r="G142" s="15"/>
      <c r="H142" s="186">
        <v>0</v>
      </c>
      <c r="I142" s="105"/>
      <c r="J142" s="111"/>
      <c r="K142" s="105"/>
    </row>
    <row r="143" spans="1:11" ht="12.75" customHeight="1">
      <c r="A143" s="12"/>
      <c r="B143" s="11"/>
      <c r="C143" s="12"/>
      <c r="D143" t="s">
        <v>22</v>
      </c>
      <c r="E143" s="9" t="s">
        <v>96</v>
      </c>
      <c r="F143" s="210">
        <v>2289.34</v>
      </c>
      <c r="G143" s="15"/>
      <c r="H143" s="194">
        <v>3566.31</v>
      </c>
      <c r="I143" s="105"/>
      <c r="J143" s="111">
        <v>0</v>
      </c>
      <c r="K143" s="105"/>
    </row>
    <row r="144" spans="1:11" ht="12.75" customHeight="1">
      <c r="A144" s="12"/>
      <c r="B144" s="11"/>
      <c r="C144" s="12"/>
      <c r="D144" s="12" t="s">
        <v>22</v>
      </c>
      <c r="E144" s="22" t="s">
        <v>99</v>
      </c>
      <c r="F144" s="210">
        <v>0</v>
      </c>
      <c r="G144" s="15"/>
      <c r="H144" s="194">
        <v>5722.67</v>
      </c>
      <c r="I144" s="105"/>
      <c r="J144" s="111">
        <v>840000</v>
      </c>
      <c r="K144" s="105"/>
    </row>
    <row r="145" spans="1:11" ht="12.75" customHeight="1">
      <c r="A145" s="12"/>
      <c r="B145" s="11"/>
      <c r="C145" s="12"/>
      <c r="D145" s="12"/>
      <c r="E145" s="22"/>
      <c r="F145" s="175"/>
      <c r="G145" s="15"/>
      <c r="H145" s="176"/>
      <c r="I145" s="105"/>
      <c r="J145" s="177"/>
      <c r="K145" s="105"/>
    </row>
    <row r="146" spans="1:11" ht="12.75" customHeight="1">
      <c r="A146" s="12"/>
      <c r="B146" s="11"/>
      <c r="C146" s="17" t="s">
        <v>14</v>
      </c>
      <c r="D146" s="12"/>
      <c r="E146" s="60"/>
      <c r="F146" s="168">
        <f>SUM(F148:F152)</f>
        <v>2479494.6525014476</v>
      </c>
      <c r="G146" s="15"/>
      <c r="H146" s="198">
        <f>SUM(H148:H152)</f>
        <v>2356035.79</v>
      </c>
      <c r="I146" s="105"/>
      <c r="J146" s="116">
        <v>4230576296</v>
      </c>
      <c r="K146" s="105"/>
    </row>
    <row r="147" spans="1:11" ht="12.75" customHeight="1">
      <c r="A147" s="12"/>
      <c r="B147" s="11"/>
      <c r="C147" s="12"/>
      <c r="D147" s="12"/>
      <c r="E147" s="60"/>
      <c r="F147" s="178"/>
      <c r="G147" s="15"/>
      <c r="H147" s="179"/>
      <c r="I147" s="105"/>
      <c r="J147" s="180"/>
      <c r="K147" s="105"/>
    </row>
    <row r="148" spans="1:11" ht="12.75" customHeight="1">
      <c r="A148" s="12"/>
      <c r="B148" s="11"/>
      <c r="D148" s="35" t="s">
        <v>15</v>
      </c>
      <c r="E148" s="65"/>
      <c r="F148" s="211">
        <f>2496587.81/1.313+319.07-12988.13-119222.92</f>
        <v>1769545.8037014476</v>
      </c>
      <c r="G148" s="15"/>
      <c r="H148" s="195">
        <f>1567568.53+28179.66+95656.3+74671.01</f>
        <v>1766075.5</v>
      </c>
      <c r="I148" s="105"/>
      <c r="J148" s="117">
        <v>3171029617</v>
      </c>
      <c r="K148" s="105"/>
    </row>
    <row r="149" spans="1:11" ht="12.75" customHeight="1">
      <c r="A149" s="12"/>
      <c r="B149" s="11"/>
      <c r="D149" s="35" t="s">
        <v>16</v>
      </c>
      <c r="E149" s="65"/>
      <c r="F149" s="211">
        <f>1891354.4*23.77/100</f>
        <v>449574.94088</v>
      </c>
      <c r="G149" s="15"/>
      <c r="H149" s="195">
        <f>371315.78+7044.92+23373.92+18004.27</f>
        <v>419738.89</v>
      </c>
      <c r="I149" s="105"/>
      <c r="J149" s="117">
        <v>747920893</v>
      </c>
      <c r="K149" s="105"/>
    </row>
    <row r="150" spans="1:11" ht="12.75" customHeight="1">
      <c r="A150" s="12"/>
      <c r="B150" s="11"/>
      <c r="D150" s="35" t="s">
        <v>17</v>
      </c>
      <c r="E150" s="65"/>
      <c r="F150" s="211">
        <f>1891354.4*7.68/100</f>
        <v>145256.01791999998</v>
      </c>
      <c r="G150" s="15"/>
      <c r="H150" s="195">
        <f>119838.92+15859.04</f>
        <v>135697.96</v>
      </c>
      <c r="I150" s="105"/>
      <c r="J150" s="117">
        <v>191128342</v>
      </c>
      <c r="K150" s="105"/>
    </row>
    <row r="151" spans="1:11" ht="12.75" customHeight="1">
      <c r="A151" s="12"/>
      <c r="B151" s="11"/>
      <c r="D151" s="35" t="s">
        <v>18</v>
      </c>
      <c r="E151" s="65"/>
      <c r="F151" s="211">
        <v>0</v>
      </c>
      <c r="G151" s="15"/>
      <c r="H151" s="138">
        <v>0</v>
      </c>
      <c r="I151" s="105"/>
      <c r="J151" s="117">
        <v>0</v>
      </c>
      <c r="K151" s="105"/>
    </row>
    <row r="152" spans="1:11" ht="12.75" customHeight="1">
      <c r="A152" s="12"/>
      <c r="B152" s="11"/>
      <c r="D152" s="35" t="s">
        <v>130</v>
      </c>
      <c r="E152" s="65"/>
      <c r="F152" s="211">
        <f>61000+54117.89</f>
        <v>115117.89</v>
      </c>
      <c r="G152" s="15"/>
      <c r="H152" s="196">
        <f>29992.31+(80369.37-75838.24)</f>
        <v>34523.43999999999</v>
      </c>
      <c r="I152" s="105"/>
      <c r="J152" s="118">
        <v>120497444</v>
      </c>
      <c r="K152" s="105"/>
    </row>
    <row r="153" spans="1:11" ht="12.75" customHeight="1">
      <c r="A153" s="12"/>
      <c r="B153" s="11"/>
      <c r="D153" s="35"/>
      <c r="E153" s="65"/>
      <c r="F153" s="154"/>
      <c r="G153" s="15"/>
      <c r="H153" s="176"/>
      <c r="I153" s="105"/>
      <c r="J153" s="117"/>
      <c r="K153" s="105"/>
    </row>
    <row r="154" spans="1:11" ht="12.75" customHeight="1">
      <c r="A154" s="12"/>
      <c r="B154" s="11"/>
      <c r="C154" s="17" t="s">
        <v>19</v>
      </c>
      <c r="D154" s="12"/>
      <c r="E154" s="60"/>
      <c r="F154" s="168">
        <f>SUM(F156:F159)</f>
        <v>253115.19</v>
      </c>
      <c r="G154" s="15"/>
      <c r="H154" s="198">
        <f>SUM(H156:H160)</f>
        <v>167309.07</v>
      </c>
      <c r="I154" s="105"/>
      <c r="J154" s="116">
        <v>102692356</v>
      </c>
      <c r="K154" s="105"/>
    </row>
    <row r="155" spans="1:11" ht="12.75" customHeight="1">
      <c r="A155" s="12"/>
      <c r="B155" s="11"/>
      <c r="C155" s="12"/>
      <c r="D155" s="12"/>
      <c r="E155" s="60"/>
      <c r="F155" s="178"/>
      <c r="G155" s="15"/>
      <c r="H155" s="179"/>
      <c r="I155" s="105"/>
      <c r="J155" s="180"/>
      <c r="K155" s="105"/>
    </row>
    <row r="156" spans="1:11" ht="12.75" customHeight="1">
      <c r="A156" s="12"/>
      <c r="B156" s="11"/>
      <c r="C156" s="12"/>
      <c r="D156" s="35" t="s">
        <v>20</v>
      </c>
      <c r="E156" s="65"/>
      <c r="F156" s="211">
        <v>18937.38</v>
      </c>
      <c r="G156" s="15"/>
      <c r="H156" s="195">
        <v>11762.1</v>
      </c>
      <c r="I156" s="105"/>
      <c r="J156" s="117">
        <v>17054628</v>
      </c>
      <c r="K156" s="105"/>
    </row>
    <row r="157" spans="1:11" ht="12.75" customHeight="1">
      <c r="A157" s="12"/>
      <c r="B157" s="11"/>
      <c r="D157" s="35" t="s">
        <v>21</v>
      </c>
      <c r="E157" s="66"/>
      <c r="F157" s="211">
        <f>194027.81+40150</f>
        <v>234177.81</v>
      </c>
      <c r="G157" s="15"/>
      <c r="H157" s="195">
        <v>155546.97</v>
      </c>
      <c r="I157" s="105"/>
      <c r="J157" s="117">
        <v>79698780</v>
      </c>
      <c r="K157" s="105"/>
    </row>
    <row r="158" spans="1:11" ht="12.75" customHeight="1">
      <c r="A158" s="12"/>
      <c r="B158" s="11"/>
      <c r="D158" s="35" t="s">
        <v>23</v>
      </c>
      <c r="E158" s="65"/>
      <c r="F158" s="154"/>
      <c r="G158" s="15"/>
      <c r="H158" s="138">
        <v>0</v>
      </c>
      <c r="I158" s="105"/>
      <c r="J158" s="117">
        <v>0</v>
      </c>
      <c r="K158" s="105"/>
    </row>
    <row r="159" spans="1:11" ht="12.75" customHeight="1">
      <c r="A159" s="12"/>
      <c r="B159" s="11"/>
      <c r="D159" s="35" t="s">
        <v>24</v>
      </c>
      <c r="E159" s="65"/>
      <c r="F159" s="154"/>
      <c r="G159" s="15"/>
      <c r="H159" s="103"/>
      <c r="I159" s="105"/>
      <c r="J159" s="117">
        <v>5938948</v>
      </c>
      <c r="K159" s="105"/>
    </row>
    <row r="160" spans="1:11" ht="12.75" customHeight="1">
      <c r="A160" s="12"/>
      <c r="B160" s="11"/>
      <c r="D160" s="35"/>
      <c r="E160" s="66" t="s">
        <v>25</v>
      </c>
      <c r="F160" s="154"/>
      <c r="G160" s="15"/>
      <c r="H160" s="142">
        <v>0</v>
      </c>
      <c r="I160" s="105"/>
      <c r="J160" s="118"/>
      <c r="K160" s="105"/>
    </row>
    <row r="161" spans="1:11" ht="12.75" customHeight="1">
      <c r="A161" s="12"/>
      <c r="B161" s="11"/>
      <c r="D161" s="35"/>
      <c r="E161" s="66"/>
      <c r="F161" s="181"/>
      <c r="G161" s="15"/>
      <c r="H161" s="182"/>
      <c r="I161" s="105"/>
      <c r="J161" s="177"/>
      <c r="K161" s="105"/>
    </row>
    <row r="162" spans="1:11" ht="12.75" customHeight="1">
      <c r="A162" s="12"/>
      <c r="B162" s="11"/>
      <c r="C162" s="17" t="s">
        <v>113</v>
      </c>
      <c r="D162" s="12"/>
      <c r="E162" s="60"/>
      <c r="F162" s="181"/>
      <c r="G162" s="15"/>
      <c r="H162" s="182"/>
      <c r="I162" s="105"/>
      <c r="J162" s="177"/>
      <c r="K162" s="105"/>
    </row>
    <row r="163" spans="1:11" ht="12.75" customHeight="1">
      <c r="A163" s="12"/>
      <c r="B163" s="11"/>
      <c r="D163" s="35"/>
      <c r="E163" s="13" t="s">
        <v>114</v>
      </c>
      <c r="F163" s="214">
        <v>0</v>
      </c>
      <c r="G163" s="15"/>
      <c r="H163" s="197">
        <f>SUM(H165:H166)</f>
        <v>66381.98000000001</v>
      </c>
      <c r="I163" s="105"/>
      <c r="J163" s="177"/>
      <c r="K163" s="105"/>
    </row>
    <row r="164" spans="1:11" ht="12.75" customHeight="1">
      <c r="A164" s="12"/>
      <c r="B164" s="11"/>
      <c r="D164" s="35"/>
      <c r="E164" s="13"/>
      <c r="F164" s="181"/>
      <c r="G164" s="15"/>
      <c r="H164" s="197"/>
      <c r="I164" s="105"/>
      <c r="J164" s="177"/>
      <c r="K164" s="105"/>
    </row>
    <row r="165" spans="1:11" ht="12.75" customHeight="1">
      <c r="A165" s="12"/>
      <c r="B165" s="11"/>
      <c r="D165" s="35"/>
      <c r="E165" s="60" t="s">
        <v>115</v>
      </c>
      <c r="F165" s="213">
        <v>0</v>
      </c>
      <c r="G165" s="15"/>
      <c r="H165" s="194">
        <f>137428-96767.84</f>
        <v>40660.16</v>
      </c>
      <c r="I165" s="105"/>
      <c r="J165" s="177"/>
      <c r="K165" s="105"/>
    </row>
    <row r="166" spans="1:11" ht="12.75" customHeight="1">
      <c r="A166" s="12"/>
      <c r="B166" s="11"/>
      <c r="D166" s="35"/>
      <c r="E166" s="60" t="s">
        <v>116</v>
      </c>
      <c r="F166" s="213">
        <v>0</v>
      </c>
      <c r="G166" s="15"/>
      <c r="H166" s="194">
        <f>213978.85-188257.03</f>
        <v>25721.820000000007</v>
      </c>
      <c r="I166" s="105"/>
      <c r="J166" s="177"/>
      <c r="K166" s="105"/>
    </row>
    <row r="167" spans="1:11" ht="12.75" customHeight="1">
      <c r="A167" s="12"/>
      <c r="B167" s="11"/>
      <c r="D167" s="35"/>
      <c r="E167" s="66"/>
      <c r="F167" s="181"/>
      <c r="G167" s="15"/>
      <c r="H167" s="182"/>
      <c r="I167" s="105"/>
      <c r="J167" s="177"/>
      <c r="K167" s="105"/>
    </row>
    <row r="168" spans="1:11" ht="12.75" customHeight="1">
      <c r="A168" s="12"/>
      <c r="B168" s="11"/>
      <c r="C168" s="17" t="s">
        <v>26</v>
      </c>
      <c r="D168" s="12"/>
      <c r="E168" s="60"/>
      <c r="F168" s="165">
        <v>6240</v>
      </c>
      <c r="G168" s="15"/>
      <c r="H168" s="200">
        <v>121593.7</v>
      </c>
      <c r="I168" s="105"/>
      <c r="J168" s="105"/>
      <c r="K168" s="105"/>
    </row>
    <row r="169" spans="1:11" ht="12.75" customHeight="1">
      <c r="A169" s="12"/>
      <c r="B169" s="11"/>
      <c r="C169" s="12"/>
      <c r="D169" s="12"/>
      <c r="E169" s="60"/>
      <c r="F169" s="165"/>
      <c r="G169" s="15"/>
      <c r="H169" s="138"/>
      <c r="I169" s="105"/>
      <c r="J169" s="105"/>
      <c r="K169" s="105"/>
    </row>
    <row r="170" spans="1:11" ht="12.75" customHeight="1">
      <c r="A170" s="12"/>
      <c r="B170" s="11"/>
      <c r="C170" s="17" t="s">
        <v>27</v>
      </c>
      <c r="D170" s="12"/>
      <c r="E170" s="60"/>
      <c r="F170" s="165">
        <v>0</v>
      </c>
      <c r="G170" s="15"/>
      <c r="H170" s="192">
        <v>0</v>
      </c>
      <c r="I170" s="105"/>
      <c r="J170" s="119">
        <v>0</v>
      </c>
      <c r="K170" s="105"/>
    </row>
    <row r="171" spans="1:11" ht="12.75" customHeight="1">
      <c r="A171" s="12"/>
      <c r="B171" s="11"/>
      <c r="C171" s="12"/>
      <c r="D171" s="12"/>
      <c r="E171" s="60"/>
      <c r="F171" s="151"/>
      <c r="G171" s="15"/>
      <c r="H171" s="139"/>
      <c r="I171" s="105"/>
      <c r="J171" s="105"/>
      <c r="K171" s="105"/>
    </row>
    <row r="172" spans="1:11" ht="12.75" customHeight="1">
      <c r="A172" s="12"/>
      <c r="B172" s="11"/>
      <c r="C172" s="17" t="s">
        <v>28</v>
      </c>
      <c r="D172" s="12"/>
      <c r="E172" s="60"/>
      <c r="F172" s="165">
        <f>SUM(F174:F188)</f>
        <v>80385.58</v>
      </c>
      <c r="G172" s="15"/>
      <c r="H172" s="193">
        <f>SUM(H174:H188)</f>
        <v>95598.02</v>
      </c>
      <c r="I172" s="105"/>
      <c r="J172" s="105">
        <v>90628081</v>
      </c>
      <c r="K172" s="105"/>
    </row>
    <row r="173" spans="1:11" ht="12.75" customHeight="1">
      <c r="A173" s="12"/>
      <c r="B173" s="11"/>
      <c r="C173" s="12"/>
      <c r="D173" s="12"/>
      <c r="F173" s="165"/>
      <c r="G173" s="15"/>
      <c r="H173" s="171"/>
      <c r="I173" s="105"/>
      <c r="J173" s="105"/>
      <c r="K173" s="105"/>
    </row>
    <row r="174" spans="1:11" ht="12.75" customHeight="1">
      <c r="A174" s="12"/>
      <c r="B174" s="11"/>
      <c r="C174" s="12"/>
      <c r="D174" t="s">
        <v>22</v>
      </c>
      <c r="E174" s="9" t="s">
        <v>102</v>
      </c>
      <c r="F174" s="210">
        <v>45356.14</v>
      </c>
      <c r="G174" s="15"/>
      <c r="H174" s="194">
        <v>45948.63</v>
      </c>
      <c r="I174" s="105"/>
      <c r="J174" s="111">
        <v>37950450</v>
      </c>
      <c r="K174" s="105"/>
    </row>
    <row r="175" spans="1:11" ht="12.75" customHeight="1">
      <c r="A175" s="12"/>
      <c r="B175" s="11"/>
      <c r="C175" s="12"/>
      <c r="D175" t="s">
        <v>22</v>
      </c>
      <c r="E175" s="9" t="s">
        <v>103</v>
      </c>
      <c r="F175" s="210">
        <v>14195.94</v>
      </c>
      <c r="G175" s="15"/>
      <c r="H175" s="194">
        <v>27001.69</v>
      </c>
      <c r="I175" s="105"/>
      <c r="J175" s="111"/>
      <c r="K175" s="105"/>
    </row>
    <row r="176" spans="1:11" ht="12.75" customHeight="1">
      <c r="A176" s="12"/>
      <c r="B176" s="11"/>
      <c r="C176" s="12"/>
      <c r="D176" t="s">
        <v>22</v>
      </c>
      <c r="E176" s="9" t="s">
        <v>110</v>
      </c>
      <c r="F176" s="210">
        <v>0</v>
      </c>
      <c r="G176" s="15"/>
      <c r="H176" s="194">
        <v>0</v>
      </c>
      <c r="I176" s="105"/>
      <c r="J176" s="111"/>
      <c r="K176" s="105"/>
    </row>
    <row r="177" spans="1:11" ht="12.75" customHeight="1">
      <c r="A177" s="12"/>
      <c r="B177" s="11"/>
      <c r="C177" s="12"/>
      <c r="D177" t="s">
        <v>22</v>
      </c>
      <c r="E177" s="9" t="s">
        <v>89</v>
      </c>
      <c r="F177" s="210">
        <v>6600</v>
      </c>
      <c r="G177" s="15"/>
      <c r="H177" s="194">
        <v>2780.9</v>
      </c>
      <c r="I177" s="105"/>
      <c r="J177" s="111">
        <v>11603127</v>
      </c>
      <c r="K177" s="105"/>
    </row>
    <row r="178" spans="1:11" ht="12.75" customHeight="1">
      <c r="A178" s="12"/>
      <c r="B178" s="11"/>
      <c r="C178" s="12"/>
      <c r="D178" t="s">
        <v>22</v>
      </c>
      <c r="E178" s="9" t="s">
        <v>118</v>
      </c>
      <c r="F178" s="210">
        <v>1239.05</v>
      </c>
      <c r="G178" s="15"/>
      <c r="H178" s="194">
        <v>768.08</v>
      </c>
      <c r="I178" s="105"/>
      <c r="J178" s="111">
        <v>6956169</v>
      </c>
      <c r="K178" s="105"/>
    </row>
    <row r="179" spans="1:11" ht="12.75" customHeight="1">
      <c r="A179" s="12"/>
      <c r="B179" s="11"/>
      <c r="C179" s="12"/>
      <c r="D179" t="s">
        <v>22</v>
      </c>
      <c r="E179" s="9" t="s">
        <v>90</v>
      </c>
      <c r="F179" s="210">
        <v>315</v>
      </c>
      <c r="G179" s="15"/>
      <c r="H179" s="194">
        <v>7.75</v>
      </c>
      <c r="I179" s="105"/>
      <c r="J179" s="111">
        <v>1037334</v>
      </c>
      <c r="K179" s="105"/>
    </row>
    <row r="180" spans="1:11" ht="12.75" customHeight="1">
      <c r="A180" s="12"/>
      <c r="B180" s="11"/>
      <c r="C180" s="12"/>
      <c r="D180" t="s">
        <v>22</v>
      </c>
      <c r="E180" s="9" t="s">
        <v>135</v>
      </c>
      <c r="F180" s="210">
        <f>2528.88+1853.84</f>
        <v>4382.72</v>
      </c>
      <c r="G180" s="15"/>
      <c r="H180" s="194">
        <f>2630.06+0.08+629.03</f>
        <v>3259.17</v>
      </c>
      <c r="I180" s="105"/>
      <c r="J180" s="111">
        <v>376600</v>
      </c>
      <c r="K180" s="105"/>
    </row>
    <row r="181" spans="1:11" ht="12.75" customHeight="1">
      <c r="A181" s="12"/>
      <c r="B181" s="11"/>
      <c r="C181" s="12"/>
      <c r="D181" t="s">
        <v>22</v>
      </c>
      <c r="E181" s="9" t="s">
        <v>74</v>
      </c>
      <c r="F181" s="210">
        <v>0</v>
      </c>
      <c r="G181" s="15"/>
      <c r="H181" s="194">
        <v>1885.02</v>
      </c>
      <c r="I181" s="105"/>
      <c r="J181" s="111">
        <v>3473024</v>
      </c>
      <c r="K181" s="105"/>
    </row>
    <row r="182" spans="1:11" ht="12.75" customHeight="1">
      <c r="A182" s="12"/>
      <c r="B182" s="11"/>
      <c r="C182" s="12"/>
      <c r="D182" t="s">
        <v>22</v>
      </c>
      <c r="E182" s="9" t="s">
        <v>75</v>
      </c>
      <c r="F182" s="210">
        <v>0</v>
      </c>
      <c r="G182" s="15"/>
      <c r="H182" s="194">
        <v>2008.87</v>
      </c>
      <c r="I182" s="105"/>
      <c r="J182" s="111">
        <v>5142046</v>
      </c>
      <c r="K182" s="105"/>
    </row>
    <row r="183" spans="1:11" ht="13.5" customHeight="1">
      <c r="A183" s="12"/>
      <c r="B183" s="11"/>
      <c r="C183" s="12"/>
      <c r="D183" t="s">
        <v>22</v>
      </c>
      <c r="E183" s="9" t="s">
        <v>100</v>
      </c>
      <c r="F183" s="210">
        <v>238</v>
      </c>
      <c r="G183" s="15"/>
      <c r="H183" s="194">
        <v>221.32</v>
      </c>
      <c r="I183" s="105"/>
      <c r="J183" s="111">
        <v>376792</v>
      </c>
      <c r="K183" s="105"/>
    </row>
    <row r="184" spans="1:11" ht="12.75" customHeight="1">
      <c r="A184" s="12"/>
      <c r="B184" s="11"/>
      <c r="C184" s="12"/>
      <c r="D184" s="12" t="s">
        <v>22</v>
      </c>
      <c r="E184" s="9" t="s">
        <v>101</v>
      </c>
      <c r="F184" s="210">
        <v>719.54</v>
      </c>
      <c r="G184" s="15"/>
      <c r="H184" s="194">
        <v>661.6</v>
      </c>
      <c r="I184" s="105"/>
      <c r="J184" s="111">
        <v>8957720</v>
      </c>
      <c r="K184" s="105"/>
    </row>
    <row r="185" spans="1:11" ht="12.75" customHeight="1">
      <c r="A185" s="12"/>
      <c r="B185" s="11"/>
      <c r="C185" s="12"/>
      <c r="D185" s="12" t="s">
        <v>22</v>
      </c>
      <c r="E185" s="9" t="s">
        <v>122</v>
      </c>
      <c r="F185" s="210">
        <v>2000</v>
      </c>
      <c r="G185" s="15"/>
      <c r="H185" s="194">
        <v>0</v>
      </c>
      <c r="I185" s="105"/>
      <c r="J185" s="111"/>
      <c r="K185" s="105"/>
    </row>
    <row r="186" spans="1:11" ht="12.75" customHeight="1">
      <c r="A186" s="12"/>
      <c r="B186" s="11"/>
      <c r="C186" s="12"/>
      <c r="D186" t="s">
        <v>22</v>
      </c>
      <c r="E186" s="9" t="s">
        <v>76</v>
      </c>
      <c r="F186" s="210">
        <v>0</v>
      </c>
      <c r="G186" s="15"/>
      <c r="H186" s="194">
        <v>0</v>
      </c>
      <c r="I186" s="105"/>
      <c r="J186" s="111">
        <v>745186</v>
      </c>
      <c r="K186" s="105"/>
    </row>
    <row r="187" spans="1:11" ht="12.75" customHeight="1">
      <c r="A187" s="12"/>
      <c r="B187" s="11"/>
      <c r="C187" s="12"/>
      <c r="D187" t="s">
        <v>22</v>
      </c>
      <c r="E187" s="9" t="s">
        <v>94</v>
      </c>
      <c r="F187" s="210">
        <v>390</v>
      </c>
      <c r="G187" s="15"/>
      <c r="H187" s="194">
        <v>284.47</v>
      </c>
      <c r="I187" s="105"/>
      <c r="J187" s="111">
        <v>318424</v>
      </c>
      <c r="K187" s="105"/>
    </row>
    <row r="188" spans="1:11" ht="12.75" customHeight="1">
      <c r="A188" s="12"/>
      <c r="B188" s="11"/>
      <c r="C188" s="12"/>
      <c r="D188" s="12" t="s">
        <v>22</v>
      </c>
      <c r="E188" s="9" t="s">
        <v>99</v>
      </c>
      <c r="F188" s="210">
        <v>4949.19</v>
      </c>
      <c r="G188" s="15"/>
      <c r="H188" s="194">
        <v>10770.52</v>
      </c>
      <c r="I188" s="105"/>
      <c r="J188" s="111">
        <v>10024017</v>
      </c>
      <c r="K188" s="105"/>
    </row>
    <row r="189" spans="1:11" ht="12.75" customHeight="1">
      <c r="A189" s="12"/>
      <c r="B189" s="11"/>
      <c r="C189" s="12"/>
      <c r="D189" s="12"/>
      <c r="F189" s="210"/>
      <c r="G189" s="15"/>
      <c r="H189" s="194"/>
      <c r="I189" s="105"/>
      <c r="J189" s="111"/>
      <c r="K189" s="105"/>
    </row>
    <row r="190" spans="1:11" ht="12.75" customHeight="1">
      <c r="A190" s="52"/>
      <c r="B190" s="16" t="s">
        <v>29</v>
      </c>
      <c r="C190" s="37"/>
      <c r="D190" s="37"/>
      <c r="E190" s="59"/>
      <c r="F190" s="15" t="s">
        <v>0</v>
      </c>
      <c r="G190" s="166">
        <f>G18+G88</f>
        <v>-83368.85250144918</v>
      </c>
      <c r="H190" s="140"/>
      <c r="I190" s="209">
        <f>I18+I88</f>
        <v>-515945.0300000012</v>
      </c>
      <c r="J190" s="105" t="s">
        <v>0</v>
      </c>
      <c r="K190" s="101">
        <v>-1058618180</v>
      </c>
    </row>
    <row r="191" spans="1:11" ht="12.75" customHeight="1">
      <c r="A191" s="12"/>
      <c r="B191" s="19" t="s">
        <v>30</v>
      </c>
      <c r="C191" s="12"/>
      <c r="D191" s="12"/>
      <c r="E191" s="13"/>
      <c r="F191" s="15" t="s">
        <v>0</v>
      </c>
      <c r="G191" s="15"/>
      <c r="H191" s="105">
        <v>0</v>
      </c>
      <c r="I191" s="105" t="s">
        <v>0</v>
      </c>
      <c r="J191" s="105">
        <v>0</v>
      </c>
      <c r="K191" s="105" t="s">
        <v>0</v>
      </c>
    </row>
    <row r="192" spans="1:11" ht="12.75" customHeight="1">
      <c r="A192" s="12"/>
      <c r="B192" s="11"/>
      <c r="C192" s="12"/>
      <c r="D192" s="12"/>
      <c r="E192" s="13"/>
      <c r="F192" s="15" t="s">
        <v>0</v>
      </c>
      <c r="G192" s="15"/>
      <c r="H192" s="105"/>
      <c r="I192" s="105"/>
      <c r="J192" s="105"/>
      <c r="K192" s="105"/>
    </row>
    <row r="193" spans="1:13" s="3" customFormat="1" ht="12.75" customHeight="1">
      <c r="A193" s="17"/>
      <c r="B193" s="16" t="s">
        <v>31</v>
      </c>
      <c r="C193" s="17"/>
      <c r="D193" s="17"/>
      <c r="E193" s="58"/>
      <c r="F193" s="18" t="s">
        <v>0</v>
      </c>
      <c r="G193" s="166">
        <f>F195+F200+F222</f>
        <v>201368.85</v>
      </c>
      <c r="H193" s="112"/>
      <c r="I193" s="209">
        <f>H195+H200-H222</f>
        <v>6305.0599999999995</v>
      </c>
      <c r="J193" s="112">
        <v>0</v>
      </c>
      <c r="K193" s="113">
        <v>47865644</v>
      </c>
      <c r="M193" s="92"/>
    </row>
    <row r="194" spans="1:13" s="3" customFormat="1" ht="12.75" customHeight="1">
      <c r="A194" s="17"/>
      <c r="B194" s="16"/>
      <c r="C194" s="17"/>
      <c r="D194" s="17"/>
      <c r="E194" s="58"/>
      <c r="F194" s="183"/>
      <c r="G194" s="166"/>
      <c r="H194" s="184"/>
      <c r="I194" s="140"/>
      <c r="J194" s="184"/>
      <c r="K194" s="113"/>
      <c r="M194" s="92"/>
    </row>
    <row r="195" spans="1:11" ht="12.75" customHeight="1">
      <c r="A195" s="12"/>
      <c r="B195" s="11"/>
      <c r="C195" s="12" t="s">
        <v>32</v>
      </c>
      <c r="D195" s="12"/>
      <c r="E195" s="60"/>
      <c r="F195" s="226">
        <f>SUM(F196:F198)</f>
        <v>250000</v>
      </c>
      <c r="G195" s="15" t="s">
        <v>0</v>
      </c>
      <c r="H195" s="120">
        <f>SUM(H196:H198)</f>
        <v>0</v>
      </c>
      <c r="I195" s="105"/>
      <c r="J195" s="120">
        <f>SUM(J196:J198)</f>
        <v>0</v>
      </c>
      <c r="K195" s="105"/>
    </row>
    <row r="196" spans="1:11" ht="12.75" customHeight="1">
      <c r="A196" s="12"/>
      <c r="B196" s="11"/>
      <c r="E196" s="13" t="s">
        <v>33</v>
      </c>
      <c r="F196" s="210">
        <v>250000</v>
      </c>
      <c r="G196" s="15"/>
      <c r="H196" s="138">
        <v>0</v>
      </c>
      <c r="I196" s="105" t="s">
        <v>0</v>
      </c>
      <c r="J196" s="117">
        <v>0</v>
      </c>
      <c r="K196" s="105" t="s">
        <v>0</v>
      </c>
    </row>
    <row r="197" spans="1:11" ht="12.75" customHeight="1">
      <c r="A197" s="12"/>
      <c r="B197" s="11"/>
      <c r="E197" s="13" t="s">
        <v>34</v>
      </c>
      <c r="F197" s="152">
        <v>0</v>
      </c>
      <c r="G197" s="15"/>
      <c r="H197" s="138">
        <v>0</v>
      </c>
      <c r="I197" s="105"/>
      <c r="J197" s="117">
        <v>0</v>
      </c>
      <c r="K197" s="105"/>
    </row>
    <row r="198" spans="1:11" ht="12.75" customHeight="1">
      <c r="A198" s="12"/>
      <c r="B198" s="11"/>
      <c r="E198" s="13" t="s">
        <v>35</v>
      </c>
      <c r="F198" s="152">
        <v>0</v>
      </c>
      <c r="G198" s="15"/>
      <c r="H198" s="138">
        <v>0</v>
      </c>
      <c r="I198" s="105"/>
      <c r="J198" s="118">
        <v>0</v>
      </c>
      <c r="K198" s="105"/>
    </row>
    <row r="199" spans="1:11" ht="12.75" customHeight="1">
      <c r="A199" s="12"/>
      <c r="B199" s="11"/>
      <c r="E199" s="13"/>
      <c r="F199" s="175"/>
      <c r="G199" s="15"/>
      <c r="H199" s="138"/>
      <c r="I199" s="105"/>
      <c r="J199" s="117"/>
      <c r="K199" s="105"/>
    </row>
    <row r="200" spans="1:11" ht="12.75" customHeight="1">
      <c r="A200" s="12"/>
      <c r="B200" s="11"/>
      <c r="C200" s="12" t="s">
        <v>36</v>
      </c>
      <c r="D200" s="12"/>
      <c r="E200" s="60"/>
      <c r="F200" s="168">
        <f>SUM(F202+F207+F209+F212+F216)</f>
        <v>9880.84</v>
      </c>
      <c r="G200" s="15" t="s">
        <v>0</v>
      </c>
      <c r="H200" s="164">
        <f>SUM(H202+H207+H209+H212+H216)</f>
        <v>12731.09</v>
      </c>
      <c r="I200" s="105"/>
      <c r="J200" s="116">
        <v>47891039</v>
      </c>
      <c r="K200" s="105"/>
    </row>
    <row r="201" spans="1:11" ht="12.75" customHeight="1">
      <c r="A201" s="12"/>
      <c r="B201" s="11"/>
      <c r="C201" s="12"/>
      <c r="D201" s="12"/>
      <c r="E201" s="60"/>
      <c r="F201" s="178"/>
      <c r="G201" s="15"/>
      <c r="H201" s="179"/>
      <c r="I201" s="105"/>
      <c r="J201" s="180"/>
      <c r="K201" s="105"/>
    </row>
    <row r="202" spans="1:11" ht="12.75" customHeight="1">
      <c r="A202" s="12"/>
      <c r="B202" s="11"/>
      <c r="D202" s="23" t="s">
        <v>37</v>
      </c>
      <c r="E202" s="61"/>
      <c r="F202" s="155">
        <f>SUM(F203:F205)</f>
        <v>0</v>
      </c>
      <c r="G202" s="15"/>
      <c r="H202" s="160">
        <v>0</v>
      </c>
      <c r="I202" s="105"/>
      <c r="J202" s="121">
        <v>0</v>
      </c>
      <c r="K202" s="105"/>
    </row>
    <row r="203" spans="1:11" ht="12.75" customHeight="1">
      <c r="A203" s="12"/>
      <c r="B203" s="11"/>
      <c r="D203" s="23"/>
      <c r="E203" s="13" t="s">
        <v>33</v>
      </c>
      <c r="F203" s="152">
        <v>0</v>
      </c>
      <c r="G203" s="15"/>
      <c r="H203" s="160">
        <v>0</v>
      </c>
      <c r="I203" s="105"/>
      <c r="J203" s="117" t="s">
        <v>0</v>
      </c>
      <c r="K203" s="105"/>
    </row>
    <row r="204" spans="1:11" ht="12.75" customHeight="1">
      <c r="A204" s="12"/>
      <c r="B204" s="11"/>
      <c r="D204" s="20"/>
      <c r="E204" s="13" t="s">
        <v>34</v>
      </c>
      <c r="F204" s="152">
        <v>0</v>
      </c>
      <c r="G204" s="15"/>
      <c r="H204" s="160">
        <v>0</v>
      </c>
      <c r="I204" s="105"/>
      <c r="J204" s="117"/>
      <c r="K204" s="105"/>
    </row>
    <row r="205" spans="1:11" ht="12.75" customHeight="1">
      <c r="A205" s="12"/>
      <c r="B205" s="11"/>
      <c r="D205" s="20"/>
      <c r="E205" s="13" t="s">
        <v>35</v>
      </c>
      <c r="F205" s="152">
        <v>0</v>
      </c>
      <c r="G205" s="15"/>
      <c r="H205" s="160">
        <v>0</v>
      </c>
      <c r="I205" s="105"/>
      <c r="J205" s="118" t="s">
        <v>0</v>
      </c>
      <c r="K205" s="105"/>
    </row>
    <row r="206" spans="1:11" ht="12.75" customHeight="1">
      <c r="A206" s="12"/>
      <c r="B206" s="11"/>
      <c r="D206" s="23" t="s">
        <v>38</v>
      </c>
      <c r="E206" s="61"/>
      <c r="F206" s="55" t="s">
        <v>0</v>
      </c>
      <c r="G206" s="15"/>
      <c r="H206" s="120"/>
      <c r="I206" s="105"/>
      <c r="J206" s="120"/>
      <c r="K206" s="105"/>
    </row>
    <row r="207" spans="1:11" ht="12.75" customHeight="1">
      <c r="A207" s="12"/>
      <c r="B207" s="11"/>
      <c r="D207" s="20"/>
      <c r="E207" s="62" t="s">
        <v>39</v>
      </c>
      <c r="F207" s="161">
        <v>0</v>
      </c>
      <c r="G207" s="15"/>
      <c r="H207" s="162">
        <v>0</v>
      </c>
      <c r="I207" s="105"/>
      <c r="J207" s="122" t="s">
        <v>0</v>
      </c>
      <c r="K207" s="105"/>
    </row>
    <row r="208" spans="1:11" ht="12.75" customHeight="1">
      <c r="A208" s="12"/>
      <c r="B208" s="11"/>
      <c r="D208" s="23" t="s">
        <v>40</v>
      </c>
      <c r="E208" s="61"/>
      <c r="F208" s="55" t="s">
        <v>0</v>
      </c>
      <c r="G208" s="15"/>
      <c r="H208" s="120" t="s">
        <v>0</v>
      </c>
      <c r="I208" s="105"/>
      <c r="J208" s="120" t="s">
        <v>0</v>
      </c>
      <c r="K208" s="105"/>
    </row>
    <row r="209" spans="1:11" ht="12.75" customHeight="1">
      <c r="A209" s="12"/>
      <c r="B209" s="11"/>
      <c r="D209" s="23"/>
      <c r="E209" s="61" t="s">
        <v>41</v>
      </c>
      <c r="F209" s="161">
        <v>0</v>
      </c>
      <c r="G209" s="15"/>
      <c r="H209" s="162">
        <v>0</v>
      </c>
      <c r="I209" s="105"/>
      <c r="J209" s="122"/>
      <c r="K209" s="105"/>
    </row>
    <row r="210" spans="1:11" ht="12.75" customHeight="1">
      <c r="A210" s="12"/>
      <c r="B210" s="11"/>
      <c r="D210" s="23" t="s">
        <v>42</v>
      </c>
      <c r="E210" s="61"/>
      <c r="F210" s="55" t="s">
        <v>0</v>
      </c>
      <c r="G210" s="15"/>
      <c r="H210" s="120"/>
      <c r="I210" s="105"/>
      <c r="J210" s="120"/>
      <c r="K210" s="105"/>
    </row>
    <row r="211" spans="1:11" ht="12.75" customHeight="1">
      <c r="A211" s="12"/>
      <c r="B211" s="11"/>
      <c r="D211" s="20"/>
      <c r="E211" s="62" t="s">
        <v>43</v>
      </c>
      <c r="F211" s="57" t="s">
        <v>0</v>
      </c>
      <c r="G211" s="15"/>
      <c r="H211" s="121"/>
      <c r="I211" s="105"/>
      <c r="J211" s="121"/>
      <c r="K211" s="105"/>
    </row>
    <row r="212" spans="1:11" ht="12.75" customHeight="1">
      <c r="A212" s="12"/>
      <c r="B212" s="11"/>
      <c r="D212" s="20"/>
      <c r="E212" s="61" t="s">
        <v>44</v>
      </c>
      <c r="F212" s="156">
        <v>0</v>
      </c>
      <c r="G212" s="15"/>
      <c r="H212" s="144">
        <v>0</v>
      </c>
      <c r="I212" s="105"/>
      <c r="J212" s="123"/>
      <c r="K212" s="105"/>
    </row>
    <row r="213" spans="1:11" ht="12.75" customHeight="1">
      <c r="A213" s="12"/>
      <c r="B213" s="11"/>
      <c r="D213" s="20"/>
      <c r="E213" s="13" t="s">
        <v>33</v>
      </c>
      <c r="F213" s="156">
        <v>0</v>
      </c>
      <c r="G213" s="15"/>
      <c r="H213" s="144">
        <v>0</v>
      </c>
      <c r="I213" s="105"/>
      <c r="J213" s="123"/>
      <c r="K213" s="105"/>
    </row>
    <row r="214" spans="1:11" ht="12.75" customHeight="1">
      <c r="A214" s="12"/>
      <c r="B214" s="11"/>
      <c r="D214" s="20"/>
      <c r="E214" s="13" t="s">
        <v>34</v>
      </c>
      <c r="F214" s="156">
        <v>0</v>
      </c>
      <c r="G214" s="15"/>
      <c r="H214" s="144">
        <v>0</v>
      </c>
      <c r="I214" s="105"/>
      <c r="J214" s="123"/>
      <c r="K214" s="105"/>
    </row>
    <row r="215" spans="1:11" ht="12.75" customHeight="1">
      <c r="A215" s="12"/>
      <c r="B215" s="11"/>
      <c r="D215" s="20"/>
      <c r="E215" s="13" t="s">
        <v>77</v>
      </c>
      <c r="F215" s="156">
        <v>0</v>
      </c>
      <c r="G215" s="15"/>
      <c r="H215" s="144">
        <v>0</v>
      </c>
      <c r="I215" s="105"/>
      <c r="J215" s="123"/>
      <c r="K215" s="105"/>
    </row>
    <row r="216" spans="1:11" ht="12.75" customHeight="1">
      <c r="A216" s="12"/>
      <c r="B216" s="11"/>
      <c r="D216" s="20"/>
      <c r="E216" s="13" t="s">
        <v>35</v>
      </c>
      <c r="F216" s="216">
        <f>SUM(F217:F219)</f>
        <v>9880.84</v>
      </c>
      <c r="G216" s="68"/>
      <c r="H216" s="202">
        <f>SUM(H217:H219)</f>
        <v>12731.09</v>
      </c>
      <c r="I216" s="105"/>
      <c r="J216" s="123">
        <f>SUM(J217:J219)</f>
        <v>47891039</v>
      </c>
      <c r="K216" s="105"/>
    </row>
    <row r="217" spans="1:11" ht="12.75" customHeight="1">
      <c r="A217" s="12"/>
      <c r="B217" s="11"/>
      <c r="D217" s="20"/>
      <c r="E217" s="67" t="s">
        <v>45</v>
      </c>
      <c r="F217" s="215">
        <v>9880.84</v>
      </c>
      <c r="G217" s="36"/>
      <c r="H217" s="203">
        <v>12731.09</v>
      </c>
      <c r="I217" s="111"/>
      <c r="J217" s="124">
        <v>47891039</v>
      </c>
      <c r="K217" s="111"/>
    </row>
    <row r="218" spans="1:11" ht="12.75" customHeight="1">
      <c r="A218" s="12"/>
      <c r="B218" s="11"/>
      <c r="D218" s="20"/>
      <c r="E218" s="67" t="s">
        <v>46</v>
      </c>
      <c r="F218" s="157">
        <v>0</v>
      </c>
      <c r="G218" s="36"/>
      <c r="H218" s="138">
        <v>0</v>
      </c>
      <c r="I218" s="111"/>
      <c r="J218" s="124">
        <v>0</v>
      </c>
      <c r="K218" s="111"/>
    </row>
    <row r="219" spans="1:11" ht="12.75" customHeight="1">
      <c r="A219" s="12"/>
      <c r="B219" s="11"/>
      <c r="D219" s="20"/>
      <c r="E219" s="67" t="s">
        <v>47</v>
      </c>
      <c r="F219" s="157">
        <v>0</v>
      </c>
      <c r="G219" s="36"/>
      <c r="H219" s="138">
        <v>0</v>
      </c>
      <c r="I219" s="111" t="s">
        <v>0</v>
      </c>
      <c r="J219" s="125">
        <v>0</v>
      </c>
      <c r="K219" s="111" t="s">
        <v>0</v>
      </c>
    </row>
    <row r="220" spans="1:11" ht="12.75" customHeight="1">
      <c r="A220" s="12"/>
      <c r="B220" s="11"/>
      <c r="C220" s="12" t="s">
        <v>48</v>
      </c>
      <c r="D220" s="12"/>
      <c r="E220" s="13"/>
      <c r="F220" s="15" t="s">
        <v>0</v>
      </c>
      <c r="G220" s="15"/>
      <c r="H220" s="105"/>
      <c r="I220" s="105"/>
      <c r="J220" s="105">
        <v>0</v>
      </c>
      <c r="K220" s="105"/>
    </row>
    <row r="221" spans="1:11" ht="12.75" customHeight="1">
      <c r="A221" s="12"/>
      <c r="B221" s="11"/>
      <c r="C221" s="12"/>
      <c r="D221" s="12"/>
      <c r="E221" s="13" t="s">
        <v>49</v>
      </c>
      <c r="F221" s="15" t="s">
        <v>0</v>
      </c>
      <c r="G221" s="15"/>
      <c r="H221" s="105"/>
      <c r="I221" s="105"/>
      <c r="J221" s="105">
        <v>0</v>
      </c>
      <c r="K221" s="105"/>
    </row>
    <row r="222" spans="1:11" ht="12.75" customHeight="1">
      <c r="A222" s="12"/>
      <c r="B222" s="11"/>
      <c r="C222" s="12"/>
      <c r="D222" s="12"/>
      <c r="E222" s="13" t="s">
        <v>78</v>
      </c>
      <c r="F222" s="148">
        <f>F223+F224+F225+F226</f>
        <v>-58511.99</v>
      </c>
      <c r="G222" s="15" t="s">
        <v>0</v>
      </c>
      <c r="H222" s="140">
        <f>SUM(H223:H226)</f>
        <v>6426.030000000001</v>
      </c>
      <c r="I222" s="105"/>
      <c r="J222" s="110">
        <v>25395</v>
      </c>
      <c r="K222" s="105"/>
    </row>
    <row r="223" spans="1:11" ht="12.75" customHeight="1">
      <c r="A223" s="12"/>
      <c r="B223" s="11"/>
      <c r="C223" s="12"/>
      <c r="D223" s="12"/>
      <c r="E223" s="13" t="s">
        <v>33</v>
      </c>
      <c r="F223" s="156">
        <v>0</v>
      </c>
      <c r="G223" s="15"/>
      <c r="H223" s="138">
        <f>J223/1936.27</f>
        <v>0</v>
      </c>
      <c r="I223" s="105"/>
      <c r="J223" s="123">
        <v>0</v>
      </c>
      <c r="K223" s="105"/>
    </row>
    <row r="224" spans="1:11" ht="12.75" customHeight="1">
      <c r="A224" s="12"/>
      <c r="B224" s="11"/>
      <c r="C224" s="12"/>
      <c r="D224" s="12"/>
      <c r="E224" s="13" t="s">
        <v>34</v>
      </c>
      <c r="F224" s="156">
        <v>0</v>
      </c>
      <c r="G224" s="15"/>
      <c r="H224" s="138">
        <f>J224/1936.27</f>
        <v>0</v>
      </c>
      <c r="I224" s="105"/>
      <c r="J224" s="123">
        <v>0</v>
      </c>
      <c r="K224" s="105"/>
    </row>
    <row r="225" spans="1:11" ht="12.75" customHeight="1">
      <c r="A225" s="12"/>
      <c r="B225" s="11"/>
      <c r="C225" s="12"/>
      <c r="D225" s="12"/>
      <c r="E225" s="13" t="s">
        <v>77</v>
      </c>
      <c r="F225" s="156">
        <v>0</v>
      </c>
      <c r="G225" s="15"/>
      <c r="H225" s="138">
        <f>J225/1936.27</f>
        <v>0</v>
      </c>
      <c r="I225" s="105"/>
      <c r="J225" s="123">
        <v>0</v>
      </c>
      <c r="K225" s="105"/>
    </row>
    <row r="226" spans="1:11" ht="12.75" customHeight="1">
      <c r="A226" s="12"/>
      <c r="B226" s="11"/>
      <c r="C226" s="12"/>
      <c r="D226" s="12"/>
      <c r="E226" s="13" t="s">
        <v>35</v>
      </c>
      <c r="F226" s="216">
        <f>SUM(F227:F229)</f>
        <v>-58511.99</v>
      </c>
      <c r="G226" s="15"/>
      <c r="H226" s="144">
        <f>SUM(H227:H229)</f>
        <v>6426.030000000001</v>
      </c>
      <c r="I226" s="105"/>
      <c r="J226" s="123">
        <f>SUM(J227:J229)</f>
        <v>25395</v>
      </c>
      <c r="K226" s="105"/>
    </row>
    <row r="227" spans="1:11" ht="12.75" customHeight="1">
      <c r="A227" s="12"/>
      <c r="B227" s="11"/>
      <c r="C227" s="12"/>
      <c r="D227" s="12"/>
      <c r="E227" s="67" t="s">
        <v>50</v>
      </c>
      <c r="F227" s="217">
        <f>-22821.75-35690.24</f>
        <v>-58511.99</v>
      </c>
      <c r="G227" s="36"/>
      <c r="H227" s="138">
        <f>J227/1936.27</f>
        <v>0</v>
      </c>
      <c r="I227" s="111"/>
      <c r="J227" s="126">
        <v>0</v>
      </c>
      <c r="K227" s="111"/>
    </row>
    <row r="228" spans="1:11" ht="12.75" customHeight="1">
      <c r="A228" s="12"/>
      <c r="B228" s="11"/>
      <c r="C228" s="12"/>
      <c r="D228" s="12"/>
      <c r="E228" s="67" t="s">
        <v>51</v>
      </c>
      <c r="F228" s="158">
        <v>0</v>
      </c>
      <c r="G228" s="36"/>
      <c r="H228" s="204">
        <v>1020.44</v>
      </c>
      <c r="I228" s="111"/>
      <c r="J228" s="126">
        <v>0</v>
      </c>
      <c r="K228" s="111">
        <v>0</v>
      </c>
    </row>
    <row r="229" spans="1:11" ht="12.75" customHeight="1" thickBot="1">
      <c r="A229" s="12"/>
      <c r="B229" s="11"/>
      <c r="C229" s="12"/>
      <c r="D229" s="12"/>
      <c r="E229" s="67" t="s">
        <v>52</v>
      </c>
      <c r="F229" s="158">
        <v>0</v>
      </c>
      <c r="G229" s="36"/>
      <c r="H229" s="205">
        <v>5405.59</v>
      </c>
      <c r="I229" s="111"/>
      <c r="J229" s="127">
        <v>25395</v>
      </c>
      <c r="K229" s="111"/>
    </row>
    <row r="230" spans="1:11" ht="12.75" customHeight="1" thickTop="1">
      <c r="A230" s="12"/>
      <c r="B230" s="11"/>
      <c r="C230" s="12"/>
      <c r="D230" s="12"/>
      <c r="E230" s="13"/>
      <c r="F230" s="38" t="s">
        <v>0</v>
      </c>
      <c r="G230" s="15"/>
      <c r="H230" s="128"/>
      <c r="I230" s="105"/>
      <c r="J230" s="128"/>
      <c r="K230" s="105"/>
    </row>
    <row r="231" spans="1:13" s="3" customFormat="1" ht="12.75" customHeight="1">
      <c r="A231" s="24"/>
      <c r="B231" s="25" t="s">
        <v>53</v>
      </c>
      <c r="C231" s="24"/>
      <c r="D231" s="24"/>
      <c r="E231" s="58"/>
      <c r="F231" s="18" t="s">
        <v>0</v>
      </c>
      <c r="G231" s="150">
        <f>F232+F238</f>
        <v>0</v>
      </c>
      <c r="H231" s="112" t="s">
        <v>0</v>
      </c>
      <c r="I231" s="209">
        <f>H232+H238</f>
        <v>0</v>
      </c>
      <c r="J231" s="112" t="s">
        <v>0</v>
      </c>
      <c r="K231" s="113"/>
      <c r="M231" s="92"/>
    </row>
    <row r="232" spans="2:11" ht="12.75" customHeight="1">
      <c r="B232" s="39"/>
      <c r="C232" s="9" t="s">
        <v>54</v>
      </c>
      <c r="E232" s="60"/>
      <c r="F232" s="153">
        <f>F233+F235+F237</f>
        <v>0</v>
      </c>
      <c r="G232" s="15"/>
      <c r="H232" s="141">
        <f>H233+H235+H237</f>
        <v>0</v>
      </c>
      <c r="I232" s="105"/>
      <c r="J232" s="116"/>
      <c r="K232" s="105"/>
    </row>
    <row r="233" spans="2:11" ht="12.75" customHeight="1">
      <c r="B233" s="39"/>
      <c r="D233" s="20" t="s">
        <v>55</v>
      </c>
      <c r="E233" s="61"/>
      <c r="F233" s="56"/>
      <c r="G233" s="15"/>
      <c r="H233" s="103"/>
      <c r="I233" s="105"/>
      <c r="J233" s="117">
        <v>0</v>
      </c>
      <c r="K233" s="105"/>
    </row>
    <row r="234" spans="2:11" ht="12.75" customHeight="1">
      <c r="B234" s="39"/>
      <c r="D234" s="20" t="s">
        <v>56</v>
      </c>
      <c r="E234" s="61"/>
      <c r="F234" s="56" t="s">
        <v>0</v>
      </c>
      <c r="G234" s="15"/>
      <c r="H234" s="117"/>
      <c r="I234" s="105"/>
      <c r="J234" s="117"/>
      <c r="K234" s="105"/>
    </row>
    <row r="235" spans="2:11" ht="12.75" customHeight="1">
      <c r="B235" s="39"/>
      <c r="D235" s="20" t="s">
        <v>0</v>
      </c>
      <c r="E235" s="61" t="s">
        <v>57</v>
      </c>
      <c r="F235" s="56"/>
      <c r="G235" s="15"/>
      <c r="H235" s="103"/>
      <c r="I235" s="105"/>
      <c r="J235" s="117">
        <v>0</v>
      </c>
      <c r="K235" s="105"/>
    </row>
    <row r="236" spans="2:11" ht="12.75" customHeight="1">
      <c r="B236" s="39"/>
      <c r="D236" s="20" t="s">
        <v>58</v>
      </c>
      <c r="E236" s="61"/>
      <c r="F236" s="56" t="s">
        <v>0</v>
      </c>
      <c r="G236" s="15"/>
      <c r="H236" s="117"/>
      <c r="I236" s="105"/>
      <c r="J236" s="117"/>
      <c r="K236" s="105"/>
    </row>
    <row r="237" spans="2:11" ht="12.75" customHeight="1">
      <c r="B237" s="39"/>
      <c r="D237" s="20"/>
      <c r="E237" s="61" t="s">
        <v>41</v>
      </c>
      <c r="F237" s="64"/>
      <c r="G237" s="15"/>
      <c r="H237" s="103"/>
      <c r="I237" s="105"/>
      <c r="J237" s="118">
        <v>0</v>
      </c>
      <c r="K237" s="105"/>
    </row>
    <row r="238" spans="2:11" ht="12.75" customHeight="1">
      <c r="B238" s="39"/>
      <c r="C238" s="9" t="s">
        <v>59</v>
      </c>
      <c r="E238" s="60"/>
      <c r="F238" s="149">
        <f>F239+F241+F243</f>
        <v>0</v>
      </c>
      <c r="G238" s="15"/>
      <c r="H238" s="145">
        <v>0</v>
      </c>
      <c r="I238" s="105"/>
      <c r="J238" s="110"/>
      <c r="K238" s="105"/>
    </row>
    <row r="239" spans="2:11" ht="12.75" customHeight="1">
      <c r="B239" s="39"/>
      <c r="D239" s="20" t="s">
        <v>55</v>
      </c>
      <c r="E239" s="61"/>
      <c r="F239" s="36"/>
      <c r="G239" s="15"/>
      <c r="H239" s="103"/>
      <c r="I239" s="105"/>
      <c r="J239" s="111">
        <v>0</v>
      </c>
      <c r="K239" s="105"/>
    </row>
    <row r="240" spans="2:11" ht="12.75" customHeight="1">
      <c r="B240" s="39"/>
      <c r="D240" s="20" t="s">
        <v>60</v>
      </c>
      <c r="E240" s="61"/>
      <c r="F240" s="36" t="s">
        <v>0</v>
      </c>
      <c r="G240" s="15"/>
      <c r="H240" s="103"/>
      <c r="I240" s="105"/>
      <c r="J240" s="111"/>
      <c r="K240" s="105"/>
    </row>
    <row r="241" spans="2:11" ht="12.75" customHeight="1">
      <c r="B241" s="39"/>
      <c r="D241" s="20" t="s">
        <v>0</v>
      </c>
      <c r="E241" s="61" t="s">
        <v>57</v>
      </c>
      <c r="F241" s="36"/>
      <c r="G241" s="15"/>
      <c r="H241" s="111" t="s">
        <v>0</v>
      </c>
      <c r="I241" s="105"/>
      <c r="J241" s="111" t="s">
        <v>0</v>
      </c>
      <c r="K241" s="105"/>
    </row>
    <row r="242" spans="2:11" ht="12.75" customHeight="1">
      <c r="B242" s="39"/>
      <c r="D242" s="20" t="s">
        <v>58</v>
      </c>
      <c r="E242" s="61"/>
      <c r="F242" s="36" t="s">
        <v>0</v>
      </c>
      <c r="G242" s="15"/>
      <c r="H242" s="111" t="s">
        <v>0</v>
      </c>
      <c r="I242" s="105"/>
      <c r="J242" s="111" t="s">
        <v>0</v>
      </c>
      <c r="K242" s="105"/>
    </row>
    <row r="243" spans="2:11" ht="12.75" customHeight="1" thickBot="1">
      <c r="B243" s="39"/>
      <c r="D243" s="20"/>
      <c r="E243" s="61" t="s">
        <v>41</v>
      </c>
      <c r="F243" s="44"/>
      <c r="G243" s="15"/>
      <c r="H243" s="103"/>
      <c r="I243" s="105"/>
      <c r="J243" s="129">
        <v>0</v>
      </c>
      <c r="K243" s="105"/>
    </row>
    <row r="244" spans="2:11" ht="12.75" customHeight="1" thickTop="1">
      <c r="B244" s="39"/>
      <c r="E244" s="60"/>
      <c r="F244" s="15" t="s">
        <v>0</v>
      </c>
      <c r="G244" s="15"/>
      <c r="H244" s="105" t="s">
        <v>0</v>
      </c>
      <c r="I244" s="105"/>
      <c r="J244" s="105" t="s">
        <v>0</v>
      </c>
      <c r="K244" s="105"/>
    </row>
    <row r="245" spans="1:13" s="3" customFormat="1" ht="12.75" customHeight="1">
      <c r="A245" s="24"/>
      <c r="B245" s="25" t="s">
        <v>61</v>
      </c>
      <c r="C245" s="24"/>
      <c r="D245" s="24"/>
      <c r="E245" s="58"/>
      <c r="F245" s="18" t="s">
        <v>0</v>
      </c>
      <c r="G245" s="166">
        <f>F248-F255</f>
        <v>0</v>
      </c>
      <c r="H245" s="193"/>
      <c r="I245" s="209">
        <f>H248-H255</f>
        <v>819359.23</v>
      </c>
      <c r="J245" s="112">
        <v>0</v>
      </c>
      <c r="K245" s="113">
        <v>-172630294</v>
      </c>
      <c r="M245" s="92"/>
    </row>
    <row r="246" spans="2:11" ht="12.75" customHeight="1">
      <c r="B246" s="39"/>
      <c r="C246" s="9" t="s">
        <v>62</v>
      </c>
      <c r="E246" s="60"/>
      <c r="F246" s="55" t="s">
        <v>0</v>
      </c>
      <c r="G246" s="15"/>
      <c r="H246" s="120">
        <v>0</v>
      </c>
      <c r="I246" s="105"/>
      <c r="J246" s="120">
        <v>0</v>
      </c>
      <c r="K246" s="105"/>
    </row>
    <row r="247" spans="2:11" ht="12.75" customHeight="1">
      <c r="B247" s="39"/>
      <c r="E247" s="60" t="s">
        <v>63</v>
      </c>
      <c r="F247" s="57" t="s">
        <v>0</v>
      </c>
      <c r="G247" s="15"/>
      <c r="H247" s="121">
        <v>0</v>
      </c>
      <c r="I247" s="105"/>
      <c r="J247" s="121">
        <v>0</v>
      </c>
      <c r="K247" s="105"/>
    </row>
    <row r="248" spans="2:11" ht="12.75" customHeight="1">
      <c r="B248" s="39"/>
      <c r="E248" s="60" t="s">
        <v>64</v>
      </c>
      <c r="F248" s="165">
        <f>SUM(F249:F251)</f>
        <v>0</v>
      </c>
      <c r="G248" s="15"/>
      <c r="H248" s="163">
        <f>SUM(H249:H251)</f>
        <v>928668</v>
      </c>
      <c r="I248" s="105"/>
      <c r="J248" s="105">
        <v>48258840</v>
      </c>
      <c r="K248" s="105"/>
    </row>
    <row r="249" spans="2:11" ht="12.75" customHeight="1">
      <c r="B249" s="39"/>
      <c r="E249" s="60" t="s">
        <v>79</v>
      </c>
      <c r="F249" s="159">
        <v>0</v>
      </c>
      <c r="G249" s="15"/>
      <c r="H249" s="194">
        <v>914673.26</v>
      </c>
      <c r="I249" s="105"/>
      <c r="J249" s="98">
        <v>0</v>
      </c>
      <c r="K249" s="105"/>
    </row>
    <row r="250" spans="2:11" ht="12.75" customHeight="1">
      <c r="B250" s="39"/>
      <c r="E250" s="60" t="s">
        <v>80</v>
      </c>
      <c r="F250" s="159">
        <v>0</v>
      </c>
      <c r="G250" s="14"/>
      <c r="H250" s="194">
        <v>13994.74</v>
      </c>
      <c r="I250" s="130"/>
      <c r="J250" s="111">
        <v>48258840</v>
      </c>
      <c r="K250" s="130"/>
    </row>
    <row r="251" spans="2:11" ht="12.75" customHeight="1" thickBot="1">
      <c r="B251" s="39"/>
      <c r="E251" s="60" t="s">
        <v>105</v>
      </c>
      <c r="F251" s="159">
        <v>0</v>
      </c>
      <c r="G251" s="15"/>
      <c r="H251" s="190">
        <v>0</v>
      </c>
      <c r="I251" s="105"/>
      <c r="J251" s="129">
        <v>0</v>
      </c>
      <c r="K251" s="105"/>
    </row>
    <row r="252" spans="2:11" ht="12.75" customHeight="1" thickTop="1">
      <c r="B252" s="39"/>
      <c r="C252" s="9" t="s">
        <v>65</v>
      </c>
      <c r="E252" s="60"/>
      <c r="F252" s="15" t="s">
        <v>0</v>
      </c>
      <c r="G252" s="15"/>
      <c r="H252" s="139">
        <v>0</v>
      </c>
      <c r="I252" s="105"/>
      <c r="J252" s="105">
        <v>0</v>
      </c>
      <c r="K252" s="105"/>
    </row>
    <row r="253" spans="2:11" ht="12.75" customHeight="1">
      <c r="B253" s="39"/>
      <c r="E253" s="60" t="s">
        <v>66</v>
      </c>
      <c r="F253" s="15" t="s">
        <v>0</v>
      </c>
      <c r="G253" s="15"/>
      <c r="H253" s="139">
        <v>0</v>
      </c>
      <c r="I253" s="105"/>
      <c r="J253" s="105">
        <v>0</v>
      </c>
      <c r="K253" s="105"/>
    </row>
    <row r="254" spans="2:11" ht="12.75" customHeight="1">
      <c r="B254" s="39"/>
      <c r="E254" s="60" t="s">
        <v>67</v>
      </c>
      <c r="F254" s="15" t="s">
        <v>0</v>
      </c>
      <c r="G254" s="15"/>
      <c r="H254" s="139">
        <v>0</v>
      </c>
      <c r="I254" s="105"/>
      <c r="J254" s="105">
        <v>0</v>
      </c>
      <c r="K254" s="105"/>
    </row>
    <row r="255" spans="2:11" ht="12.75" customHeight="1">
      <c r="B255" s="39"/>
      <c r="E255" s="60" t="s">
        <v>68</v>
      </c>
      <c r="F255" s="151">
        <f>SUM(F256:F257)</f>
        <v>0</v>
      </c>
      <c r="G255" s="21"/>
      <c r="H255" s="163">
        <f>SUM(H256:H257)</f>
        <v>109308.77</v>
      </c>
      <c r="I255" s="131"/>
      <c r="J255" s="105">
        <v>220889134</v>
      </c>
      <c r="K255" s="131"/>
    </row>
    <row r="256" spans="2:11" ht="12.75" customHeight="1">
      <c r="B256" s="39"/>
      <c r="E256" s="60" t="s">
        <v>81</v>
      </c>
      <c r="F256" s="159">
        <v>0</v>
      </c>
      <c r="G256" s="15"/>
      <c r="H256" s="138">
        <v>0</v>
      </c>
      <c r="I256" s="105"/>
      <c r="J256" s="111">
        <v>0</v>
      </c>
      <c r="K256" s="105"/>
    </row>
    <row r="257" spans="2:11" ht="12.75" customHeight="1" thickBot="1">
      <c r="B257" s="39"/>
      <c r="E257" s="60" t="s">
        <v>82</v>
      </c>
      <c r="F257" s="159">
        <v>0</v>
      </c>
      <c r="G257" s="15"/>
      <c r="H257" s="194">
        <f>109308.77</f>
        <v>109308.77</v>
      </c>
      <c r="I257" s="105">
        <v>0</v>
      </c>
      <c r="J257" s="111">
        <v>220889134</v>
      </c>
      <c r="K257" s="105">
        <v>0</v>
      </c>
    </row>
    <row r="258" spans="2:11" ht="12.75" customHeight="1" thickTop="1">
      <c r="B258" s="39"/>
      <c r="E258" s="60"/>
      <c r="F258" s="38" t="s">
        <v>0</v>
      </c>
      <c r="G258" s="15"/>
      <c r="H258" s="128" t="s">
        <v>0</v>
      </c>
      <c r="I258" s="105">
        <v>0</v>
      </c>
      <c r="J258" s="128" t="s">
        <v>0</v>
      </c>
      <c r="K258" s="105">
        <v>0</v>
      </c>
    </row>
    <row r="259" spans="1:11" ht="12.75" customHeight="1">
      <c r="A259" s="1"/>
      <c r="B259" s="25" t="s">
        <v>69</v>
      </c>
      <c r="E259" s="60"/>
      <c r="F259" s="54" t="s">
        <v>0</v>
      </c>
      <c r="G259" s="166">
        <f>G190+G193+G231+G245</f>
        <v>117999.99749855083</v>
      </c>
      <c r="H259" s="132">
        <v>0</v>
      </c>
      <c r="I259" s="209">
        <f>I190+I193+I231+I245</f>
        <v>309719.2599999988</v>
      </c>
      <c r="J259" s="132">
        <v>0</v>
      </c>
      <c r="K259" s="133">
        <v>-1183382830</v>
      </c>
    </row>
    <row r="260" spans="1:11" ht="12.75" customHeight="1">
      <c r="A260" s="1"/>
      <c r="B260" s="39"/>
      <c r="E260" s="60"/>
      <c r="F260" s="15" t="s">
        <v>0</v>
      </c>
      <c r="G260" s="15"/>
      <c r="H260" s="105">
        <v>0</v>
      </c>
      <c r="I260" s="105"/>
      <c r="J260" s="105">
        <v>0</v>
      </c>
      <c r="K260" s="105"/>
    </row>
    <row r="261" spans="1:11" ht="12.75" customHeight="1">
      <c r="A261" s="1"/>
      <c r="B261" s="39"/>
      <c r="C261" s="9" t="s">
        <v>70</v>
      </c>
      <c r="E261" s="60"/>
      <c r="F261" s="15" t="s">
        <v>0</v>
      </c>
      <c r="G261" s="169">
        <f>SUM(F262+F263)</f>
        <v>118000</v>
      </c>
      <c r="H261" s="134" t="s">
        <v>0</v>
      </c>
      <c r="I261" s="146">
        <f>SUM(H262:H263)</f>
        <v>111976.36</v>
      </c>
      <c r="J261" s="134" t="s">
        <v>0</v>
      </c>
      <c r="K261" s="134">
        <v>147807000</v>
      </c>
    </row>
    <row r="262" spans="1:11" ht="12.75" customHeight="1">
      <c r="A262" s="1"/>
      <c r="B262" s="39"/>
      <c r="D262" s="9" t="s">
        <v>22</v>
      </c>
      <c r="E262" s="60" t="s">
        <v>73</v>
      </c>
      <c r="F262" s="218">
        <v>118000</v>
      </c>
      <c r="G262" s="27"/>
      <c r="H262" s="194">
        <f>111976.37-0.01</f>
        <v>111976.36</v>
      </c>
      <c r="I262" s="135"/>
      <c r="J262" s="111">
        <v>147807000</v>
      </c>
      <c r="K262" s="135"/>
    </row>
    <row r="263" spans="1:11" ht="12.75" customHeight="1" thickBot="1">
      <c r="A263" s="1"/>
      <c r="B263" s="39"/>
      <c r="D263" s="9" t="s">
        <v>22</v>
      </c>
      <c r="E263" s="60" t="s">
        <v>106</v>
      </c>
      <c r="F263" s="44">
        <v>0</v>
      </c>
      <c r="G263" s="27"/>
      <c r="H263" s="103">
        <f>J263/1936.27</f>
        <v>0</v>
      </c>
      <c r="I263" s="135"/>
      <c r="J263" s="129">
        <v>0</v>
      </c>
      <c r="K263" s="135"/>
    </row>
    <row r="264" spans="1:11" ht="12.75" customHeight="1" thickTop="1">
      <c r="A264" s="1"/>
      <c r="B264" s="39"/>
      <c r="E264" s="60"/>
      <c r="F264" s="15" t="s">
        <v>0</v>
      </c>
      <c r="G264" s="27"/>
      <c r="H264" s="105" t="s">
        <v>0</v>
      </c>
      <c r="I264" s="135"/>
      <c r="J264" s="105" t="s">
        <v>0</v>
      </c>
      <c r="K264" s="135"/>
    </row>
    <row r="265" spans="1:11" ht="12.75" customHeight="1">
      <c r="A265" s="1"/>
      <c r="B265" s="39"/>
      <c r="C265" s="24" t="s">
        <v>71</v>
      </c>
      <c r="E265" s="60"/>
      <c r="F265" s="15" t="s">
        <v>0</v>
      </c>
      <c r="G265" s="166">
        <f>G259-G261</f>
        <v>-0.0025014491693582386</v>
      </c>
      <c r="H265" s="105" t="s">
        <v>0</v>
      </c>
      <c r="I265" s="209">
        <f>I259-I261</f>
        <v>197742.8999999988</v>
      </c>
      <c r="J265" s="105" t="s">
        <v>0</v>
      </c>
      <c r="K265" s="133">
        <f>K259-K261</f>
        <v>-1331189830</v>
      </c>
    </row>
    <row r="266" spans="1:11" ht="12.75" customHeight="1" thickBot="1">
      <c r="A266" s="1"/>
      <c r="B266" s="40"/>
      <c r="C266" s="41"/>
      <c r="D266" s="41"/>
      <c r="E266" s="42"/>
      <c r="F266" s="43" t="s">
        <v>0</v>
      </c>
      <c r="G266" s="34"/>
      <c r="H266" s="136" t="s">
        <v>0</v>
      </c>
      <c r="I266" s="137"/>
      <c r="J266" s="136" t="s">
        <v>0</v>
      </c>
      <c r="K266" s="137"/>
    </row>
    <row r="267" ht="12" customHeight="1" thickTop="1">
      <c r="F267" s="8" t="s">
        <v>0</v>
      </c>
    </row>
  </sheetData>
  <mergeCells count="3">
    <mergeCell ref="J15:K15"/>
    <mergeCell ref="F15:G15"/>
    <mergeCell ref="H15:I15"/>
  </mergeCells>
  <printOptions/>
  <pageMargins left="0.75" right="0.75" top="1" bottom="1" header="0.5" footer="0.5"/>
  <pageSetup fitToHeight="3" horizontalDpi="300" verticalDpi="300" orientation="portrait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A.S.P.e.F.</cp:lastModifiedBy>
  <cp:lastPrinted>2006-03-16T08:26:57Z</cp:lastPrinted>
  <dcterms:created xsi:type="dcterms:W3CDTF">1997-08-28T16:58:31Z</dcterms:created>
  <dcterms:modified xsi:type="dcterms:W3CDTF">2006-03-16T08:33:06Z</dcterms:modified>
  <cp:category/>
  <cp:version/>
  <cp:contentType/>
  <cp:contentStatus/>
</cp:coreProperties>
</file>