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895" windowHeight="6960" tabRatio="737" activeTab="0"/>
  </bookViews>
  <sheets>
    <sheet name="RSA I.D'ESTE" sheetId="1" r:id="rId1"/>
    <sheet name="RSA L.BIANCHI" sheetId="2" r:id="rId2"/>
    <sheet name="Fisioterapia" sheetId="3" r:id="rId3"/>
    <sheet name="Ristorazione" sheetId="4" r:id="rId4"/>
    <sheet name="SAD" sheetId="5" r:id="rId5"/>
    <sheet name="CDI" sheetId="6" r:id="rId6"/>
    <sheet name="Area Integr.Sociale" sheetId="7" r:id="rId7"/>
    <sheet name="DUE PINI" sheetId="8" r:id="rId8"/>
    <sheet name="GRAMSCI" sheetId="9" r:id="rId9"/>
    <sheet name="TRASPORTI" sheetId="10" r:id="rId10"/>
    <sheet name="AREA MINORI" sheetId="11" r:id="rId11"/>
    <sheet name="SND" sheetId="12" r:id="rId12"/>
    <sheet name="C.A.H." sheetId="13" r:id="rId13"/>
  </sheets>
  <definedNames>
    <definedName name="_xlnm.Print_Area" localSheetId="0">'RSA I.D''ESTE'!$A$1:$H$140</definedName>
  </definedNames>
  <calcPr fullCalcOnLoad="1"/>
</workbook>
</file>

<file path=xl/sharedStrings.xml><?xml version="1.0" encoding="utf-8"?>
<sst xmlns="http://schemas.openxmlformats.org/spreadsheetml/2006/main" count="1212" uniqueCount="236">
  <si>
    <t xml:space="preserve"> </t>
  </si>
  <si>
    <t>CONTO ECONOMICO</t>
  </si>
  <si>
    <t>DESCRIZIONE</t>
  </si>
  <si>
    <t>PARZIALI</t>
  </si>
  <si>
    <t>TOTALI</t>
  </si>
  <si>
    <t>A) Valore della produzione:</t>
  </si>
  <si>
    <t xml:space="preserve">1)  </t>
  </si>
  <si>
    <t>ricavi delle vendite e delle prestazioni;</t>
  </si>
  <si>
    <t>2)</t>
  </si>
  <si>
    <t>variazioni delle rimanenze di prodotti in</t>
  </si>
  <si>
    <t>corso di lavorazione, semilavorati e finiti;</t>
  </si>
  <si>
    <t>3)</t>
  </si>
  <si>
    <t>variazione dei lavori in corso su ordinazione;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</si>
  <si>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</si>
  <si>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</si>
  <si>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</si>
  <si>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</si>
  <si>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</si>
  <si>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</si>
  <si>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</si>
  <si>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</si>
  <si>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</si>
  <si>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</si>
  <si>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</si>
  <si>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</si>
  <si>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</si>
  <si>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e - altri costi;  contributi associativi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</si>
  <si>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</si>
  <si>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</si>
  <si>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</si>
  <si>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</si>
  <si>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</si>
  <si>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</si>
  <si>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</si>
  <si>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</si>
  <si>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</si>
  <si>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</si>
  <si>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</si>
  <si>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</si>
  <si>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</si>
  <si>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</si>
  <si>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contributi A.S.L.</t>
  </si>
  <si>
    <t>* acquisto farmaci</t>
  </si>
  <si>
    <t>* cancelleria</t>
  </si>
  <si>
    <t>* acqua e gas</t>
  </si>
  <si>
    <t>* energia elettrica</t>
  </si>
  <si>
    <t>* spese postali e di affrancatura</t>
  </si>
  <si>
    <t>* servizio di pulizia</t>
  </si>
  <si>
    <t>* trasporti</t>
  </si>
  <si>
    <t>* manutenzioni contrattuali</t>
  </si>
  <si>
    <t>* manutenzioni e riparaz. varie</t>
  </si>
  <si>
    <t>rivalsa rette</t>
  </si>
  <si>
    <t>contributi Regione</t>
  </si>
  <si>
    <t>altri proventi vari</t>
  </si>
  <si>
    <t>* materiali di pulizia</t>
  </si>
  <si>
    <t>* teleriscaldamento</t>
  </si>
  <si>
    <t>* compensi ai professionisti medici</t>
  </si>
  <si>
    <t>* abbonamenti testi, riviste e quot.</t>
  </si>
  <si>
    <t>* compensi fisioterapisti</t>
  </si>
  <si>
    <t>* carburanti e lubrificanti</t>
  </si>
  <si>
    <t>* assicurazioni diverse</t>
  </si>
  <si>
    <t>E) Proventi e oneri straordinari</t>
  </si>
  <si>
    <t>15) Proventi da partecipazioni</t>
  </si>
  <si>
    <t>16) Altri proventi finanziari</t>
  </si>
  <si>
    <t>17) Interessi ed altri oneri finanziari</t>
  </si>
  <si>
    <t>C) Proventi e oneri finanziari</t>
  </si>
  <si>
    <t>D) Rettifiche di valore di attività finanziarie</t>
  </si>
  <si>
    <t>20) Proventi straordinari</t>
  </si>
  <si>
    <t>21) Oneri straordinari</t>
  </si>
  <si>
    <t>22) Imposte dell'esercizio</t>
  </si>
  <si>
    <t>UTILE (PERDITA) del SERVIZIO</t>
  </si>
  <si>
    <t>integrazione rette Comune</t>
  </si>
  <si>
    <t>* acquisto mat. medico per assist. farm. san.</t>
  </si>
  <si>
    <t>* acquisto materiali di consumo vari</t>
  </si>
  <si>
    <t>* servizio lavanderia biancheria piana</t>
  </si>
  <si>
    <t>* servizio assistenza geriatrica conv.</t>
  </si>
  <si>
    <t>* spese servizio religioso</t>
  </si>
  <si>
    <t>* acquisto pasti da CdR Ristorazione</t>
  </si>
  <si>
    <t>* locazione sollevatori</t>
  </si>
  <si>
    <t>* tasse di circolazione</t>
  </si>
  <si>
    <t>erogazione pasti ad altri CdR</t>
  </si>
  <si>
    <t>* acquisto generi alimentari</t>
  </si>
  <si>
    <t>C.D.I.</t>
  </si>
  <si>
    <t>FARMACIA DUE PINI</t>
  </si>
  <si>
    <t>FARMACIA GRAMSCI</t>
  </si>
  <si>
    <t>SERVIZIO TRASPORTI</t>
  </si>
  <si>
    <t>SERVIZIO NUOTO DISABILI</t>
  </si>
  <si>
    <t xml:space="preserve">pasti a domicilio </t>
  </si>
  <si>
    <t>sollevatori</t>
  </si>
  <si>
    <t>prestazioni socio-sanitarie</t>
  </si>
  <si>
    <t>integrazione tariffe Comune</t>
  </si>
  <si>
    <t>rivalsa tariffe</t>
  </si>
  <si>
    <t>proventi trasporto utenti</t>
  </si>
  <si>
    <t>vendita farmaci</t>
  </si>
  <si>
    <t>prestazioni diverse</t>
  </si>
  <si>
    <t>rimborsi farmaci scaduti</t>
  </si>
  <si>
    <t>*  affitti e locazioni</t>
  </si>
  <si>
    <t>rimborso farmaci scaduti</t>
  </si>
  <si>
    <t>*  spese condominiali</t>
  </si>
  <si>
    <t>contributi vari</t>
  </si>
  <si>
    <t>* altre spese per servizi</t>
  </si>
  <si>
    <t>proventi nuoto disabili</t>
  </si>
  <si>
    <t>rette Comunità Alloggio Handicap</t>
  </si>
  <si>
    <t>* compensi professionista podologa</t>
  </si>
  <si>
    <t>* rimborso spese ospiti</t>
  </si>
  <si>
    <t>* altre spese per automezzi</t>
  </si>
  <si>
    <t>* spese telefonia fissa</t>
  </si>
  <si>
    <t>* noleggio strutture e attrezzature</t>
  </si>
  <si>
    <t>* imposta di bollo</t>
  </si>
  <si>
    <t>* altre imposte e tasse</t>
  </si>
  <si>
    <t>* interessi di mora</t>
  </si>
  <si>
    <t>e - altri costi per il personale</t>
  </si>
  <si>
    <t xml:space="preserve">* confezionamento e consegna pasti </t>
  </si>
  <si>
    <t>* spese per manutenzione automezzi</t>
  </si>
  <si>
    <t>* imposte di bollo</t>
  </si>
  <si>
    <t>* compensi professionisti podologa</t>
  </si>
  <si>
    <t>e - altri costi del personale</t>
  </si>
  <si>
    <t>* enpaf farmacisti</t>
  </si>
  <si>
    <t>* spese di vigilanza</t>
  </si>
  <si>
    <t>* tassa di concessione regionale</t>
  </si>
  <si>
    <t>* rifiuti urbani e speciali</t>
  </si>
  <si>
    <t>* Enpaf farmacisti</t>
  </si>
  <si>
    <t>* tassa concessione regionale</t>
  </si>
  <si>
    <t>* spese per assicurazione automezzi</t>
  </si>
  <si>
    <t>proventi servizio assistenza domicil.minori</t>
  </si>
  <si>
    <t xml:space="preserve">COMUNITA' ALLOGGIO HANDICAP </t>
  </si>
  <si>
    <t>* spese di formazione</t>
  </si>
  <si>
    <t>* assicurazioni dipendenti</t>
  </si>
  <si>
    <t>* assicurazioni fabbricati</t>
  </si>
  <si>
    <t>* prestazioni da terzi</t>
  </si>
  <si>
    <t>* spese per attività socio - ricreative</t>
  </si>
  <si>
    <t>* prestazioni occasionali</t>
  </si>
  <si>
    <t>* compensi fisiatra</t>
  </si>
  <si>
    <t>* Collaborazioni Coordinate e Continuative</t>
  </si>
  <si>
    <t>* Inps e Inail Collaborazioni Coordinate Cont.</t>
  </si>
  <si>
    <t>* servizio assistenza geriatrica e pulizia</t>
  </si>
  <si>
    <t>* Inps e Inail Collab.Coordinate e Continuate</t>
  </si>
  <si>
    <t xml:space="preserve">* Collaborazioni Coordinate e Continuative </t>
  </si>
  <si>
    <t>* acquisti per attività di animazione</t>
  </si>
  <si>
    <t>* Collaborazioni Continuate e Continuative</t>
  </si>
  <si>
    <t>* Inps e Inail Collaboraz.Coordinate e Contin.</t>
  </si>
  <si>
    <t>* contributo Comune</t>
  </si>
  <si>
    <t>* abbonamenti e riviste</t>
  </si>
  <si>
    <t>* affitti e locazioni</t>
  </si>
  <si>
    <t>* spese di pulizia</t>
  </si>
  <si>
    <t>* acquisto cancelleria</t>
  </si>
  <si>
    <t>* Collaborazioni Coordinate e Continuate</t>
  </si>
  <si>
    <t>* tasse circolazione automezzi</t>
  </si>
  <si>
    <t>AREA MINORI</t>
  </si>
  <si>
    <t>proventi C.a.g.</t>
  </si>
  <si>
    <t>* manutenzione contrattuale</t>
  </si>
  <si>
    <t>* spese gestione Cag</t>
  </si>
  <si>
    <t>* spese gestione Sadm</t>
  </si>
  <si>
    <t xml:space="preserve">* Inps e Inail Collaborazioni Coordinate </t>
  </si>
  <si>
    <t>* spese gestione comunita' alloggio</t>
  </si>
  <si>
    <t>ricavi comuni</t>
  </si>
  <si>
    <t>* costi comuni</t>
  </si>
  <si>
    <t>*  costi comuni</t>
  </si>
  <si>
    <t>* ricavi comuni</t>
  </si>
  <si>
    <t>*costi comuni</t>
  </si>
  <si>
    <t>BILANCIO DELL'ESERCIZIO CHIUSO AL 31 DICEMBRE 2003</t>
  </si>
  <si>
    <t>* spese rimborso Km.</t>
  </si>
  <si>
    <t>* acquisti materiali di consumo</t>
  </si>
  <si>
    <t>* altri proventi vari (Piano di Zona)</t>
  </si>
  <si>
    <t>* spese condominiali</t>
  </si>
  <si>
    <t>* costi vari indeducibili</t>
  </si>
  <si>
    <t>* imposta di registro</t>
  </si>
  <si>
    <t>* spese per attività socio-ricreative</t>
  </si>
  <si>
    <t>contributo Piano di Zona</t>
  </si>
  <si>
    <t>R.S.A. ISABELLA D'ESTE</t>
  </si>
  <si>
    <t>* acquisto presidi sanitari</t>
  </si>
  <si>
    <t>* abbuoni e arrotondamenti passivi</t>
  </si>
  <si>
    <t>* spese di rappresentaza</t>
  </si>
  <si>
    <t>* spese vigilianza</t>
  </si>
  <si>
    <t>* spese costi personale di terzi (interinale)</t>
  </si>
  <si>
    <t>* tassa circolazione automezzi</t>
  </si>
  <si>
    <t>R.S.A. LUIGI BIANCHI</t>
  </si>
  <si>
    <t>RISTORAZIONE</t>
  </si>
  <si>
    <t>S.A.D. E VOUCHER</t>
  </si>
  <si>
    <t>prestazioni domiciliari voucher</t>
  </si>
  <si>
    <t>* acquisto mat.medico per assit.farm.e sanit.</t>
  </si>
  <si>
    <t>* acquisto materiale per voucher socio-sanit.</t>
  </si>
  <si>
    <t>* rimborso spese km.</t>
  </si>
  <si>
    <t>* prestazione medicina specialistica</t>
  </si>
  <si>
    <t>* servizio voucher socio-sanitario</t>
  </si>
  <si>
    <t>* altri ricavi</t>
  </si>
  <si>
    <t>* compenso farmacisti</t>
  </si>
  <si>
    <t>contributo comune</t>
  </si>
  <si>
    <t>* acquisto materiale di consumo vari</t>
  </si>
  <si>
    <t>* assicurazioni varie</t>
  </si>
  <si>
    <t>* imposta sugli spettacoli - Siae</t>
  </si>
  <si>
    <t>* compenso professionisti nuoto</t>
  </si>
  <si>
    <t>contributi regione</t>
  </si>
  <si>
    <t>contributi ASL</t>
  </si>
  <si>
    <t>* sopravvenienze attive</t>
  </si>
  <si>
    <t>* spese diverse bancarie</t>
  </si>
  <si>
    <t>BILANCIO DELL'ESERCIZIO CHIUSO AL 31 DICEMBRE 2005</t>
  </si>
  <si>
    <t>contributo integrazione rette</t>
  </si>
  <si>
    <t>* servizio lavaggio stoviglie</t>
  </si>
  <si>
    <t>* Collaborazioni Coordinate a Progetto</t>
  </si>
  <si>
    <t>* Inps e Inail Collaborazioni Coord.Progetto</t>
  </si>
  <si>
    <t>* tariffa rifiuti speciali</t>
  </si>
  <si>
    <t>* tariffa rifiuti urbani</t>
  </si>
  <si>
    <t>contributi integrazioni rette</t>
  </si>
  <si>
    <t>* prestazioni artistiche</t>
  </si>
  <si>
    <t>* servizio religioso</t>
  </si>
  <si>
    <t>* tassa rifiuti speciali</t>
  </si>
  <si>
    <t>* tassa rifiuti urbani</t>
  </si>
  <si>
    <t>FISIOTERAPIA</t>
  </si>
  <si>
    <t>proventi fisioterapia</t>
  </si>
  <si>
    <t>* servisio pulizia</t>
  </si>
  <si>
    <t>* materiale pubblicitario</t>
  </si>
  <si>
    <t>* spese di pubblicità</t>
  </si>
  <si>
    <t>* compensi fisioterapisti a domicilio</t>
  </si>
  <si>
    <t>* acquisti generi alimentari</t>
  </si>
  <si>
    <t>*  imposte di bollo</t>
  </si>
  <si>
    <t>AREA</t>
  </si>
  <si>
    <t>INTEGRAZIONE</t>
  </si>
  <si>
    <t>SOCIALE</t>
  </si>
  <si>
    <t>proventi Agenzia di Locazione</t>
  </si>
  <si>
    <t>proventi Pensionato Sociale</t>
  </si>
  <si>
    <t>* assicurazione fabbricati</t>
  </si>
  <si>
    <t xml:space="preserve">* tassa rifiuti urbani </t>
  </si>
  <si>
    <t>* spese per manutenzione varie</t>
  </si>
  <si>
    <t>* acqua</t>
  </si>
  <si>
    <t>* spese viaggi e trasferte</t>
  </si>
  <si>
    <t>* acquisto materiale di consumo</t>
  </si>
  <si>
    <t>* spese servizio nuoto disabili</t>
  </si>
  <si>
    <t>rivalsa bollo</t>
  </si>
  <si>
    <t>* acquisto per attività di animazione</t>
  </si>
  <si>
    <t>* acquisto materiale di consumo vario</t>
  </si>
  <si>
    <t xml:space="preserve">* acqua </t>
  </si>
  <si>
    <t>* gas</t>
  </si>
  <si>
    <t>* spese assistenza geriatrica</t>
  </si>
  <si>
    <t>* costi indeducibili</t>
  </si>
  <si>
    <t xml:space="preserve">* rifiuti urbani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</si>
</sst>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[$€]\ #,##0.00;[Red]&quot;-&quot;[$€]\ #,##0.00"/>
    <numFmt numFmtId="181" formatCode="#,##0.00;[Red]#,##0.00"/>
    <numFmt numFmtId="182" formatCode="#,##0.00_ ;\-#,##0.00\ "/>
  </numFmts>
  <fonts count="22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sz val="8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b/>
      <sz val="12"/>
      <color indexed="8"/>
      <name val="Geneva"/>
      <family val="0"/>
    </font>
    <font>
      <b/>
      <sz val="10"/>
      <color indexed="8"/>
      <name val="Geneva"/>
      <family val="0"/>
    </font>
    <font>
      <b/>
      <sz val="18"/>
      <color indexed="8"/>
      <name val="Geneva"/>
      <family val="0"/>
    </font>
    <font>
      <sz val="18"/>
      <name val="Geneva"/>
      <family val="0"/>
    </font>
    <font>
      <sz val="11"/>
      <color indexed="8"/>
      <name val="Geneva"/>
      <family val="0"/>
    </font>
    <font>
      <sz val="12"/>
      <color indexed="8"/>
      <name val="Geneva"/>
      <family val="0"/>
    </font>
    <font>
      <b/>
      <sz val="11"/>
      <color indexed="8"/>
      <name val="Geneva"/>
      <family val="0"/>
    </font>
    <font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3" fontId="14" fillId="2" borderId="1" xfId="0" applyNumberFormat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3" fontId="14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3" fontId="14" fillId="2" borderId="3" xfId="0" applyNumberFormat="1" applyFont="1" applyFill="1" applyBorder="1" applyAlignment="1" applyProtection="1">
      <alignment horizontal="center"/>
      <protection locked="0"/>
    </xf>
    <xf numFmtId="3" fontId="5" fillId="2" borderId="4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3" fontId="15" fillId="2" borderId="0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3" fontId="14" fillId="2" borderId="8" xfId="0" applyNumberFormat="1" applyFont="1" applyFill="1" applyBorder="1" applyAlignment="1" applyProtection="1">
      <alignment horizontal="center"/>
      <protection locked="0"/>
    </xf>
    <xf numFmtId="3" fontId="5" fillId="2" borderId="9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 locked="0"/>
    </xf>
    <xf numFmtId="3" fontId="15" fillId="2" borderId="0" xfId="0" applyNumberFormat="1" applyFont="1" applyFill="1" applyBorder="1" applyAlignment="1" applyProtection="1">
      <alignment/>
      <protection locked="0"/>
    </xf>
    <xf numFmtId="3" fontId="1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3" fontId="15" fillId="2" borderId="12" xfId="0" applyNumberFormat="1" applyFont="1" applyFill="1" applyBorder="1" applyAlignment="1" applyProtection="1">
      <alignment horizontal="center"/>
      <protection locked="0"/>
    </xf>
    <xf numFmtId="3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/>
      <protection locked="0"/>
    </xf>
    <xf numFmtId="3" fontId="15" fillId="2" borderId="14" xfId="0" applyNumberFormat="1" applyFont="1" applyFill="1" applyBorder="1" applyAlignment="1" applyProtection="1">
      <alignment/>
      <protection locked="0"/>
    </xf>
    <xf numFmtId="3" fontId="1" fillId="2" borderId="14" xfId="0" applyNumberFormat="1" applyFont="1" applyFill="1" applyBorder="1" applyAlignment="1" applyProtection="1">
      <alignment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3" fontId="0" fillId="2" borderId="14" xfId="0" applyNumberFormat="1" applyFont="1" applyFill="1" applyBorder="1" applyAlignment="1" applyProtection="1">
      <alignment/>
      <protection locked="0"/>
    </xf>
    <xf numFmtId="3" fontId="0" fillId="2" borderId="14" xfId="0" applyNumberForma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3" fontId="9" fillId="2" borderId="14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/>
    </xf>
    <xf numFmtId="0" fontId="0" fillId="2" borderId="15" xfId="0" applyFill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3" fontId="0" fillId="2" borderId="15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8" fillId="2" borderId="15" xfId="0" applyFont="1" applyFill="1" applyBorder="1" applyAlignment="1" applyProtection="1">
      <alignment/>
      <protection locked="0"/>
    </xf>
    <xf numFmtId="3" fontId="8" fillId="2" borderId="15" xfId="0" applyNumberFormat="1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3" fontId="12" fillId="2" borderId="18" xfId="0" applyNumberFormat="1" applyFon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 locked="0"/>
    </xf>
    <xf numFmtId="3" fontId="12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4" fontId="12" fillId="2" borderId="14" xfId="0" applyNumberFormat="1" applyFont="1" applyFill="1" applyBorder="1" applyAlignment="1" applyProtection="1">
      <alignment/>
      <protection/>
    </xf>
    <xf numFmtId="4" fontId="12" fillId="2" borderId="14" xfId="0" applyNumberFormat="1" applyFont="1" applyFill="1" applyBorder="1" applyAlignment="1" applyProtection="1">
      <alignment/>
      <protection locked="0"/>
    </xf>
    <xf numFmtId="4" fontId="13" fillId="2" borderId="14" xfId="0" applyNumberFormat="1" applyFont="1" applyFill="1" applyBorder="1" applyAlignment="1" applyProtection="1">
      <alignment/>
      <protection locked="0"/>
    </xf>
    <xf numFmtId="4" fontId="12" fillId="2" borderId="19" xfId="0" applyNumberFormat="1" applyFont="1" applyFill="1" applyBorder="1" applyAlignment="1" applyProtection="1">
      <alignment/>
      <protection/>
    </xf>
    <xf numFmtId="4" fontId="11" fillId="2" borderId="19" xfId="0" applyNumberFormat="1" applyFont="1" applyFill="1" applyBorder="1" applyAlignment="1" applyProtection="1">
      <alignment/>
      <protection locked="0"/>
    </xf>
    <xf numFmtId="4" fontId="12" fillId="2" borderId="0" xfId="0" applyNumberFormat="1" applyFont="1" applyFill="1" applyBorder="1" applyAlignment="1" applyProtection="1">
      <alignment/>
      <protection/>
    </xf>
    <xf numFmtId="4" fontId="11" fillId="2" borderId="0" xfId="0" applyNumberFormat="1" applyFont="1" applyFill="1" applyBorder="1" applyAlignment="1" applyProtection="1">
      <alignment/>
      <protection/>
    </xf>
    <xf numFmtId="4" fontId="12" fillId="2" borderId="0" xfId="0" applyNumberFormat="1" applyFont="1" applyFill="1" applyBorder="1" applyAlignment="1" applyProtection="1">
      <alignment/>
      <protection locked="0"/>
    </xf>
    <xf numFmtId="4" fontId="15" fillId="2" borderId="14" xfId="0" applyNumberFormat="1" applyFont="1" applyFill="1" applyBorder="1" applyAlignment="1" applyProtection="1">
      <alignment/>
      <protection locked="0"/>
    </xf>
    <xf numFmtId="4" fontId="0" fillId="2" borderId="14" xfId="0" applyNumberFormat="1" applyFont="1" applyFill="1" applyBorder="1" applyAlignment="1" applyProtection="1">
      <alignment/>
      <protection locked="0"/>
    </xf>
    <xf numFmtId="4" fontId="0" fillId="2" borderId="14" xfId="0" applyNumberFormat="1" applyFill="1" applyBorder="1" applyAlignment="1" applyProtection="1">
      <alignment/>
      <protection locked="0"/>
    </xf>
    <xf numFmtId="4" fontId="9" fillId="2" borderId="14" xfId="0" applyNumberFormat="1" applyFont="1" applyFill="1" applyBorder="1" applyAlignment="1" applyProtection="1">
      <alignment/>
      <protection locked="0"/>
    </xf>
    <xf numFmtId="4" fontId="0" fillId="2" borderId="15" xfId="0" applyNumberFormat="1" applyFill="1" applyBorder="1" applyAlignment="1" applyProtection="1">
      <alignment/>
      <protection locked="0"/>
    </xf>
    <xf numFmtId="4" fontId="12" fillId="2" borderId="18" xfId="0" applyNumberFormat="1" applyFont="1" applyFill="1" applyBorder="1" applyAlignment="1" applyProtection="1">
      <alignment/>
      <protection locked="0"/>
    </xf>
    <xf numFmtId="4" fontId="0" fillId="2" borderId="17" xfId="0" applyNumberFormat="1" applyFill="1" applyBorder="1" applyAlignment="1" applyProtection="1">
      <alignment/>
      <protection locked="0"/>
    </xf>
    <xf numFmtId="4" fontId="11" fillId="2" borderId="0" xfId="0" applyNumberFormat="1" applyFont="1" applyFill="1" applyBorder="1" applyAlignment="1" applyProtection="1">
      <alignment/>
      <protection locked="0"/>
    </xf>
    <xf numFmtId="4" fontId="12" fillId="2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 locked="0"/>
    </xf>
    <xf numFmtId="4" fontId="18" fillId="2" borderId="19" xfId="0" applyNumberFormat="1" applyFont="1" applyFill="1" applyBorder="1" applyAlignment="1" applyProtection="1">
      <alignment/>
      <protection/>
    </xf>
    <xf numFmtId="4" fontId="5" fillId="2" borderId="14" xfId="0" applyNumberFormat="1" applyFont="1" applyFill="1" applyBorder="1" applyAlignment="1" applyProtection="1">
      <alignment/>
      <protection/>
    </xf>
    <xf numFmtId="4" fontId="18" fillId="2" borderId="14" xfId="0" applyNumberFormat="1" applyFont="1" applyFill="1" applyBorder="1" applyAlignment="1" applyProtection="1">
      <alignment/>
      <protection/>
    </xf>
    <xf numFmtId="4" fontId="19" fillId="2" borderId="14" xfId="0" applyNumberFormat="1" applyFont="1" applyFill="1" applyBorder="1" applyAlignment="1" applyProtection="1">
      <alignment/>
      <protection/>
    </xf>
    <xf numFmtId="4" fontId="19" fillId="2" borderId="19" xfId="0" applyNumberFormat="1" applyFont="1" applyFill="1" applyBorder="1" applyAlignment="1" applyProtection="1">
      <alignment/>
      <protection/>
    </xf>
    <xf numFmtId="4" fontId="19" fillId="2" borderId="14" xfId="0" applyNumberFormat="1" applyFont="1" applyFill="1" applyBorder="1" applyAlignment="1" applyProtection="1">
      <alignment/>
      <protection locked="0"/>
    </xf>
    <xf numFmtId="4" fontId="5" fillId="2" borderId="15" xfId="0" applyNumberFormat="1" applyFont="1" applyFill="1" applyBorder="1" applyAlignment="1" applyProtection="1">
      <alignment/>
      <protection/>
    </xf>
    <xf numFmtId="4" fontId="12" fillId="2" borderId="19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12" fillId="0" borderId="19" xfId="0" applyNumberFormat="1" applyFont="1" applyFill="1" applyBorder="1" applyAlignment="1" applyProtection="1">
      <alignment/>
      <protection locked="0"/>
    </xf>
    <xf numFmtId="4" fontId="18" fillId="2" borderId="14" xfId="0" applyNumberFormat="1" applyFont="1" applyFill="1" applyBorder="1" applyAlignment="1" applyProtection="1">
      <alignment/>
      <protection locked="0"/>
    </xf>
    <xf numFmtId="4" fontId="5" fillId="2" borderId="15" xfId="0" applyNumberFormat="1" applyFont="1" applyFill="1" applyBorder="1" applyAlignment="1" applyProtection="1">
      <alignment/>
      <protection locked="0"/>
    </xf>
    <xf numFmtId="4" fontId="14" fillId="2" borderId="14" xfId="0" applyNumberFormat="1" applyFont="1" applyFill="1" applyBorder="1" applyAlignment="1" applyProtection="1">
      <alignment/>
      <protection locked="0"/>
    </xf>
    <xf numFmtId="4" fontId="12" fillId="0" borderId="13" xfId="0" applyNumberFormat="1" applyFont="1" applyFill="1" applyBorder="1" applyAlignment="1" applyProtection="1">
      <alignment/>
      <protection/>
    </xf>
    <xf numFmtId="4" fontId="20" fillId="2" borderId="14" xfId="0" applyNumberFormat="1" applyFont="1" applyFill="1" applyBorder="1" applyAlignment="1" applyProtection="1">
      <alignment/>
      <protection locked="0"/>
    </xf>
    <xf numFmtId="3" fontId="21" fillId="2" borderId="15" xfId="0" applyNumberFormat="1" applyFont="1" applyFill="1" applyBorder="1" applyAlignment="1" applyProtection="1">
      <alignment/>
      <protection locked="0"/>
    </xf>
    <xf numFmtId="4" fontId="18" fillId="2" borderId="19" xfId="0" applyNumberFormat="1" applyFont="1" applyFill="1" applyBorder="1" applyAlignment="1" applyProtection="1">
      <alignment/>
      <protection locked="0"/>
    </xf>
    <xf numFmtId="4" fontId="18" fillId="2" borderId="0" xfId="0" applyNumberFormat="1" applyFont="1" applyFill="1" applyBorder="1" applyAlignment="1" applyProtection="1">
      <alignment/>
      <protection locked="0"/>
    </xf>
    <xf numFmtId="3" fontId="5" fillId="2" borderId="15" xfId="0" applyNumberFormat="1" applyFont="1" applyFill="1" applyBorder="1" applyAlignment="1" applyProtection="1">
      <alignment/>
      <protection/>
    </xf>
    <xf numFmtId="181" fontId="19" fillId="2" borderId="14" xfId="15" applyNumberFormat="1" applyFont="1" applyFill="1" applyBorder="1" applyAlignment="1" applyProtection="1">
      <alignment/>
      <protection locked="0"/>
    </xf>
    <xf numFmtId="4" fontId="11" fillId="2" borderId="14" xfId="0" applyNumberFormat="1" applyFont="1" applyFill="1" applyBorder="1" applyAlignment="1" applyProtection="1">
      <alignment/>
      <protection/>
    </xf>
    <xf numFmtId="4" fontId="0" fillId="2" borderId="0" xfId="0" applyNumberFormat="1" applyFill="1" applyBorder="1" applyAlignment="1">
      <alignment/>
    </xf>
    <xf numFmtId="4" fontId="12" fillId="0" borderId="14" xfId="0" applyNumberFormat="1" applyFont="1" applyFill="1" applyBorder="1" applyAlignment="1" applyProtection="1">
      <alignment/>
      <protection locked="0"/>
    </xf>
    <xf numFmtId="4" fontId="11" fillId="0" borderId="14" xfId="0" applyNumberFormat="1" applyFont="1" applyFill="1" applyBorder="1" applyAlignment="1" applyProtection="1">
      <alignment/>
      <protection locked="0"/>
    </xf>
    <xf numFmtId="4" fontId="12" fillId="0" borderId="14" xfId="0" applyNumberFormat="1" applyFont="1" applyFill="1" applyBorder="1" applyAlignment="1" applyProtection="1">
      <alignment/>
      <protection/>
    </xf>
    <xf numFmtId="4" fontId="19" fillId="0" borderId="14" xfId="0" applyNumberFormat="1" applyFont="1" applyFill="1" applyBorder="1" applyAlignment="1" applyProtection="1">
      <alignment/>
      <protection locked="0"/>
    </xf>
    <xf numFmtId="4" fontId="18" fillId="0" borderId="14" xfId="0" applyNumberFormat="1" applyFont="1" applyFill="1" applyBorder="1" applyAlignment="1" applyProtection="1">
      <alignment/>
      <protection locked="0"/>
    </xf>
    <xf numFmtId="4" fontId="11" fillId="2" borderId="20" xfId="0" applyNumberFormat="1" applyFont="1" applyFill="1" applyBorder="1" applyAlignment="1" applyProtection="1">
      <alignment/>
      <protection locked="0"/>
    </xf>
    <xf numFmtId="4" fontId="11" fillId="2" borderId="15" xfId="0" applyNumberFormat="1" applyFont="1" applyFill="1" applyBorder="1" applyAlignment="1" applyProtection="1">
      <alignment/>
      <protection locked="0"/>
    </xf>
    <xf numFmtId="4" fontId="5" fillId="0" borderId="15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6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3" fontId="14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5" fillId="2" borderId="10" xfId="0" applyNumberFormat="1" applyFont="1" applyFill="1" applyBorder="1" applyAlignment="1" applyProtection="1">
      <alignment horizontal="center"/>
      <protection locked="0"/>
    </xf>
    <xf numFmtId="0" fontId="15" fillId="2" borderId="21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Normal" xfId="0"/>
    <cellStyle name="Euro" xfId="15"/>
    <cellStyle name="Comma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17">
      <selection activeCell="G117" sqref="G117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21.7539062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169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5.7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5.75" customHeight="1">
      <c r="A19" s="24"/>
      <c r="B19" s="37" t="s">
        <v>5</v>
      </c>
      <c r="C19" s="24"/>
      <c r="D19" s="24"/>
      <c r="F19" s="35"/>
      <c r="G19" s="92">
        <f>F20+F24+F25+F26+F28</f>
        <v>3428004.2889219997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SUM(F21:F22)</f>
        <v>1578760.53</v>
      </c>
      <c r="G20" s="38"/>
    </row>
    <row r="21" spans="1:7" ht="12.75" customHeight="1">
      <c r="A21" s="24"/>
      <c r="B21" s="34"/>
      <c r="C21" s="24"/>
      <c r="D21" s="24" t="s">
        <v>30</v>
      </c>
      <c r="E21" s="25" t="s">
        <v>51</v>
      </c>
      <c r="F21" s="89">
        <v>1424820.09</v>
      </c>
      <c r="G21" s="38"/>
    </row>
    <row r="22" spans="1:7" ht="12.75" customHeight="1">
      <c r="A22" s="24"/>
      <c r="B22" s="34"/>
      <c r="C22" s="24"/>
      <c r="D22" s="24" t="s">
        <v>30</v>
      </c>
      <c r="E22" s="25" t="s">
        <v>71</v>
      </c>
      <c r="F22" s="89">
        <v>153940.44</v>
      </c>
      <c r="G22" s="38"/>
    </row>
    <row r="23" spans="1:7" ht="12.75" customHeight="1">
      <c r="A23" s="24"/>
      <c r="B23" s="34"/>
      <c r="C23" s="24" t="s">
        <v>8</v>
      </c>
      <c r="D23" s="24" t="s">
        <v>9</v>
      </c>
      <c r="F23" s="74"/>
      <c r="G23" s="38"/>
    </row>
    <row r="24" spans="1:7" ht="12.75" customHeight="1">
      <c r="A24" s="24"/>
      <c r="B24" s="34"/>
      <c r="C24" s="24"/>
      <c r="D24" s="24" t="s">
        <v>10</v>
      </c>
      <c r="F24" s="74">
        <f>19125.73-26905</f>
        <v>-7779.27</v>
      </c>
      <c r="G24" s="38"/>
    </row>
    <row r="25" spans="1:7" ht="12.75" customHeight="1">
      <c r="A25" s="24"/>
      <c r="B25" s="34"/>
      <c r="C25" s="24" t="s">
        <v>11</v>
      </c>
      <c r="D25" s="24" t="s">
        <v>12</v>
      </c>
      <c r="F25" s="74">
        <v>0</v>
      </c>
      <c r="G25" s="38"/>
    </row>
    <row r="26" spans="1:7" ht="12.75" customHeight="1">
      <c r="A26" s="24"/>
      <c r="B26" s="34"/>
      <c r="C26" s="24" t="s">
        <v>13</v>
      </c>
      <c r="D26" s="24"/>
      <c r="F26" s="74">
        <v>0</v>
      </c>
      <c r="G26" s="38"/>
    </row>
    <row r="27" spans="1:7" ht="12.75" customHeight="1">
      <c r="A27" s="24"/>
      <c r="B27" s="34"/>
      <c r="C27" s="24" t="s">
        <v>14</v>
      </c>
      <c r="D27" s="24"/>
      <c r="F27" s="74" t="s">
        <v>0</v>
      </c>
      <c r="G27" s="39"/>
    </row>
    <row r="28" spans="1:7" ht="12.75" customHeight="1">
      <c r="A28" s="24"/>
      <c r="B28" s="34"/>
      <c r="C28" s="24"/>
      <c r="D28" s="24" t="s">
        <v>15</v>
      </c>
      <c r="F28" s="73">
        <f>SUM(F29:F32)</f>
        <v>1857023.0289219997</v>
      </c>
      <c r="G28" s="39"/>
    </row>
    <row r="29" spans="1:7" ht="12.75" customHeight="1">
      <c r="A29" s="24"/>
      <c r="B29" s="34"/>
      <c r="C29" s="24"/>
      <c r="D29" s="40" t="s">
        <v>30</v>
      </c>
      <c r="E29" s="25" t="s">
        <v>41</v>
      </c>
      <c r="F29" s="89">
        <v>1552417.24</v>
      </c>
      <c r="G29" s="41"/>
    </row>
    <row r="30" spans="1:7" ht="12.75" customHeight="1">
      <c r="A30" s="24"/>
      <c r="B30" s="34"/>
      <c r="C30" s="24"/>
      <c r="D30" s="40" t="s">
        <v>30</v>
      </c>
      <c r="E30" s="25" t="s">
        <v>197</v>
      </c>
      <c r="F30" s="89">
        <v>99466.15</v>
      </c>
      <c r="G30" s="41"/>
    </row>
    <row r="31" spans="1:7" ht="12.75" customHeight="1">
      <c r="A31" s="24"/>
      <c r="B31" s="34"/>
      <c r="C31" s="24"/>
      <c r="D31" s="40" t="s">
        <v>30</v>
      </c>
      <c r="E31" s="25" t="s">
        <v>53</v>
      </c>
      <c r="F31" s="89">
        <f>19.11+2355.63+244.19+9207.77+67411</f>
        <v>79237.7</v>
      </c>
      <c r="G31" s="41"/>
    </row>
    <row r="32" spans="1:7" ht="12.75" customHeight="1">
      <c r="A32" s="24"/>
      <c r="B32" s="34"/>
      <c r="C32" s="24"/>
      <c r="D32" s="24" t="s">
        <v>30</v>
      </c>
      <c r="E32" s="24" t="s">
        <v>155</v>
      </c>
      <c r="F32" s="113">
        <f>265447.91*47.42/100+26.54</f>
        <v>125901.93892199999</v>
      </c>
      <c r="G32" s="39"/>
    </row>
    <row r="33" spans="1:7" ht="12.75" customHeight="1">
      <c r="A33" s="24"/>
      <c r="B33" s="34"/>
      <c r="C33" s="24"/>
      <c r="D33" s="24"/>
      <c r="E33" s="24"/>
      <c r="F33" s="74"/>
      <c r="G33" s="39"/>
    </row>
    <row r="34" spans="1:7" s="44" customFormat="1" ht="15.75" customHeight="1">
      <c r="A34" s="42"/>
      <c r="B34" s="37" t="s">
        <v>16</v>
      </c>
      <c r="C34" s="42"/>
      <c r="D34" s="42"/>
      <c r="E34" s="43"/>
      <c r="F34" s="75"/>
      <c r="G34" s="92">
        <f>-(F36+F48+F84+F89+F96+F104+F106+F108+F110)</f>
        <v>-3607965.8536619996</v>
      </c>
    </row>
    <row r="35" spans="1:7" ht="12.75" customHeight="1">
      <c r="A35" s="24"/>
      <c r="B35" s="34"/>
      <c r="C35" s="24" t="s">
        <v>17</v>
      </c>
      <c r="D35" s="24"/>
      <c r="F35" s="74" t="s">
        <v>0</v>
      </c>
      <c r="G35" s="39"/>
    </row>
    <row r="36" spans="1:7" ht="12.75" customHeight="1">
      <c r="A36" s="24"/>
      <c r="B36" s="34"/>
      <c r="D36" s="24" t="s">
        <v>18</v>
      </c>
      <c r="E36" s="45"/>
      <c r="F36" s="91">
        <f>SUM(F37:F46)</f>
        <v>305194.325996</v>
      </c>
      <c r="G36" s="39"/>
    </row>
    <row r="37" spans="1:7" ht="12.75" customHeight="1">
      <c r="A37" s="24"/>
      <c r="B37" s="34"/>
      <c r="D37" s="24"/>
      <c r="E37" s="45" t="s">
        <v>72</v>
      </c>
      <c r="F37" s="98">
        <v>28436.1</v>
      </c>
      <c r="G37" s="39"/>
    </row>
    <row r="38" spans="1:7" ht="12.75" customHeight="1">
      <c r="A38" s="24"/>
      <c r="B38" s="34"/>
      <c r="D38" s="24"/>
      <c r="E38" s="45" t="s">
        <v>42</v>
      </c>
      <c r="F38" s="98">
        <v>76566.42</v>
      </c>
      <c r="G38" s="39"/>
    </row>
    <row r="39" spans="1:7" ht="12.75" customHeight="1">
      <c r="A39" s="24"/>
      <c r="B39" s="34"/>
      <c r="D39" s="24"/>
      <c r="E39" s="45" t="s">
        <v>170</v>
      </c>
      <c r="F39" s="98">
        <v>57832.54</v>
      </c>
      <c r="G39" s="39"/>
    </row>
    <row r="40" spans="1:7" ht="12.75" customHeight="1">
      <c r="A40" s="24"/>
      <c r="B40" s="34"/>
      <c r="D40" s="24"/>
      <c r="E40" s="45" t="s">
        <v>73</v>
      </c>
      <c r="F40" s="98">
        <f>10295.55+1714.28+15700.89+9272.95+1955.58</f>
        <v>38939.25</v>
      </c>
      <c r="G40" s="39"/>
    </row>
    <row r="41" spans="1:7" ht="12.75" customHeight="1">
      <c r="A41" s="24"/>
      <c r="B41" s="34"/>
      <c r="D41" s="24"/>
      <c r="E41" s="45" t="s">
        <v>54</v>
      </c>
      <c r="F41" s="98">
        <v>7020.09</v>
      </c>
      <c r="G41" s="39"/>
    </row>
    <row r="42" spans="1:7" ht="12.75" customHeight="1">
      <c r="A42" s="24"/>
      <c r="B42" s="34"/>
      <c r="D42" s="24"/>
      <c r="E42" s="46" t="s">
        <v>43</v>
      </c>
      <c r="F42" s="98">
        <v>139.4</v>
      </c>
      <c r="G42" s="39"/>
    </row>
    <row r="43" spans="1:7" ht="12.75" customHeight="1">
      <c r="A43" s="24"/>
      <c r="B43" s="34"/>
      <c r="D43" s="24"/>
      <c r="E43" s="46" t="s">
        <v>171</v>
      </c>
      <c r="F43" s="98">
        <v>214.92</v>
      </c>
      <c r="G43" s="39"/>
    </row>
    <row r="44" spans="1:7" ht="12.75" customHeight="1">
      <c r="A44" s="24"/>
      <c r="B44" s="34"/>
      <c r="D44" s="24"/>
      <c r="E44" s="46" t="s">
        <v>59</v>
      </c>
      <c r="F44" s="98">
        <v>3243.56</v>
      </c>
      <c r="G44" s="39"/>
    </row>
    <row r="45" spans="1:7" ht="12.75" customHeight="1">
      <c r="A45" s="24"/>
      <c r="B45" s="34"/>
      <c r="C45" s="24"/>
      <c r="D45" s="24"/>
      <c r="E45" s="46" t="s">
        <v>55</v>
      </c>
      <c r="F45" s="98">
        <v>87443.88</v>
      </c>
      <c r="G45" s="39"/>
    </row>
    <row r="46" spans="1:7" ht="12.75" customHeight="1">
      <c r="A46" s="24"/>
      <c r="B46" s="34"/>
      <c r="D46" s="24"/>
      <c r="E46" s="45" t="s">
        <v>156</v>
      </c>
      <c r="F46" s="114">
        <f>11299.38*47.42/100</f>
        <v>5358.165996</v>
      </c>
      <c r="G46" s="39"/>
    </row>
    <row r="47" spans="1:7" ht="12.75" customHeight="1">
      <c r="A47" s="24"/>
      <c r="B47" s="34"/>
      <c r="D47" s="24"/>
      <c r="E47" s="45"/>
      <c r="F47" s="88"/>
      <c r="G47" s="39"/>
    </row>
    <row r="48" spans="1:7" ht="12.75" customHeight="1">
      <c r="A48" s="24"/>
      <c r="B48" s="34"/>
      <c r="C48" s="24" t="s">
        <v>19</v>
      </c>
      <c r="D48" s="24"/>
      <c r="E48" s="45"/>
      <c r="F48" s="91">
        <f>SUM(F49:F82)</f>
        <v>1897591.7625619997</v>
      </c>
      <c r="G48" s="39"/>
    </row>
    <row r="49" spans="1:7" ht="12.75" customHeight="1">
      <c r="A49" s="24"/>
      <c r="B49" s="34"/>
      <c r="C49" s="24"/>
      <c r="D49" s="24"/>
      <c r="E49" s="46" t="s">
        <v>48</v>
      </c>
      <c r="F49" s="76">
        <v>5679.9</v>
      </c>
      <c r="G49" s="39"/>
    </row>
    <row r="50" spans="1:7" ht="12.75" customHeight="1">
      <c r="A50" s="24"/>
      <c r="B50" s="34"/>
      <c r="C50" s="24"/>
      <c r="D50" s="24"/>
      <c r="E50" s="46" t="s">
        <v>45</v>
      </c>
      <c r="F50" s="98">
        <v>63593.7</v>
      </c>
      <c r="G50" s="39"/>
    </row>
    <row r="51" spans="1:7" ht="12.75" customHeight="1">
      <c r="A51" s="24"/>
      <c r="B51" s="34"/>
      <c r="C51" s="24"/>
      <c r="D51" s="24"/>
      <c r="E51" s="46" t="s">
        <v>44</v>
      </c>
      <c r="F51" s="98">
        <f>14451.16+2150.7</f>
        <v>16601.86</v>
      </c>
      <c r="G51" s="39"/>
    </row>
    <row r="52" spans="1:7" ht="12.75" customHeight="1">
      <c r="A52" s="24"/>
      <c r="B52" s="34"/>
      <c r="C52" s="24"/>
      <c r="D52" s="24"/>
      <c r="E52" s="46" t="s">
        <v>50</v>
      </c>
      <c r="F52" s="98">
        <v>34589.57</v>
      </c>
      <c r="G52" s="39"/>
    </row>
    <row r="53" spans="1:7" ht="12.75" customHeight="1">
      <c r="A53" s="24"/>
      <c r="B53" s="34"/>
      <c r="C53" s="24"/>
      <c r="D53" s="24"/>
      <c r="E53" s="46" t="s">
        <v>49</v>
      </c>
      <c r="F53" s="98">
        <v>20030.64</v>
      </c>
      <c r="G53" s="39"/>
    </row>
    <row r="54" spans="1:7" ht="12.75" customHeight="1">
      <c r="A54" s="24"/>
      <c r="B54" s="34"/>
      <c r="C54" s="24"/>
      <c r="D54" s="24"/>
      <c r="E54" s="46" t="s">
        <v>126</v>
      </c>
      <c r="F54" s="98">
        <v>440</v>
      </c>
      <c r="G54" s="39"/>
    </row>
    <row r="55" spans="1:7" ht="12.75" customHeight="1">
      <c r="A55" s="24"/>
      <c r="B55" s="34"/>
      <c r="C55" s="24"/>
      <c r="D55" s="24"/>
      <c r="E55" s="46" t="s">
        <v>105</v>
      </c>
      <c r="F55" s="98">
        <f>834.16+803.58</f>
        <v>1637.74</v>
      </c>
      <c r="G55" s="39"/>
    </row>
    <row r="56" spans="1:7" ht="12.75" customHeight="1">
      <c r="A56" s="24"/>
      <c r="B56" s="34"/>
      <c r="C56" s="24"/>
      <c r="D56" s="24"/>
      <c r="E56" s="46" t="s">
        <v>106</v>
      </c>
      <c r="F56" s="98">
        <v>5153.33</v>
      </c>
      <c r="G56" s="39"/>
    </row>
    <row r="57" spans="1:7" ht="12.75" customHeight="1">
      <c r="A57" s="24"/>
      <c r="B57" s="34"/>
      <c r="C57" s="24"/>
      <c r="D57" s="24"/>
      <c r="E57" s="46" t="s">
        <v>46</v>
      </c>
      <c r="F57" s="98">
        <v>365.77</v>
      </c>
      <c r="G57" s="39"/>
    </row>
    <row r="58" spans="1:7" ht="12.75" customHeight="1">
      <c r="A58" s="24"/>
      <c r="B58" s="34"/>
      <c r="C58" s="24"/>
      <c r="D58" s="24"/>
      <c r="E58" s="46" t="s">
        <v>127</v>
      </c>
      <c r="F58" s="98">
        <v>3147</v>
      </c>
      <c r="G58" s="39"/>
    </row>
    <row r="59" spans="1:7" ht="12.75" customHeight="1">
      <c r="A59" s="24"/>
      <c r="B59" s="34"/>
      <c r="C59" s="24"/>
      <c r="D59" s="24"/>
      <c r="E59" s="46" t="s">
        <v>128</v>
      </c>
      <c r="F59" s="98">
        <f>3308+430</f>
        <v>3738</v>
      </c>
      <c r="G59" s="39"/>
    </row>
    <row r="60" spans="1:7" ht="12.75" customHeight="1">
      <c r="A60" s="24"/>
      <c r="B60" s="34"/>
      <c r="C60" s="24"/>
      <c r="D60" s="24"/>
      <c r="E60" s="46" t="s">
        <v>172</v>
      </c>
      <c r="F60" s="98">
        <v>121</v>
      </c>
      <c r="G60" s="39"/>
    </row>
    <row r="61" spans="1:7" ht="12.75" customHeight="1">
      <c r="A61" s="24"/>
      <c r="B61" s="34"/>
      <c r="C61" s="24"/>
      <c r="D61" s="24"/>
      <c r="E61" s="46" t="s">
        <v>129</v>
      </c>
      <c r="F61" s="98">
        <f>2497.5+4993.78+1468.8</f>
        <v>8960.08</v>
      </c>
      <c r="G61" s="39"/>
    </row>
    <row r="62" spans="1:7" ht="12.75" customHeight="1">
      <c r="A62" s="24"/>
      <c r="B62" s="34"/>
      <c r="C62" s="24"/>
      <c r="D62" s="24"/>
      <c r="E62" s="46" t="s">
        <v>104</v>
      </c>
      <c r="F62" s="98">
        <v>182.31</v>
      </c>
      <c r="G62" s="39"/>
    </row>
    <row r="63" spans="1:7" ht="12.75" customHeight="1">
      <c r="A63" s="24"/>
      <c r="B63" s="34"/>
      <c r="C63" s="24"/>
      <c r="D63" s="24"/>
      <c r="E63" s="46" t="s">
        <v>195</v>
      </c>
      <c r="F63" s="98">
        <v>280.64</v>
      </c>
      <c r="G63" s="39"/>
    </row>
    <row r="64" spans="1:7" ht="12.75" customHeight="1">
      <c r="A64" s="24"/>
      <c r="B64" s="34"/>
      <c r="C64" s="24"/>
      <c r="D64" s="24"/>
      <c r="E64" s="46" t="s">
        <v>130</v>
      </c>
      <c r="F64" s="98">
        <v>2350.75</v>
      </c>
      <c r="G64" s="39"/>
    </row>
    <row r="65" spans="1:7" ht="12.75" customHeight="1">
      <c r="A65" s="24"/>
      <c r="B65" s="34"/>
      <c r="C65" s="24"/>
      <c r="D65" s="24"/>
      <c r="E65" s="46" t="s">
        <v>173</v>
      </c>
      <c r="F65" s="98">
        <v>900</v>
      </c>
      <c r="G65" s="39"/>
    </row>
    <row r="66" spans="1:7" ht="12.75" customHeight="1">
      <c r="A66" s="24"/>
      <c r="B66" s="34"/>
      <c r="C66" s="24"/>
      <c r="D66" s="24"/>
      <c r="E66" s="46" t="s">
        <v>161</v>
      </c>
      <c r="F66" s="98">
        <v>477.53</v>
      </c>
      <c r="G66" s="39"/>
    </row>
    <row r="67" spans="1:7" ht="12.75" customHeight="1">
      <c r="A67" s="24"/>
      <c r="B67" s="34"/>
      <c r="C67" s="24"/>
      <c r="D67" s="24"/>
      <c r="E67" s="46" t="s">
        <v>100</v>
      </c>
      <c r="F67" s="98">
        <f>5362.83+140</f>
        <v>5502.83</v>
      </c>
      <c r="G67" s="39"/>
    </row>
    <row r="68" spans="1:7" ht="12.75" customHeight="1">
      <c r="A68" s="24"/>
      <c r="B68" s="34"/>
      <c r="C68" s="24"/>
      <c r="D68" s="24"/>
      <c r="E68" s="46" t="s">
        <v>74</v>
      </c>
      <c r="F68" s="98">
        <v>31575.62</v>
      </c>
      <c r="G68" s="39"/>
    </row>
    <row r="69" spans="1:7" ht="12.75" customHeight="1">
      <c r="A69" s="24"/>
      <c r="B69" s="34"/>
      <c r="C69" s="24"/>
      <c r="D69" s="24"/>
      <c r="E69" s="46" t="s">
        <v>47</v>
      </c>
      <c r="F69" s="98">
        <v>176745.8</v>
      </c>
      <c r="G69" s="39"/>
    </row>
    <row r="70" spans="1:7" ht="12.75" customHeight="1">
      <c r="A70" s="24"/>
      <c r="B70" s="34"/>
      <c r="C70" s="24"/>
      <c r="D70" s="24"/>
      <c r="E70" s="46" t="s">
        <v>198</v>
      </c>
      <c r="F70" s="98">
        <v>35000</v>
      </c>
      <c r="G70" s="39"/>
    </row>
    <row r="71" spans="1:7" ht="12.75" customHeight="1">
      <c r="A71" s="24"/>
      <c r="B71" s="34"/>
      <c r="C71" s="24"/>
      <c r="D71" s="24"/>
      <c r="E71" s="46" t="s">
        <v>56</v>
      </c>
      <c r="F71" s="98">
        <v>98624.84</v>
      </c>
      <c r="G71" s="39"/>
    </row>
    <row r="72" spans="1:7" ht="12.75" customHeight="1">
      <c r="A72" s="24"/>
      <c r="B72" s="34"/>
      <c r="C72" s="24"/>
      <c r="D72" s="24"/>
      <c r="E72" s="46" t="s">
        <v>103</v>
      </c>
      <c r="F72" s="98">
        <v>12105.78</v>
      </c>
      <c r="G72" s="39"/>
    </row>
    <row r="73" spans="1:7" ht="12.75" customHeight="1">
      <c r="A73" s="24"/>
      <c r="B73" s="34"/>
      <c r="C73" s="24"/>
      <c r="D73" s="24"/>
      <c r="E73" s="46" t="s">
        <v>132</v>
      </c>
      <c r="F73" s="99">
        <v>7625.53</v>
      </c>
      <c r="G73" s="39"/>
    </row>
    <row r="74" spans="1:7" ht="12.75" customHeight="1">
      <c r="A74" s="24"/>
      <c r="B74" s="34"/>
      <c r="C74" s="24"/>
      <c r="D74" s="24"/>
      <c r="E74" s="46" t="s">
        <v>58</v>
      </c>
      <c r="F74" s="98">
        <v>23019.77</v>
      </c>
      <c r="G74" s="39"/>
    </row>
    <row r="75" spans="1:7" s="1" customFormat="1" ht="12.75" customHeight="1">
      <c r="A75" s="69"/>
      <c r="B75" s="70"/>
      <c r="C75" s="90"/>
      <c r="D75" s="90"/>
      <c r="E75" s="71" t="s">
        <v>131</v>
      </c>
      <c r="F75" s="100">
        <v>441.39</v>
      </c>
      <c r="G75" s="72"/>
    </row>
    <row r="76" spans="1:7" ht="12.75" customHeight="1">
      <c r="A76" s="24"/>
      <c r="B76" s="34"/>
      <c r="C76" s="24"/>
      <c r="D76" s="24"/>
      <c r="E76" s="46" t="s">
        <v>77</v>
      </c>
      <c r="F76" s="98">
        <v>387005.85</v>
      </c>
      <c r="G76" s="39"/>
    </row>
    <row r="77" spans="1:7" ht="13.5" customHeight="1">
      <c r="A77" s="24"/>
      <c r="B77" s="34"/>
      <c r="C77" s="24"/>
      <c r="D77" s="24"/>
      <c r="E77" s="46" t="s">
        <v>75</v>
      </c>
      <c r="F77" s="98">
        <v>652694.02</v>
      </c>
      <c r="G77" s="39"/>
    </row>
    <row r="78" spans="1:7" ht="13.5" customHeight="1">
      <c r="A78" s="24"/>
      <c r="B78" s="34"/>
      <c r="C78" s="24"/>
      <c r="D78" s="24"/>
      <c r="E78" s="46" t="s">
        <v>174</v>
      </c>
      <c r="F78" s="98">
        <v>85668.64</v>
      </c>
      <c r="G78" s="39"/>
    </row>
    <row r="79" spans="1:7" ht="12.75" customHeight="1">
      <c r="A79" s="24"/>
      <c r="B79" s="34"/>
      <c r="C79" s="24"/>
      <c r="D79" s="24"/>
      <c r="E79" s="46" t="s">
        <v>76</v>
      </c>
      <c r="F79" s="98">
        <v>1400.64</v>
      </c>
      <c r="G79" s="39"/>
    </row>
    <row r="80" spans="1:7" ht="12.75" customHeight="1">
      <c r="A80" s="24"/>
      <c r="B80" s="34"/>
      <c r="C80" s="24"/>
      <c r="D80" s="24"/>
      <c r="E80" s="46" t="s">
        <v>199</v>
      </c>
      <c r="F80" s="98">
        <v>37060.17</v>
      </c>
      <c r="G80" s="39"/>
    </row>
    <row r="81" spans="1:7" ht="12.75" customHeight="1">
      <c r="A81" s="24"/>
      <c r="B81" s="34"/>
      <c r="C81" s="24"/>
      <c r="D81" s="24"/>
      <c r="E81" s="46" t="s">
        <v>200</v>
      </c>
      <c r="F81" s="98">
        <v>2092.66</v>
      </c>
      <c r="G81" s="39"/>
    </row>
    <row r="82" spans="1:7" ht="12.75" customHeight="1">
      <c r="A82" s="24"/>
      <c r="B82" s="34"/>
      <c r="C82" s="24"/>
      <c r="D82" s="24"/>
      <c r="E82" s="46" t="s">
        <v>157</v>
      </c>
      <c r="F82" s="100">
        <f>(241778.57+127438.93-4005.39)*47.42/100-405.18</f>
        <v>172778.402562</v>
      </c>
      <c r="G82" s="77"/>
    </row>
    <row r="83" spans="1:7" ht="12.75" customHeight="1">
      <c r="A83" s="24"/>
      <c r="B83" s="34"/>
      <c r="C83" s="24"/>
      <c r="D83" s="24"/>
      <c r="E83" s="46"/>
      <c r="F83" s="88"/>
      <c r="G83" s="88"/>
    </row>
    <row r="84" spans="1:7" ht="12.75" customHeight="1">
      <c r="A84" s="24"/>
      <c r="B84" s="34"/>
      <c r="C84" s="24" t="s">
        <v>20</v>
      </c>
      <c r="D84" s="24"/>
      <c r="E84" s="45"/>
      <c r="F84" s="94">
        <f>SUM(F85:F87)</f>
        <v>13495.399836</v>
      </c>
      <c r="G84" s="39"/>
    </row>
    <row r="85" spans="1:7" ht="12.75" customHeight="1">
      <c r="A85" s="24"/>
      <c r="B85" s="34"/>
      <c r="C85" s="24"/>
      <c r="D85" s="24"/>
      <c r="E85" s="45" t="s">
        <v>107</v>
      </c>
      <c r="F85" s="78">
        <v>0</v>
      </c>
      <c r="G85" s="39"/>
    </row>
    <row r="86" spans="1:7" ht="12.75" customHeight="1">
      <c r="A86" s="24"/>
      <c r="B86" s="34"/>
      <c r="C86" s="24"/>
      <c r="D86" s="24"/>
      <c r="E86" s="46" t="s">
        <v>78</v>
      </c>
      <c r="F86" s="98">
        <v>12193.92</v>
      </c>
      <c r="G86" s="39"/>
    </row>
    <row r="87" spans="1:7" ht="12.75" customHeight="1">
      <c r="A87" s="24"/>
      <c r="B87" s="34"/>
      <c r="C87" s="24"/>
      <c r="D87" s="24"/>
      <c r="E87" s="46" t="s">
        <v>156</v>
      </c>
      <c r="F87" s="100">
        <f>2744.58*47.42/100</f>
        <v>1301.479836</v>
      </c>
      <c r="G87" s="39"/>
    </row>
    <row r="88" spans="1:7" ht="12.75" customHeight="1">
      <c r="A88" s="24"/>
      <c r="B88" s="34"/>
      <c r="C88" s="24"/>
      <c r="D88" s="24"/>
      <c r="E88" s="46"/>
      <c r="F88" s="77"/>
      <c r="G88" s="39"/>
    </row>
    <row r="89" spans="1:7" ht="12.75" customHeight="1">
      <c r="A89" s="24"/>
      <c r="B89" s="34"/>
      <c r="C89" s="24" t="s">
        <v>21</v>
      </c>
      <c r="D89" s="24"/>
      <c r="E89" s="45"/>
      <c r="F89" s="95">
        <f>SUM(F90:F94)</f>
        <v>1225167.950742</v>
      </c>
      <c r="G89" s="39"/>
    </row>
    <row r="90" spans="1:7" ht="12.75" customHeight="1">
      <c r="A90" s="24"/>
      <c r="B90" s="34"/>
      <c r="D90" s="47" t="s">
        <v>22</v>
      </c>
      <c r="E90" s="48"/>
      <c r="F90" s="100">
        <f>(715839.95+14843.58+33546.98)+((146511.24+8163.97+17733.75+66364.61)*47.42/100)+19.87</f>
        <v>877476.8068939999</v>
      </c>
      <c r="G90" s="39"/>
    </row>
    <row r="91" spans="1:7" ht="12.75" customHeight="1">
      <c r="A91" s="24"/>
      <c r="B91" s="34"/>
      <c r="D91" s="47" t="s">
        <v>23</v>
      </c>
      <c r="E91" s="48"/>
      <c r="F91" s="98">
        <f>(224321.39+11846.39+3788.08+8559.51)+((33776.82+2815.43+2083.45+9646.31+15927.59)*47.42/100)</f>
        <v>278982.53032</v>
      </c>
      <c r="G91" s="39"/>
    </row>
    <row r="92" spans="1:7" ht="12.75" customHeight="1">
      <c r="A92" s="24"/>
      <c r="B92" s="34"/>
      <c r="D92" s="47" t="s">
        <v>24</v>
      </c>
      <c r="E92" s="48"/>
      <c r="F92" s="98">
        <f>57146.41+((17387.4+5419.44)*47.42/100)</f>
        <v>67961.413528</v>
      </c>
      <c r="G92" s="39"/>
    </row>
    <row r="93" spans="1:7" ht="12.75" customHeight="1">
      <c r="A93" s="24"/>
      <c r="B93" s="34"/>
      <c r="D93" s="47" t="s">
        <v>25</v>
      </c>
      <c r="E93" s="48"/>
      <c r="F93" s="98">
        <v>0</v>
      </c>
      <c r="G93" s="39"/>
    </row>
    <row r="94" spans="1:7" ht="12.75" customHeight="1">
      <c r="A94" s="24"/>
      <c r="B94" s="34"/>
      <c r="D94" s="47" t="s">
        <v>26</v>
      </c>
      <c r="E94" s="48"/>
      <c r="F94" s="98">
        <v>747.2</v>
      </c>
      <c r="G94" s="39"/>
    </row>
    <row r="95" spans="1:7" ht="12.75" customHeight="1">
      <c r="A95" s="24"/>
      <c r="B95" s="34"/>
      <c r="D95" s="47"/>
      <c r="E95" s="48"/>
      <c r="F95" s="77"/>
      <c r="G95" s="39"/>
    </row>
    <row r="96" spans="1:7" ht="12.75" customHeight="1">
      <c r="A96" s="24"/>
      <c r="B96" s="34"/>
      <c r="C96" s="24" t="s">
        <v>27</v>
      </c>
      <c r="D96" s="24"/>
      <c r="E96" s="45"/>
      <c r="F96" s="95">
        <f>SUM(F97:F101)</f>
        <v>122636.52992000002</v>
      </c>
      <c r="G96" s="39"/>
    </row>
    <row r="97" spans="1:7" ht="12.75" customHeight="1">
      <c r="A97" s="24"/>
      <c r="B97" s="34"/>
      <c r="C97" s="24"/>
      <c r="D97" s="47" t="s">
        <v>28</v>
      </c>
      <c r="E97" s="48"/>
      <c r="F97" s="100">
        <f>816+(7338.54*47.42/100)</f>
        <v>4295.935668</v>
      </c>
      <c r="G97" s="39"/>
    </row>
    <row r="98" spans="1:7" ht="12.75" customHeight="1">
      <c r="A98" s="24"/>
      <c r="B98" s="34"/>
      <c r="D98" s="47" t="s">
        <v>29</v>
      </c>
      <c r="E98" s="49"/>
      <c r="F98" s="98">
        <f>108166.57+(21449.06*47.42/100)+2.88</f>
        <v>118340.59425200001</v>
      </c>
      <c r="G98" s="39"/>
    </row>
    <row r="99" spans="1:7" ht="12.75" customHeight="1">
      <c r="A99" s="24"/>
      <c r="B99" s="34"/>
      <c r="D99" s="47" t="s">
        <v>31</v>
      </c>
      <c r="E99" s="48"/>
      <c r="F99" s="98">
        <v>0</v>
      </c>
      <c r="G99" s="39"/>
    </row>
    <row r="100" spans="1:7" ht="12.75" customHeight="1">
      <c r="A100" s="24"/>
      <c r="B100" s="34"/>
      <c r="D100" s="47" t="s">
        <v>32</v>
      </c>
      <c r="E100" s="48"/>
      <c r="F100" s="98"/>
      <c r="G100" s="39"/>
    </row>
    <row r="101" spans="1:7" ht="12.75" customHeight="1">
      <c r="A101" s="24"/>
      <c r="B101" s="34"/>
      <c r="D101" s="47"/>
      <c r="E101" s="49" t="s">
        <v>33</v>
      </c>
      <c r="F101" s="98">
        <v>0</v>
      </c>
      <c r="G101" s="39"/>
    </row>
    <row r="102" spans="1:7" ht="12.75" customHeight="1">
      <c r="A102" s="24"/>
      <c r="B102" s="34"/>
      <c r="D102" s="47"/>
      <c r="E102" s="49"/>
      <c r="F102" s="88"/>
      <c r="G102" s="39"/>
    </row>
    <row r="103" spans="1:7" ht="12.75" customHeight="1">
      <c r="A103" s="24"/>
      <c r="B103" s="34"/>
      <c r="C103" s="24" t="s">
        <v>34</v>
      </c>
      <c r="D103" s="24"/>
      <c r="E103" s="45"/>
      <c r="F103" s="74"/>
      <c r="G103" s="39"/>
    </row>
    <row r="104" spans="1:7" ht="12.75" customHeight="1">
      <c r="A104" s="24"/>
      <c r="B104" s="34"/>
      <c r="D104" s="24"/>
      <c r="E104" s="50" t="s">
        <v>35</v>
      </c>
      <c r="F104" s="96">
        <v>0</v>
      </c>
      <c r="G104" s="39"/>
    </row>
    <row r="105" spans="1:7" ht="12.75" customHeight="1">
      <c r="A105" s="24"/>
      <c r="B105" s="34"/>
      <c r="D105" s="24"/>
      <c r="E105" s="50"/>
      <c r="F105" s="74"/>
      <c r="G105" s="39"/>
    </row>
    <row r="106" spans="1:7" ht="12.75" customHeight="1">
      <c r="A106" s="24"/>
      <c r="B106" s="34"/>
      <c r="C106" s="24" t="s">
        <v>36</v>
      </c>
      <c r="D106" s="24"/>
      <c r="E106" s="45"/>
      <c r="F106" s="96">
        <v>0</v>
      </c>
      <c r="G106" s="39"/>
    </row>
    <row r="107" spans="1:7" ht="12.75" customHeight="1">
      <c r="A107" s="24"/>
      <c r="B107" s="34"/>
      <c r="C107" s="24"/>
      <c r="D107" s="24"/>
      <c r="E107" s="45"/>
      <c r="F107" s="74"/>
      <c r="G107" s="39"/>
    </row>
    <row r="108" spans="1:7" ht="12.75" customHeight="1">
      <c r="A108" s="24"/>
      <c r="B108" s="34"/>
      <c r="C108" s="24" t="s">
        <v>37</v>
      </c>
      <c r="D108" s="24"/>
      <c r="E108" s="45"/>
      <c r="F108" s="96">
        <v>0</v>
      </c>
      <c r="G108" s="39"/>
    </row>
    <row r="109" spans="1:7" ht="12.75" customHeight="1">
      <c r="A109" s="24"/>
      <c r="B109" s="34"/>
      <c r="C109" s="24"/>
      <c r="D109" s="24"/>
      <c r="E109" s="45"/>
      <c r="F109" s="74"/>
      <c r="G109" s="39"/>
    </row>
    <row r="110" spans="1:7" ht="12.75" customHeight="1">
      <c r="A110" s="24"/>
      <c r="B110" s="34"/>
      <c r="C110" s="24" t="s">
        <v>38</v>
      </c>
      <c r="D110" s="24"/>
      <c r="E110" s="45"/>
      <c r="F110" s="96">
        <f>SUM(F111:F117)</f>
        <v>43879.884606</v>
      </c>
      <c r="G110" s="39"/>
    </row>
    <row r="111" spans="1:7" ht="12.75" customHeight="1">
      <c r="A111" s="24"/>
      <c r="B111" s="34"/>
      <c r="C111" s="24"/>
      <c r="D111" s="24"/>
      <c r="E111" s="45" t="s">
        <v>108</v>
      </c>
      <c r="F111" s="80">
        <v>2512.72</v>
      </c>
      <c r="G111" s="39"/>
    </row>
    <row r="112" spans="1:7" ht="12.75" customHeight="1">
      <c r="A112" s="24"/>
      <c r="B112" s="34"/>
      <c r="C112" s="24"/>
      <c r="D112" s="24"/>
      <c r="E112" s="51" t="s">
        <v>201</v>
      </c>
      <c r="F112" s="80">
        <v>7732.77</v>
      </c>
      <c r="G112" s="39"/>
    </row>
    <row r="113" spans="1:7" ht="12.75" customHeight="1">
      <c r="A113" s="24"/>
      <c r="B113" s="34"/>
      <c r="C113" s="24"/>
      <c r="D113" s="24"/>
      <c r="E113" s="46" t="s">
        <v>202</v>
      </c>
      <c r="F113" s="80">
        <v>22486.28</v>
      </c>
      <c r="G113" s="39"/>
    </row>
    <row r="114" spans="1:7" ht="12.75" customHeight="1">
      <c r="A114" s="24"/>
      <c r="B114" s="34"/>
      <c r="C114" s="24"/>
      <c r="D114" s="24"/>
      <c r="E114" s="46" t="s">
        <v>57</v>
      </c>
      <c r="F114" s="80">
        <v>1309.58</v>
      </c>
      <c r="G114" s="39"/>
    </row>
    <row r="115" spans="1:7" ht="13.5" customHeight="1">
      <c r="A115" s="24"/>
      <c r="B115" s="34"/>
      <c r="C115" s="24"/>
      <c r="D115" s="24"/>
      <c r="E115" s="46" t="s">
        <v>175</v>
      </c>
      <c r="F115" s="98">
        <v>350.36</v>
      </c>
      <c r="G115" s="39"/>
    </row>
    <row r="116" spans="1:7" ht="12.75" customHeight="1">
      <c r="A116" s="24"/>
      <c r="B116" s="34"/>
      <c r="C116" s="24"/>
      <c r="D116" s="24" t="s">
        <v>0</v>
      </c>
      <c r="E116" s="46" t="s">
        <v>110</v>
      </c>
      <c r="F116" s="98">
        <v>1351.41</v>
      </c>
      <c r="G116" s="39"/>
    </row>
    <row r="117" spans="1:7" ht="12.75" customHeight="1">
      <c r="A117" s="24"/>
      <c r="B117" s="34"/>
      <c r="C117" s="24"/>
      <c r="D117" s="24"/>
      <c r="E117" s="46" t="s">
        <v>157</v>
      </c>
      <c r="F117" s="115">
        <f>17158.93*47.42/100</f>
        <v>8136.764606</v>
      </c>
      <c r="G117" s="111"/>
    </row>
    <row r="118" spans="1:7" ht="12.75" customHeight="1">
      <c r="A118" s="24"/>
      <c r="B118" s="34"/>
      <c r="C118" s="24"/>
      <c r="D118" s="24"/>
      <c r="E118" s="50"/>
      <c r="F118" s="74" t="s">
        <v>0</v>
      </c>
      <c r="G118" s="39"/>
    </row>
    <row r="119" spans="1:9" ht="15" customHeight="1">
      <c r="A119" s="52"/>
      <c r="B119" s="37" t="s">
        <v>39</v>
      </c>
      <c r="C119" s="53"/>
      <c r="D119" s="53"/>
      <c r="E119" s="46"/>
      <c r="F119" s="74" t="s">
        <v>0</v>
      </c>
      <c r="G119" s="97">
        <f>SUM(G19:G117)</f>
        <v>-179961.56473999983</v>
      </c>
      <c r="I119" s="112"/>
    </row>
    <row r="120" spans="1:7" ht="12.75" customHeight="1">
      <c r="A120" s="24"/>
      <c r="B120" s="54" t="s">
        <v>40</v>
      </c>
      <c r="C120" s="24"/>
      <c r="D120" s="24"/>
      <c r="E120" s="50"/>
      <c r="F120" s="74" t="s">
        <v>0</v>
      </c>
      <c r="G120" s="55"/>
    </row>
    <row r="121" spans="2:7" ht="12" customHeight="1">
      <c r="B121" s="56"/>
      <c r="E121" s="45"/>
      <c r="F121" s="74" t="s">
        <v>0</v>
      </c>
      <c r="G121" s="55"/>
    </row>
    <row r="122" spans="2:7" ht="15" customHeight="1">
      <c r="B122" s="37" t="s">
        <v>65</v>
      </c>
      <c r="C122" s="42"/>
      <c r="D122" s="42"/>
      <c r="E122" s="57"/>
      <c r="F122" s="75"/>
      <c r="G122" s="97">
        <f>SUM(F124:F126)</f>
        <v>92320.69554599999</v>
      </c>
    </row>
    <row r="123" spans="2:7" ht="12">
      <c r="B123" s="56"/>
      <c r="E123" s="45"/>
      <c r="F123" s="74"/>
      <c r="G123" s="55"/>
    </row>
    <row r="124" spans="2:7" ht="15">
      <c r="B124" s="34"/>
      <c r="C124" s="24" t="s">
        <v>62</v>
      </c>
      <c r="D124" s="24"/>
      <c r="E124" s="45"/>
      <c r="F124" s="94">
        <f>(212506*47.42/100)+21.25</f>
        <v>100791.5952</v>
      </c>
      <c r="G124" s="55"/>
    </row>
    <row r="125" spans="2:7" ht="15">
      <c r="B125" s="56"/>
      <c r="C125" s="24" t="s">
        <v>63</v>
      </c>
      <c r="E125" s="45"/>
      <c r="F125" s="116">
        <f>233.92+(9934.2*47.42/100)+0.99</f>
        <v>4945.7076400000005</v>
      </c>
      <c r="G125" s="55"/>
    </row>
    <row r="126" spans="2:7" ht="15">
      <c r="B126" s="56"/>
      <c r="C126" s="24" t="s">
        <v>64</v>
      </c>
      <c r="E126" s="45"/>
      <c r="F126" s="96">
        <f>-45.39+((-23230.18-4005.39)*47.42/100)-456.11</f>
        <v>-13416.607294000001</v>
      </c>
      <c r="G126" s="55"/>
    </row>
    <row r="127" spans="2:7" ht="12">
      <c r="B127" s="56"/>
      <c r="E127" s="45"/>
      <c r="F127" s="74"/>
      <c r="G127" s="55"/>
    </row>
    <row r="128" spans="2:7" ht="12">
      <c r="B128" s="37" t="s">
        <v>66</v>
      </c>
      <c r="C128" s="42"/>
      <c r="D128" s="42"/>
      <c r="E128" s="57"/>
      <c r="F128" s="75">
        <v>0</v>
      </c>
      <c r="G128" s="58">
        <v>0</v>
      </c>
    </row>
    <row r="129" spans="2:7" ht="12">
      <c r="B129" s="56"/>
      <c r="E129" s="45"/>
      <c r="F129" s="74"/>
      <c r="G129" s="55"/>
    </row>
    <row r="130" spans="2:7" ht="15.75">
      <c r="B130" s="37" t="s">
        <v>61</v>
      </c>
      <c r="C130" s="42"/>
      <c r="D130" s="42"/>
      <c r="E130" s="57"/>
      <c r="F130" s="75"/>
      <c r="G130" s="97">
        <f>F132-F134</f>
        <v>3549.9296719999998</v>
      </c>
    </row>
    <row r="131" spans="2:7" ht="12">
      <c r="B131" s="56"/>
      <c r="E131" s="45"/>
      <c r="F131" s="74"/>
      <c r="G131" s="55"/>
    </row>
    <row r="132" spans="2:7" ht="14.25">
      <c r="B132" s="56"/>
      <c r="C132" s="24" t="s">
        <v>67</v>
      </c>
      <c r="E132" s="45"/>
      <c r="F132" s="101">
        <f>SUM(F133:F133)</f>
        <v>6282.341194</v>
      </c>
      <c r="G132" s="55"/>
    </row>
    <row r="133" spans="2:7" ht="12">
      <c r="B133" s="56"/>
      <c r="C133" s="24"/>
      <c r="D133" s="121" t="s">
        <v>194</v>
      </c>
      <c r="E133" s="122"/>
      <c r="F133" s="74">
        <f>2.58+(13240.07*47.42/100)+1.32</f>
        <v>6282.341194</v>
      </c>
      <c r="G133" s="55"/>
    </row>
    <row r="134" spans="2:7" ht="14.25">
      <c r="B134" s="56"/>
      <c r="C134" s="24" t="s">
        <v>68</v>
      </c>
      <c r="E134" s="45"/>
      <c r="F134" s="101">
        <f>28.47+(5700.91*47.42/100)+0.57</f>
        <v>2732.411522</v>
      </c>
      <c r="G134" s="55"/>
    </row>
    <row r="135" spans="2:7" ht="12">
      <c r="B135" s="56"/>
      <c r="E135" s="45"/>
      <c r="F135" s="74"/>
      <c r="G135" s="55"/>
    </row>
    <row r="136" spans="2:7" ht="15.75">
      <c r="B136" s="59" t="s">
        <v>69</v>
      </c>
      <c r="C136" s="43"/>
      <c r="D136" s="43"/>
      <c r="E136" s="57"/>
      <c r="F136" s="101">
        <f>103092*47.42/100-10.13</f>
        <v>48876.09640000001</v>
      </c>
      <c r="G136" s="97">
        <f>F136</f>
        <v>48876.09640000001</v>
      </c>
    </row>
    <row r="137" spans="2:7" ht="12">
      <c r="B137" s="56"/>
      <c r="E137" s="45"/>
      <c r="F137" s="74"/>
      <c r="G137" s="55"/>
    </row>
    <row r="138" spans="2:9" ht="15.75">
      <c r="B138" s="37"/>
      <c r="E138" s="60" t="s">
        <v>70</v>
      </c>
      <c r="F138" s="74"/>
      <c r="G138" s="102">
        <f>G119+G122+G128+G130-G136+0.01</f>
        <v>-132967.02592199983</v>
      </c>
      <c r="I138" s="112"/>
    </row>
    <row r="139" spans="2:7" ht="12">
      <c r="B139" s="61"/>
      <c r="C139" s="62"/>
      <c r="D139" s="62"/>
      <c r="E139" s="63"/>
      <c r="F139" s="64"/>
      <c r="G139" s="65"/>
    </row>
  </sheetData>
  <mergeCells count="5">
    <mergeCell ref="D133:E133"/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7" r:id="rId1"/>
  <rowBreaks count="2" manualBreakCount="2">
    <brk id="47" max="7" man="1"/>
    <brk id="10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58">
      <selection activeCell="G96" sqref="G96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18.37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85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2.7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4.25" customHeight="1">
      <c r="A19" s="24"/>
      <c r="B19" s="37" t="s">
        <v>5</v>
      </c>
      <c r="C19" s="24"/>
      <c r="D19" s="24"/>
      <c r="F19" s="81"/>
      <c r="G19" s="92">
        <f>F20+F23+F24+F25+F27</f>
        <v>16801.637492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SUM(F21:F21)</f>
        <v>14288.67</v>
      </c>
      <c r="G20" s="82"/>
    </row>
    <row r="21" spans="1:7" ht="12.75" customHeight="1">
      <c r="A21" s="24"/>
      <c r="B21" s="34"/>
      <c r="C21" s="24"/>
      <c r="D21" s="24" t="s">
        <v>30</v>
      </c>
      <c r="E21" s="25" t="s">
        <v>92</v>
      </c>
      <c r="F21" s="89">
        <v>14288.67</v>
      </c>
      <c r="G21" s="82"/>
    </row>
    <row r="22" spans="1:7" ht="12.75" customHeight="1">
      <c r="A22" s="24"/>
      <c r="B22" s="34"/>
      <c r="C22" s="24" t="s">
        <v>8</v>
      </c>
      <c r="D22" s="24" t="s">
        <v>9</v>
      </c>
      <c r="F22" s="74"/>
      <c r="G22" s="82"/>
    </row>
    <row r="23" spans="1:7" ht="12.75" customHeight="1">
      <c r="A23" s="24"/>
      <c r="B23" s="34"/>
      <c r="C23" s="24"/>
      <c r="D23" s="24" t="s">
        <v>10</v>
      </c>
      <c r="F23" s="101">
        <v>0</v>
      </c>
      <c r="G23" s="82"/>
    </row>
    <row r="24" spans="1:7" ht="12.75" customHeight="1">
      <c r="A24" s="24"/>
      <c r="B24" s="34"/>
      <c r="C24" s="24" t="s">
        <v>11</v>
      </c>
      <c r="D24" s="24" t="s">
        <v>12</v>
      </c>
      <c r="F24" s="101">
        <v>0</v>
      </c>
      <c r="G24" s="82"/>
    </row>
    <row r="25" spans="1:7" ht="12.75" customHeight="1">
      <c r="A25" s="24"/>
      <c r="B25" s="34"/>
      <c r="C25" s="24" t="s">
        <v>13</v>
      </c>
      <c r="D25" s="24"/>
      <c r="F25" s="101">
        <v>0</v>
      </c>
      <c r="G25" s="82"/>
    </row>
    <row r="26" spans="1:7" ht="12.75" customHeight="1">
      <c r="A26" s="24"/>
      <c r="B26" s="34"/>
      <c r="C26" s="24" t="s">
        <v>14</v>
      </c>
      <c r="D26" s="24"/>
      <c r="F26" s="101" t="s">
        <v>0</v>
      </c>
      <c r="G26" s="83"/>
    </row>
    <row r="27" spans="1:7" ht="12.75" customHeight="1">
      <c r="A27" s="24"/>
      <c r="B27" s="34"/>
      <c r="C27" s="24"/>
      <c r="D27" s="24" t="s">
        <v>15</v>
      </c>
      <c r="F27" s="93">
        <f>SUM(F28:F30)</f>
        <v>2512.9674919999998</v>
      </c>
      <c r="G27" s="83"/>
    </row>
    <row r="28" spans="1:7" ht="12.75" customHeight="1">
      <c r="A28" s="24"/>
      <c r="B28" s="34"/>
      <c r="C28" s="24"/>
      <c r="D28" s="40" t="s">
        <v>30</v>
      </c>
      <c r="E28" s="25" t="s">
        <v>187</v>
      </c>
      <c r="F28" s="89">
        <v>0</v>
      </c>
      <c r="G28" s="83"/>
    </row>
    <row r="29" spans="1:7" ht="12.75" customHeight="1">
      <c r="A29" s="24"/>
      <c r="B29" s="34"/>
      <c r="C29" s="24"/>
      <c r="D29" s="40" t="s">
        <v>30</v>
      </c>
      <c r="E29" s="25" t="s">
        <v>53</v>
      </c>
      <c r="F29" s="89">
        <f>44.44+2150</f>
        <v>2194.44</v>
      </c>
      <c r="G29" s="83"/>
    </row>
    <row r="30" spans="1:7" ht="12.75" customHeight="1">
      <c r="A30" s="24"/>
      <c r="B30" s="34"/>
      <c r="C30" s="24"/>
      <c r="D30" s="40" t="s">
        <v>30</v>
      </c>
      <c r="E30" s="25" t="s">
        <v>155</v>
      </c>
      <c r="F30" s="74">
        <f>265447.91*0.12/100-0.01</f>
        <v>318.52749199999994</v>
      </c>
      <c r="G30" s="84"/>
    </row>
    <row r="31" spans="1:7" ht="12.75" customHeight="1">
      <c r="A31" s="24"/>
      <c r="B31" s="34"/>
      <c r="C31" s="24"/>
      <c r="D31" s="24"/>
      <c r="E31" s="24"/>
      <c r="F31" s="74"/>
      <c r="G31" s="83"/>
    </row>
    <row r="32" spans="1:7" s="44" customFormat="1" ht="15" customHeight="1">
      <c r="A32" s="42"/>
      <c r="B32" s="37" t="s">
        <v>16</v>
      </c>
      <c r="C32" s="42"/>
      <c r="D32" s="42"/>
      <c r="E32" s="43"/>
      <c r="F32" s="75"/>
      <c r="G32" s="92">
        <f>-(F34+F40+F49+F52+F59+F66+F68+F70+F72)</f>
        <v>-19887.409131999997</v>
      </c>
    </row>
    <row r="33" spans="1:7" ht="12.75" customHeight="1">
      <c r="A33" s="24"/>
      <c r="B33" s="34"/>
      <c r="C33" s="24" t="s">
        <v>17</v>
      </c>
      <c r="D33" s="24"/>
      <c r="F33" s="74" t="s">
        <v>0</v>
      </c>
      <c r="G33" s="83"/>
    </row>
    <row r="34" spans="1:7" ht="12.75" customHeight="1">
      <c r="A34" s="24"/>
      <c r="B34" s="34"/>
      <c r="D34" s="24" t="s">
        <v>18</v>
      </c>
      <c r="E34" s="45"/>
      <c r="F34" s="91">
        <f>SUM(F35:F38)</f>
        <v>5905.829255999999</v>
      </c>
      <c r="G34" s="83"/>
    </row>
    <row r="35" spans="1:7" ht="12.75" customHeight="1">
      <c r="A35" s="24"/>
      <c r="B35" s="34"/>
      <c r="D35" s="24"/>
      <c r="E35" s="45" t="s">
        <v>188</v>
      </c>
      <c r="F35" s="76">
        <v>9</v>
      </c>
      <c r="G35" s="83"/>
    </row>
    <row r="36" spans="1:7" ht="12.75" customHeight="1">
      <c r="A36" s="24"/>
      <c r="B36" s="34"/>
      <c r="D36" s="24"/>
      <c r="E36" s="45" t="s">
        <v>145</v>
      </c>
      <c r="F36" s="76">
        <v>38.33</v>
      </c>
      <c r="G36" s="83"/>
    </row>
    <row r="37" spans="1:7" ht="12.75" customHeight="1">
      <c r="A37" s="24"/>
      <c r="B37" s="34"/>
      <c r="C37" s="24"/>
      <c r="D37" s="24"/>
      <c r="E37" s="46" t="s">
        <v>59</v>
      </c>
      <c r="F37" s="98">
        <v>5844.94</v>
      </c>
      <c r="G37" s="83"/>
    </row>
    <row r="38" spans="1:7" ht="12.75" customHeight="1">
      <c r="A38" s="24"/>
      <c r="B38" s="34"/>
      <c r="D38" s="24"/>
      <c r="E38" s="45" t="s">
        <v>156</v>
      </c>
      <c r="F38" s="74">
        <f>11299.38*0.12/100</f>
        <v>13.559255999999998</v>
      </c>
      <c r="G38" s="83"/>
    </row>
    <row r="39" spans="1:7" ht="12.75" customHeight="1">
      <c r="A39" s="24"/>
      <c r="B39" s="34"/>
      <c r="D39" s="24"/>
      <c r="E39" s="45"/>
      <c r="F39" s="80"/>
      <c r="G39" s="83"/>
    </row>
    <row r="40" spans="1:7" ht="12.75" customHeight="1">
      <c r="A40" s="24"/>
      <c r="B40" s="34"/>
      <c r="C40" s="24" t="s">
        <v>19</v>
      </c>
      <c r="D40" s="24"/>
      <c r="E40" s="45"/>
      <c r="F40" s="91">
        <f>SUM(F41:F47)</f>
        <v>13306.884532</v>
      </c>
      <c r="G40" s="83"/>
    </row>
    <row r="41" spans="1:7" ht="12.75" customHeight="1">
      <c r="A41" s="24"/>
      <c r="B41" s="34"/>
      <c r="C41" s="24"/>
      <c r="D41" s="24"/>
      <c r="E41" s="46" t="s">
        <v>223</v>
      </c>
      <c r="F41" s="76">
        <f>1454.22+60.35</f>
        <v>1514.57</v>
      </c>
      <c r="G41" s="83"/>
    </row>
    <row r="42" spans="1:7" ht="12.75" customHeight="1">
      <c r="A42" s="24"/>
      <c r="B42" s="34"/>
      <c r="C42" s="24"/>
      <c r="D42" s="24"/>
      <c r="E42" s="46" t="s">
        <v>113</v>
      </c>
      <c r="F42" s="98">
        <v>6690.03</v>
      </c>
      <c r="G42" s="83"/>
    </row>
    <row r="43" spans="1:7" ht="12.75" customHeight="1">
      <c r="A43" s="24"/>
      <c r="B43" s="34"/>
      <c r="C43" s="24"/>
      <c r="D43" s="24"/>
      <c r="E43" s="46" t="s">
        <v>123</v>
      </c>
      <c r="F43" s="98">
        <v>814.89</v>
      </c>
      <c r="G43" s="83"/>
    </row>
    <row r="44" spans="1:7" ht="12.75" customHeight="1">
      <c r="A44" s="24"/>
      <c r="B44" s="34"/>
      <c r="C44" s="24"/>
      <c r="D44" s="24"/>
      <c r="E44" s="46" t="s">
        <v>105</v>
      </c>
      <c r="F44" s="98">
        <v>644.52</v>
      </c>
      <c r="G44" s="83"/>
    </row>
    <row r="45" spans="1:7" ht="12.75" customHeight="1">
      <c r="A45" s="24"/>
      <c r="B45" s="34"/>
      <c r="C45" s="24"/>
      <c r="D45" s="24"/>
      <c r="E45" s="46" t="s">
        <v>106</v>
      </c>
      <c r="F45" s="98">
        <v>1932.09</v>
      </c>
      <c r="G45" s="83"/>
    </row>
    <row r="46" spans="1:7" ht="12.75" customHeight="1">
      <c r="A46" s="24"/>
      <c r="B46" s="34"/>
      <c r="C46" s="24"/>
      <c r="D46" s="24"/>
      <c r="E46" s="46" t="s">
        <v>60</v>
      </c>
      <c r="F46" s="98">
        <f>1271+1</f>
        <v>1272</v>
      </c>
      <c r="G46" s="83"/>
    </row>
    <row r="47" spans="1:7" ht="12.75" customHeight="1">
      <c r="A47" s="24"/>
      <c r="B47" s="34"/>
      <c r="C47" s="24"/>
      <c r="D47" s="24"/>
      <c r="E47" s="46" t="s">
        <v>157</v>
      </c>
      <c r="F47" s="100">
        <f>(241778.57+127438.93-4005.39)*0.12/100+0.53</f>
        <v>438.78453199999996</v>
      </c>
      <c r="G47" s="83"/>
    </row>
    <row r="48" spans="1:7" ht="12.75" customHeight="1">
      <c r="A48" s="24"/>
      <c r="B48" s="34"/>
      <c r="C48" s="24"/>
      <c r="D48" s="24"/>
      <c r="E48" s="46"/>
      <c r="F48" s="80"/>
      <c r="G48" s="83"/>
    </row>
    <row r="49" spans="1:7" ht="12.75" customHeight="1">
      <c r="A49" s="24"/>
      <c r="B49" s="34"/>
      <c r="C49" s="24" t="s">
        <v>20</v>
      </c>
      <c r="D49" s="24"/>
      <c r="E49" s="45"/>
      <c r="F49" s="93">
        <f>SUM(F50)</f>
        <v>3.2934959999999993</v>
      </c>
      <c r="G49" s="83"/>
    </row>
    <row r="50" spans="1:7" ht="12.75" customHeight="1">
      <c r="A50" s="24"/>
      <c r="B50" s="34"/>
      <c r="C50" s="24"/>
      <c r="D50" s="24"/>
      <c r="E50" s="45" t="s">
        <v>156</v>
      </c>
      <c r="F50" s="98">
        <f>2744.58*0.12/100</f>
        <v>3.2934959999999993</v>
      </c>
      <c r="G50" s="83"/>
    </row>
    <row r="51" spans="1:7" ht="12.75" customHeight="1">
      <c r="A51" s="24"/>
      <c r="B51" s="34"/>
      <c r="C51" s="24"/>
      <c r="D51" s="24"/>
      <c r="E51" s="45"/>
      <c r="F51" s="78"/>
      <c r="G51" s="83"/>
    </row>
    <row r="52" spans="1:7" ht="12.75" customHeight="1">
      <c r="A52" s="24"/>
      <c r="B52" s="34"/>
      <c r="C52" s="24" t="s">
        <v>21</v>
      </c>
      <c r="D52" s="24"/>
      <c r="E52" s="45"/>
      <c r="F52" s="91">
        <f>SUM(F53:F57)</f>
        <v>390.99601199999995</v>
      </c>
      <c r="G52" s="83"/>
    </row>
    <row r="53" spans="1:7" ht="12.75" customHeight="1">
      <c r="A53" s="24"/>
      <c r="B53" s="34"/>
      <c r="D53" s="47" t="s">
        <v>22</v>
      </c>
      <c r="E53" s="48"/>
      <c r="F53" s="98">
        <f>(146511.24+8163.97+17733.75+66364.61)*0.12/100</f>
        <v>286.528284</v>
      </c>
      <c r="G53" s="83"/>
    </row>
    <row r="54" spans="1:7" ht="12.75" customHeight="1">
      <c r="A54" s="24"/>
      <c r="B54" s="34"/>
      <c r="D54" s="47" t="s">
        <v>23</v>
      </c>
      <c r="E54" s="48"/>
      <c r="F54" s="98">
        <f>(33776.82+2815.43+2083.45+9646.31+15927.59)*0.12/100</f>
        <v>77.09951999999998</v>
      </c>
      <c r="G54" s="83"/>
    </row>
    <row r="55" spans="1:7" ht="12.75" customHeight="1">
      <c r="A55" s="24"/>
      <c r="B55" s="34"/>
      <c r="D55" s="47" t="s">
        <v>24</v>
      </c>
      <c r="E55" s="48"/>
      <c r="F55" s="98">
        <f>(17387.4+5419.44)*0.12/100</f>
        <v>27.368208</v>
      </c>
      <c r="G55" s="83"/>
    </row>
    <row r="56" spans="1:7" ht="12.75" customHeight="1">
      <c r="A56" s="24"/>
      <c r="B56" s="34"/>
      <c r="D56" s="47" t="s">
        <v>25</v>
      </c>
      <c r="E56" s="48"/>
      <c r="F56" s="98">
        <v>0</v>
      </c>
      <c r="G56" s="83"/>
    </row>
    <row r="57" spans="1:7" ht="12.75" customHeight="1">
      <c r="A57" s="24"/>
      <c r="B57" s="34"/>
      <c r="D57" s="47" t="s">
        <v>111</v>
      </c>
      <c r="E57" s="48"/>
      <c r="F57" s="98">
        <v>0</v>
      </c>
      <c r="G57" s="83"/>
    </row>
    <row r="58" spans="1:7" ht="12.75" customHeight="1">
      <c r="A58" s="24"/>
      <c r="B58" s="34"/>
      <c r="D58" s="47"/>
      <c r="E58" s="48"/>
      <c r="F58" s="77"/>
      <c r="G58" s="83"/>
    </row>
    <row r="59" spans="1:7" ht="12.75" customHeight="1">
      <c r="A59" s="24"/>
      <c r="B59" s="34"/>
      <c r="C59" s="24" t="s">
        <v>27</v>
      </c>
      <c r="D59" s="24"/>
      <c r="E59" s="45"/>
      <c r="F59" s="91">
        <f>SUM(F60:F64)</f>
        <v>34.54512</v>
      </c>
      <c r="G59" s="83"/>
    </row>
    <row r="60" spans="1:7" ht="12.75" customHeight="1">
      <c r="A60" s="24"/>
      <c r="B60" s="34"/>
      <c r="C60" s="24"/>
      <c r="D60" s="47" t="s">
        <v>28</v>
      </c>
      <c r="E60" s="48"/>
      <c r="F60" s="98">
        <f>7338.54*0.12/100</f>
        <v>8.806248</v>
      </c>
      <c r="G60" s="83"/>
    </row>
    <row r="61" spans="1:7" ht="12.75" customHeight="1">
      <c r="A61" s="24"/>
      <c r="B61" s="34"/>
      <c r="D61" s="47" t="s">
        <v>29</v>
      </c>
      <c r="E61" s="49"/>
      <c r="F61" s="98">
        <f>21449.06*0.12/100</f>
        <v>25.738872</v>
      </c>
      <c r="G61" s="83"/>
    </row>
    <row r="62" spans="1:7" ht="12.75" customHeight="1">
      <c r="A62" s="24"/>
      <c r="B62" s="34"/>
      <c r="D62" s="47" t="s">
        <v>31</v>
      </c>
      <c r="E62" s="48"/>
      <c r="F62" s="98">
        <v>0</v>
      </c>
      <c r="G62" s="83"/>
    </row>
    <row r="63" spans="1:7" ht="12.75" customHeight="1">
      <c r="A63" s="24"/>
      <c r="B63" s="34"/>
      <c r="D63" s="47" t="s">
        <v>32</v>
      </c>
      <c r="E63" s="48"/>
      <c r="F63" s="98"/>
      <c r="G63" s="83"/>
    </row>
    <row r="64" spans="1:7" ht="12.75" customHeight="1">
      <c r="A64" s="24"/>
      <c r="B64" s="34"/>
      <c r="D64" s="47"/>
      <c r="E64" s="49" t="s">
        <v>33</v>
      </c>
      <c r="F64" s="98">
        <v>0</v>
      </c>
      <c r="G64" s="83"/>
    </row>
    <row r="65" spans="1:7" ht="12.75" customHeight="1">
      <c r="A65" s="24"/>
      <c r="B65" s="34"/>
      <c r="C65" s="24" t="s">
        <v>34</v>
      </c>
      <c r="D65" s="24"/>
      <c r="E65" s="45"/>
      <c r="F65" s="74"/>
      <c r="G65" s="83"/>
    </row>
    <row r="66" spans="1:7" ht="12.75" customHeight="1">
      <c r="A66" s="24"/>
      <c r="B66" s="34"/>
      <c r="D66" s="24"/>
      <c r="E66" s="50" t="s">
        <v>35</v>
      </c>
      <c r="F66" s="101">
        <v>0</v>
      </c>
      <c r="G66" s="83"/>
    </row>
    <row r="67" spans="1:7" ht="12.75" customHeight="1">
      <c r="A67" s="24"/>
      <c r="B67" s="34"/>
      <c r="D67" s="24"/>
      <c r="E67" s="50"/>
      <c r="F67" s="101"/>
      <c r="G67" s="83"/>
    </row>
    <row r="68" spans="1:7" ht="12.75" customHeight="1">
      <c r="A68" s="24"/>
      <c r="B68" s="34"/>
      <c r="C68" s="24" t="s">
        <v>36</v>
      </c>
      <c r="D68" s="24"/>
      <c r="E68" s="45"/>
      <c r="F68" s="101">
        <v>0</v>
      </c>
      <c r="G68" s="83"/>
    </row>
    <row r="69" spans="1:7" ht="12.75" customHeight="1">
      <c r="A69" s="24"/>
      <c r="B69" s="34"/>
      <c r="C69" s="24"/>
      <c r="D69" s="24"/>
      <c r="E69" s="45"/>
      <c r="F69" s="74"/>
      <c r="G69" s="83"/>
    </row>
    <row r="70" spans="1:7" ht="12.75" customHeight="1">
      <c r="A70" s="24"/>
      <c r="B70" s="34"/>
      <c r="C70" s="24" t="s">
        <v>37</v>
      </c>
      <c r="D70" s="24"/>
      <c r="E70" s="45"/>
      <c r="F70" s="101">
        <v>0</v>
      </c>
      <c r="G70" s="83"/>
    </row>
    <row r="71" spans="1:7" ht="12.75" customHeight="1">
      <c r="A71" s="24"/>
      <c r="B71" s="34"/>
      <c r="C71" s="24"/>
      <c r="D71" s="24"/>
      <c r="E71" s="45"/>
      <c r="F71" s="101"/>
      <c r="G71" s="83"/>
    </row>
    <row r="72" spans="1:7" ht="12.75" customHeight="1">
      <c r="A72" s="24"/>
      <c r="B72" s="34"/>
      <c r="C72" s="24" t="s">
        <v>38</v>
      </c>
      <c r="D72" s="24"/>
      <c r="E72" s="45"/>
      <c r="F72" s="101">
        <f>SUM(F73:F75)</f>
        <v>245.860716</v>
      </c>
      <c r="G72" s="83"/>
    </row>
    <row r="73" spans="1:7" ht="12.75" customHeight="1">
      <c r="A73" s="24"/>
      <c r="B73" s="34"/>
      <c r="C73" s="24"/>
      <c r="D73" s="24"/>
      <c r="E73" s="45" t="s">
        <v>108</v>
      </c>
      <c r="F73" s="80">
        <v>34.87</v>
      </c>
      <c r="G73" s="83"/>
    </row>
    <row r="74" spans="1:7" ht="12.75" customHeight="1">
      <c r="A74" s="24"/>
      <c r="B74" s="34"/>
      <c r="C74" s="24"/>
      <c r="D74" s="24"/>
      <c r="E74" s="45" t="s">
        <v>147</v>
      </c>
      <c r="F74" s="80">
        <v>190.4</v>
      </c>
      <c r="G74" s="83"/>
    </row>
    <row r="75" spans="1:7" ht="12.75" customHeight="1">
      <c r="A75" s="24"/>
      <c r="B75" s="34"/>
      <c r="C75" s="24"/>
      <c r="D75" s="24"/>
      <c r="E75" s="46" t="s">
        <v>157</v>
      </c>
      <c r="F75" s="78">
        <f>17158.93*0.12/100</f>
        <v>20.590715999999997</v>
      </c>
      <c r="G75" s="83"/>
    </row>
    <row r="76" spans="1:7" ht="12.75" customHeight="1">
      <c r="A76" s="24"/>
      <c r="B76" s="34"/>
      <c r="C76" s="24"/>
      <c r="D76" s="24"/>
      <c r="E76" s="50"/>
      <c r="F76" s="74" t="s">
        <v>0</v>
      </c>
      <c r="G76" s="83"/>
    </row>
    <row r="77" spans="1:7" ht="15" customHeight="1">
      <c r="A77" s="52"/>
      <c r="B77" s="37" t="s">
        <v>39</v>
      </c>
      <c r="C77" s="53"/>
      <c r="D77" s="53"/>
      <c r="E77" s="46"/>
      <c r="F77" s="74" t="s">
        <v>0</v>
      </c>
      <c r="G77" s="97">
        <f>G19+G32</f>
        <v>-3085.7716399999954</v>
      </c>
    </row>
    <row r="78" spans="1:7" ht="12.75" customHeight="1">
      <c r="A78" s="24"/>
      <c r="B78" s="54" t="s">
        <v>40</v>
      </c>
      <c r="C78" s="24"/>
      <c r="D78" s="24"/>
      <c r="E78" s="50"/>
      <c r="F78" s="74" t="s">
        <v>0</v>
      </c>
      <c r="G78" s="85"/>
    </row>
    <row r="79" spans="2:7" ht="12" customHeight="1">
      <c r="B79" s="56"/>
      <c r="E79" s="45"/>
      <c r="F79" s="74" t="s">
        <v>0</v>
      </c>
      <c r="G79" s="85"/>
    </row>
    <row r="80" spans="2:7" ht="15" customHeight="1">
      <c r="B80" s="37" t="s">
        <v>65</v>
      </c>
      <c r="C80" s="42"/>
      <c r="D80" s="42"/>
      <c r="E80" s="57"/>
      <c r="F80" s="75"/>
      <c r="G80" s="97">
        <f>SUM(F82:F84)</f>
        <v>234.24555599999997</v>
      </c>
    </row>
    <row r="81" spans="2:7" ht="12">
      <c r="B81" s="56"/>
      <c r="E81" s="45"/>
      <c r="F81" s="74"/>
      <c r="G81" s="85"/>
    </row>
    <row r="82" spans="2:7" ht="15">
      <c r="B82" s="34"/>
      <c r="C82" s="24" t="s">
        <v>62</v>
      </c>
      <c r="D82" s="24"/>
      <c r="E82" s="45"/>
      <c r="F82" s="94">
        <f>212506*0.12/100</f>
        <v>255.00719999999998</v>
      </c>
      <c r="G82" s="85"/>
    </row>
    <row r="83" spans="2:7" ht="14.25">
      <c r="B83" s="56"/>
      <c r="C83" s="24" t="s">
        <v>63</v>
      </c>
      <c r="E83" s="45"/>
      <c r="F83" s="101">
        <f>9934.2*0.12/100</f>
        <v>11.92104</v>
      </c>
      <c r="G83" s="85"/>
    </row>
    <row r="84" spans="2:7" ht="14.25">
      <c r="B84" s="56"/>
      <c r="C84" s="24" t="s">
        <v>64</v>
      </c>
      <c r="E84" s="45"/>
      <c r="F84" s="101">
        <f>(-4005.39-23230.18)*0.12/100</f>
        <v>-32.682684</v>
      </c>
      <c r="G84" s="85"/>
    </row>
    <row r="85" spans="2:7" ht="12">
      <c r="B85" s="56"/>
      <c r="E85" s="45"/>
      <c r="F85" s="74"/>
      <c r="G85" s="85"/>
    </row>
    <row r="86" spans="2:7" ht="15.75">
      <c r="B86" s="37" t="s">
        <v>66</v>
      </c>
      <c r="C86" s="42"/>
      <c r="D86" s="42"/>
      <c r="E86" s="57"/>
      <c r="F86" s="105">
        <v>0</v>
      </c>
      <c r="G86" s="97">
        <v>0</v>
      </c>
    </row>
    <row r="87" spans="2:7" ht="12">
      <c r="B87" s="56"/>
      <c r="E87" s="45"/>
      <c r="F87" s="74"/>
      <c r="G87" s="85"/>
    </row>
    <row r="88" spans="2:7" ht="15.75">
      <c r="B88" s="37" t="s">
        <v>61</v>
      </c>
      <c r="C88" s="42"/>
      <c r="D88" s="42"/>
      <c r="E88" s="57"/>
      <c r="F88" s="75"/>
      <c r="G88" s="97">
        <f>SUM(F90-F91)</f>
        <v>-157.713008</v>
      </c>
    </row>
    <row r="89" spans="2:7" ht="12">
      <c r="B89" s="56"/>
      <c r="E89" s="45"/>
      <c r="F89" s="74"/>
      <c r="G89" s="85"/>
    </row>
    <row r="90" spans="2:7" ht="14.25">
      <c r="B90" s="56"/>
      <c r="C90" s="24" t="s">
        <v>67</v>
      </c>
      <c r="E90" s="45"/>
      <c r="F90" s="101">
        <f>13240.07*0.12/100</f>
        <v>15.888084</v>
      </c>
      <c r="G90" s="85"/>
    </row>
    <row r="91" spans="2:7" ht="14.25">
      <c r="B91" s="56"/>
      <c r="C91" s="24" t="s">
        <v>68</v>
      </c>
      <c r="E91" s="45"/>
      <c r="F91" s="101">
        <f>166.76+(5700.91*0.12/100)</f>
        <v>173.601092</v>
      </c>
      <c r="G91" s="85"/>
    </row>
    <row r="92" spans="2:7" ht="12">
      <c r="B92" s="56"/>
      <c r="E92" s="45"/>
      <c r="F92" s="74"/>
      <c r="G92" s="85"/>
    </row>
    <row r="93" spans="2:7" ht="15.75">
      <c r="B93" s="59" t="s">
        <v>69</v>
      </c>
      <c r="C93" s="43"/>
      <c r="D93" s="43"/>
      <c r="E93" s="57"/>
      <c r="F93" s="101">
        <f>(103092*0.12/100)-6.76</f>
        <v>116.95039999999999</v>
      </c>
      <c r="G93" s="97">
        <f>F93</f>
        <v>116.95039999999999</v>
      </c>
    </row>
    <row r="94" spans="2:7" ht="12">
      <c r="B94" s="56"/>
      <c r="E94" s="45"/>
      <c r="F94" s="74"/>
      <c r="G94" s="85"/>
    </row>
    <row r="95" spans="2:7" ht="15.75">
      <c r="B95" s="37"/>
      <c r="E95" s="60" t="s">
        <v>70</v>
      </c>
      <c r="F95" s="74"/>
      <c r="G95" s="120">
        <f>G77+G80-G86+G88-G93+0.01</f>
        <v>-3126.1794919999957</v>
      </c>
    </row>
    <row r="96" spans="2:7" ht="12">
      <c r="B96" s="61"/>
      <c r="C96" s="62"/>
      <c r="D96" s="62"/>
      <c r="E96" s="63"/>
      <c r="F96" s="86"/>
      <c r="G96" s="87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G115" sqref="G115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18.37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148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2.7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4.25" customHeight="1">
      <c r="A19" s="24"/>
      <c r="B19" s="37" t="s">
        <v>5</v>
      </c>
      <c r="C19" s="24"/>
      <c r="D19" s="24"/>
      <c r="F19" s="81"/>
      <c r="G19" s="92">
        <f>F20+F24+F25+F26+F28</f>
        <v>301212.753249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SUM(F21:F22)</f>
        <v>230008.22</v>
      </c>
      <c r="G20" s="82"/>
    </row>
    <row r="21" spans="1:7" ht="12.75" customHeight="1">
      <c r="A21" s="24"/>
      <c r="B21" s="34"/>
      <c r="C21" s="24"/>
      <c r="D21" s="24" t="s">
        <v>30</v>
      </c>
      <c r="E21" s="25" t="s">
        <v>124</v>
      </c>
      <c r="F21" s="89">
        <v>92879.97</v>
      </c>
      <c r="G21" s="82"/>
    </row>
    <row r="22" spans="1:7" ht="12.75" customHeight="1">
      <c r="A22" s="24"/>
      <c r="B22" s="34"/>
      <c r="C22" s="24"/>
      <c r="D22" s="24" t="s">
        <v>30</v>
      </c>
      <c r="E22" s="25" t="s">
        <v>149</v>
      </c>
      <c r="F22" s="89">
        <v>137128.25</v>
      </c>
      <c r="G22" s="82"/>
    </row>
    <row r="23" spans="1:7" ht="12.75" customHeight="1">
      <c r="A23" s="24"/>
      <c r="B23" s="34"/>
      <c r="C23" s="24" t="s">
        <v>8</v>
      </c>
      <c r="D23" s="24" t="s">
        <v>9</v>
      </c>
      <c r="F23" s="74"/>
      <c r="G23" s="82"/>
    </row>
    <row r="24" spans="1:7" ht="12.75" customHeight="1">
      <c r="A24" s="24"/>
      <c r="B24" s="34"/>
      <c r="C24" s="24"/>
      <c r="D24" s="24" t="s">
        <v>10</v>
      </c>
      <c r="F24" s="101">
        <v>0</v>
      </c>
      <c r="G24" s="82"/>
    </row>
    <row r="25" spans="1:7" ht="12.75" customHeight="1">
      <c r="A25" s="24"/>
      <c r="B25" s="34"/>
      <c r="C25" s="24" t="s">
        <v>11</v>
      </c>
      <c r="D25" s="24" t="s">
        <v>12</v>
      </c>
      <c r="F25" s="101">
        <v>0</v>
      </c>
      <c r="G25" s="82"/>
    </row>
    <row r="26" spans="1:7" ht="12.75" customHeight="1">
      <c r="A26" s="24"/>
      <c r="B26" s="34"/>
      <c r="C26" s="24" t="s">
        <v>13</v>
      </c>
      <c r="D26" s="24"/>
      <c r="F26" s="101">
        <v>0</v>
      </c>
      <c r="G26" s="82"/>
    </row>
    <row r="27" spans="1:7" ht="12.75" customHeight="1">
      <c r="A27" s="24"/>
      <c r="B27" s="34"/>
      <c r="C27" s="24" t="s">
        <v>14</v>
      </c>
      <c r="D27" s="24"/>
      <c r="F27" s="74" t="s">
        <v>0</v>
      </c>
      <c r="G27" s="83"/>
    </row>
    <row r="28" spans="1:7" ht="12.75" customHeight="1">
      <c r="A28" s="24"/>
      <c r="B28" s="34"/>
      <c r="C28" s="24"/>
      <c r="D28" s="24" t="s">
        <v>15</v>
      </c>
      <c r="F28" s="93">
        <f>SUM(F29:F33)</f>
        <v>71204.533249</v>
      </c>
      <c r="G28" s="83"/>
    </row>
    <row r="29" spans="1:7" ht="12.75" customHeight="1">
      <c r="A29" s="24"/>
      <c r="B29" s="34"/>
      <c r="C29" s="24"/>
      <c r="D29" s="40" t="s">
        <v>30</v>
      </c>
      <c r="E29" s="25" t="s">
        <v>52</v>
      </c>
      <c r="F29" s="89">
        <v>38321.11</v>
      </c>
      <c r="G29" s="84"/>
    </row>
    <row r="30" spans="1:7" ht="12.75" customHeight="1">
      <c r="A30" s="24"/>
      <c r="B30" s="34"/>
      <c r="C30" s="24"/>
      <c r="D30" s="40" t="s">
        <v>30</v>
      </c>
      <c r="E30" s="25" t="s">
        <v>99</v>
      </c>
      <c r="F30" s="89">
        <f>13311.57</f>
        <v>13311.57</v>
      </c>
      <c r="G30" s="84"/>
    </row>
    <row r="31" spans="1:7" ht="12.75" customHeight="1">
      <c r="A31" s="24"/>
      <c r="B31" s="34"/>
      <c r="C31" s="24"/>
      <c r="D31" s="40" t="s">
        <v>30</v>
      </c>
      <c r="E31" s="25" t="s">
        <v>94</v>
      </c>
      <c r="F31" s="89">
        <v>54.25</v>
      </c>
      <c r="G31" s="84"/>
    </row>
    <row r="32" spans="1:7" ht="12.75" customHeight="1">
      <c r="A32" s="24"/>
      <c r="B32" s="34"/>
      <c r="C32" s="24"/>
      <c r="D32" s="40" t="s">
        <v>30</v>
      </c>
      <c r="E32" s="25" t="s">
        <v>53</v>
      </c>
      <c r="F32" s="89">
        <v>7864.44</v>
      </c>
      <c r="G32" s="84"/>
    </row>
    <row r="33" spans="1:7" ht="12.75" customHeight="1">
      <c r="A33" s="24"/>
      <c r="B33" s="34"/>
      <c r="C33" s="24"/>
      <c r="D33" s="40" t="s">
        <v>30</v>
      </c>
      <c r="E33" s="25" t="s">
        <v>155</v>
      </c>
      <c r="F33" s="74">
        <f>265447.91*4.39/100</f>
        <v>11653.163249</v>
      </c>
      <c r="G33" s="84"/>
    </row>
    <row r="34" spans="1:7" ht="12.75" customHeight="1">
      <c r="A34" s="24"/>
      <c r="B34" s="34"/>
      <c r="C34" s="24"/>
      <c r="D34" s="24"/>
      <c r="E34" s="24"/>
      <c r="F34" s="74"/>
      <c r="G34" s="83"/>
    </row>
    <row r="35" spans="1:7" s="44" customFormat="1" ht="14.25" customHeight="1">
      <c r="A35" s="42"/>
      <c r="B35" s="37" t="s">
        <v>16</v>
      </c>
      <c r="C35" s="42"/>
      <c r="D35" s="42"/>
      <c r="E35" s="43"/>
      <c r="F35" s="75"/>
      <c r="G35" s="92">
        <f>-(F37+F43+F62+F67+F74+F81+F83+F85+F87)</f>
        <v>-317263.4215790001</v>
      </c>
    </row>
    <row r="36" spans="1:7" ht="12.75" customHeight="1">
      <c r="A36" s="24"/>
      <c r="B36" s="34"/>
      <c r="C36" s="24" t="s">
        <v>17</v>
      </c>
      <c r="D36" s="24"/>
      <c r="F36" s="74" t="s">
        <v>0</v>
      </c>
      <c r="G36" s="83"/>
    </row>
    <row r="37" spans="1:7" ht="12.75" customHeight="1">
      <c r="A37" s="24"/>
      <c r="B37" s="34"/>
      <c r="D37" s="24" t="s">
        <v>18</v>
      </c>
      <c r="E37" s="45"/>
      <c r="F37" s="91">
        <f>SUM(F38:F41)</f>
        <v>11763.052782</v>
      </c>
      <c r="G37" s="83"/>
    </row>
    <row r="38" spans="1:7" ht="12.75" customHeight="1">
      <c r="A38" s="24"/>
      <c r="B38" s="34"/>
      <c r="D38" s="24"/>
      <c r="E38" s="45" t="s">
        <v>138</v>
      </c>
      <c r="F38" s="98">
        <v>151.42</v>
      </c>
      <c r="G38" s="83"/>
    </row>
    <row r="39" spans="1:7" ht="12.75" customHeight="1">
      <c r="A39" s="24"/>
      <c r="B39" s="34"/>
      <c r="D39" s="24"/>
      <c r="E39" s="45" t="s">
        <v>73</v>
      </c>
      <c r="F39" s="98">
        <v>280.25</v>
      </c>
      <c r="G39" s="83"/>
    </row>
    <row r="40" spans="1:7" ht="12.75" customHeight="1">
      <c r="A40" s="24"/>
      <c r="B40" s="34"/>
      <c r="D40" s="24"/>
      <c r="E40" s="45" t="s">
        <v>55</v>
      </c>
      <c r="F40" s="98">
        <v>10835.34</v>
      </c>
      <c r="G40" s="83"/>
    </row>
    <row r="41" spans="1:7" ht="12.75" customHeight="1">
      <c r="A41" s="24"/>
      <c r="B41" s="34"/>
      <c r="D41" s="24"/>
      <c r="E41" s="45" t="s">
        <v>156</v>
      </c>
      <c r="F41" s="74">
        <f>11299.38*4.39/100</f>
        <v>496.04278199999993</v>
      </c>
      <c r="G41" s="83"/>
    </row>
    <row r="42" spans="1:7" ht="12.75" customHeight="1">
      <c r="A42" s="24"/>
      <c r="B42" s="34"/>
      <c r="D42" s="24"/>
      <c r="E42" s="45"/>
      <c r="F42" s="80"/>
      <c r="G42" s="83"/>
    </row>
    <row r="43" spans="1:7" ht="12.75" customHeight="1">
      <c r="A43" s="24"/>
      <c r="B43" s="34"/>
      <c r="C43" s="24" t="s">
        <v>19</v>
      </c>
      <c r="D43" s="24"/>
      <c r="E43" s="45"/>
      <c r="F43" s="91">
        <f>SUM(F44:F60)</f>
        <v>189247.441629</v>
      </c>
      <c r="G43" s="83"/>
    </row>
    <row r="44" spans="1:7" ht="12.75" customHeight="1">
      <c r="A44" s="24"/>
      <c r="B44" s="34"/>
      <c r="C44" s="24"/>
      <c r="D44" s="24"/>
      <c r="E44" s="46" t="s">
        <v>45</v>
      </c>
      <c r="F44" s="98">
        <v>431.97</v>
      </c>
      <c r="G44" s="83"/>
    </row>
    <row r="45" spans="1:7" ht="12.75" customHeight="1">
      <c r="A45" s="24"/>
      <c r="B45" s="34"/>
      <c r="C45" s="24"/>
      <c r="D45" s="24"/>
      <c r="E45" s="46" t="s">
        <v>224</v>
      </c>
      <c r="F45" s="98">
        <v>142.17</v>
      </c>
      <c r="G45" s="83"/>
    </row>
    <row r="46" spans="1:7" ht="12.75" customHeight="1">
      <c r="A46" s="24"/>
      <c r="B46" s="34"/>
      <c r="C46" s="24"/>
      <c r="D46" s="24"/>
      <c r="E46" s="46" t="s">
        <v>50</v>
      </c>
      <c r="F46" s="98">
        <v>1295.94</v>
      </c>
      <c r="G46" s="83"/>
    </row>
    <row r="47" spans="1:7" ht="12.75" customHeight="1">
      <c r="A47" s="24"/>
      <c r="B47" s="34"/>
      <c r="C47" s="24"/>
      <c r="D47" s="24"/>
      <c r="E47" s="46" t="s">
        <v>150</v>
      </c>
      <c r="F47" s="98">
        <v>229.54</v>
      </c>
      <c r="G47" s="83"/>
    </row>
    <row r="48" spans="1:7" ht="12.75" customHeight="1">
      <c r="A48" s="24"/>
      <c r="B48" s="34"/>
      <c r="C48" s="24"/>
      <c r="D48" s="24"/>
      <c r="E48" s="46" t="s">
        <v>106</v>
      </c>
      <c r="F48" s="98">
        <v>1327.88</v>
      </c>
      <c r="G48" s="83"/>
    </row>
    <row r="49" spans="1:7" ht="12.75" customHeight="1">
      <c r="A49" s="24"/>
      <c r="B49" s="34"/>
      <c r="C49" s="24"/>
      <c r="D49" s="24"/>
      <c r="E49" s="46" t="s">
        <v>46</v>
      </c>
      <c r="F49" s="98">
        <v>10.6</v>
      </c>
      <c r="G49" s="83"/>
    </row>
    <row r="50" spans="1:7" ht="12.75" customHeight="1">
      <c r="A50" s="24"/>
      <c r="B50" s="34"/>
      <c r="C50" s="24"/>
      <c r="D50" s="24"/>
      <c r="E50" s="46" t="s">
        <v>167</v>
      </c>
      <c r="F50" s="98">
        <v>1826.76</v>
      </c>
      <c r="G50" s="83"/>
    </row>
    <row r="51" spans="1:7" ht="12.75" customHeight="1">
      <c r="A51" s="24"/>
      <c r="B51" s="34"/>
      <c r="C51" s="24"/>
      <c r="D51" s="24"/>
      <c r="E51" s="46" t="s">
        <v>189</v>
      </c>
      <c r="F51" s="98">
        <v>1298.21</v>
      </c>
      <c r="G51" s="83"/>
    </row>
    <row r="52" spans="1:7" ht="12.75" customHeight="1">
      <c r="A52" s="24"/>
      <c r="B52" s="34"/>
      <c r="C52" s="24"/>
      <c r="D52" s="24"/>
      <c r="E52" s="46" t="s">
        <v>225</v>
      </c>
      <c r="F52" s="98">
        <v>58.95</v>
      </c>
      <c r="G52" s="83"/>
    </row>
    <row r="53" spans="1:7" ht="12.75" customHeight="1">
      <c r="A53" s="24"/>
      <c r="B53" s="34"/>
      <c r="C53" s="24"/>
      <c r="D53" s="24"/>
      <c r="E53" s="46" t="s">
        <v>212</v>
      </c>
      <c r="F53" s="98">
        <v>180</v>
      </c>
      <c r="G53" s="83"/>
    </row>
    <row r="54" spans="1:7" ht="12.75" customHeight="1">
      <c r="A54" s="24"/>
      <c r="B54" s="34"/>
      <c r="C54" s="24"/>
      <c r="D54" s="24"/>
      <c r="E54" s="46" t="s">
        <v>100</v>
      </c>
      <c r="F54" s="98">
        <v>2254.11</v>
      </c>
      <c r="G54" s="83"/>
    </row>
    <row r="55" spans="1:7" ht="12.75" customHeight="1">
      <c r="A55" s="24"/>
      <c r="B55" s="34"/>
      <c r="C55" s="24"/>
      <c r="D55" s="24"/>
      <c r="E55" s="46" t="s">
        <v>144</v>
      </c>
      <c r="F55" s="98">
        <v>1300</v>
      </c>
      <c r="G55" s="83"/>
    </row>
    <row r="56" spans="1:7" ht="12.75" customHeight="1">
      <c r="A56" s="24"/>
      <c r="B56" s="34"/>
      <c r="C56" s="24"/>
      <c r="D56" s="24"/>
      <c r="E56" s="46" t="s">
        <v>131</v>
      </c>
      <c r="F56" s="98">
        <v>5000</v>
      </c>
      <c r="G56" s="83"/>
    </row>
    <row r="57" spans="1:7" ht="12.75" customHeight="1">
      <c r="A57" s="24"/>
      <c r="B57" s="34"/>
      <c r="C57" s="24"/>
      <c r="D57" s="24"/>
      <c r="E57" s="46" t="s">
        <v>129</v>
      </c>
      <c r="F57" s="98">
        <v>816</v>
      </c>
      <c r="G57" s="83"/>
    </row>
    <row r="58" spans="1:7" ht="12.75" customHeight="1">
      <c r="A58" s="24"/>
      <c r="B58" s="34"/>
      <c r="C58" s="24"/>
      <c r="D58" s="24"/>
      <c r="E58" s="46" t="s">
        <v>151</v>
      </c>
      <c r="F58" s="98">
        <v>85127.38</v>
      </c>
      <c r="G58" s="83"/>
    </row>
    <row r="59" spans="1:7" ht="12.75" customHeight="1">
      <c r="A59" s="24"/>
      <c r="B59" s="34"/>
      <c r="C59" s="24"/>
      <c r="D59" s="24"/>
      <c r="E59" s="46" t="s">
        <v>152</v>
      </c>
      <c r="F59" s="98">
        <v>71915.12</v>
      </c>
      <c r="G59" s="83"/>
    </row>
    <row r="60" spans="1:7" ht="12.75" customHeight="1">
      <c r="A60" s="24"/>
      <c r="B60" s="34"/>
      <c r="C60" s="24"/>
      <c r="D60" s="24"/>
      <c r="E60" s="46" t="s">
        <v>156</v>
      </c>
      <c r="F60" s="100">
        <f>(241778.57+127438.93-4005.39)*4.39/100</f>
        <v>16032.811628999998</v>
      </c>
      <c r="G60" s="83"/>
    </row>
    <row r="61" spans="1:7" ht="12.75" customHeight="1">
      <c r="A61" s="24"/>
      <c r="B61" s="34"/>
      <c r="C61" s="24"/>
      <c r="D61" s="24"/>
      <c r="E61" s="46"/>
      <c r="F61" s="80"/>
      <c r="G61" s="83"/>
    </row>
    <row r="62" spans="1:7" ht="12.75" customHeight="1">
      <c r="A62" s="24"/>
      <c r="B62" s="34"/>
      <c r="C62" s="24" t="s">
        <v>20</v>
      </c>
      <c r="D62" s="24"/>
      <c r="E62" s="45"/>
      <c r="F62" s="93">
        <f>SUM(F63:F65)</f>
        <v>918.647062</v>
      </c>
      <c r="G62" s="83"/>
    </row>
    <row r="63" spans="1:7" ht="12.75" customHeight="1">
      <c r="A63" s="24"/>
      <c r="B63" s="34"/>
      <c r="C63" s="24"/>
      <c r="D63" s="24"/>
      <c r="E63" s="45" t="s">
        <v>164</v>
      </c>
      <c r="F63" s="78">
        <v>798.16</v>
      </c>
      <c r="G63" s="83"/>
    </row>
    <row r="64" spans="1:7" ht="12.75" customHeight="1">
      <c r="A64" s="24"/>
      <c r="B64" s="34"/>
      <c r="C64" s="24"/>
      <c r="D64" s="24"/>
      <c r="E64" s="45" t="s">
        <v>107</v>
      </c>
      <c r="F64" s="78">
        <v>0</v>
      </c>
      <c r="G64" s="83"/>
    </row>
    <row r="65" spans="1:7" ht="12.75" customHeight="1">
      <c r="A65" s="24"/>
      <c r="B65" s="34"/>
      <c r="C65" s="24"/>
      <c r="D65" s="24"/>
      <c r="E65" s="45" t="s">
        <v>156</v>
      </c>
      <c r="F65" s="98">
        <f>2744.58*4.39/100</f>
        <v>120.48706199999998</v>
      </c>
      <c r="G65" s="83"/>
    </row>
    <row r="66" spans="1:7" ht="12.75" customHeight="1">
      <c r="A66" s="24"/>
      <c r="B66" s="34"/>
      <c r="C66" s="24"/>
      <c r="D66" s="24"/>
      <c r="E66" s="45"/>
      <c r="F66" s="78"/>
      <c r="G66" s="83"/>
    </row>
    <row r="67" spans="1:7" ht="12.75" customHeight="1">
      <c r="A67" s="24"/>
      <c r="B67" s="34"/>
      <c r="C67" s="24" t="s">
        <v>21</v>
      </c>
      <c r="D67" s="24"/>
      <c r="E67" s="45"/>
      <c r="F67" s="91">
        <f>SUM(F68:F72)</f>
        <v>102754.28743899999</v>
      </c>
      <c r="G67" s="83"/>
    </row>
    <row r="68" spans="1:7" ht="12.75" customHeight="1">
      <c r="A68" s="24"/>
      <c r="B68" s="34"/>
      <c r="D68" s="47" t="s">
        <v>22</v>
      </c>
      <c r="E68" s="48"/>
      <c r="F68" s="98">
        <f>(66092.06+742.18+2971.9)+((146511.24+8163.97+17733.75+66364.61)*4.39/100)</f>
        <v>80288.29972299999</v>
      </c>
      <c r="G68" s="83"/>
    </row>
    <row r="69" spans="1:7" ht="12.75" customHeight="1">
      <c r="A69" s="24"/>
      <c r="B69" s="34"/>
      <c r="D69" s="47" t="s">
        <v>23</v>
      </c>
      <c r="E69" s="48"/>
      <c r="F69" s="98">
        <f>(15801.35+257.53+189.4+758.27)+(33776.82+2815.43+2083.45+9646.31+15927.59)*4.39/100</f>
        <v>19827.10744</v>
      </c>
      <c r="G69" s="83"/>
    </row>
    <row r="70" spans="1:7" ht="12.75" customHeight="1">
      <c r="A70" s="24"/>
      <c r="B70" s="34"/>
      <c r="D70" s="47" t="s">
        <v>24</v>
      </c>
      <c r="E70" s="48"/>
      <c r="F70" s="98">
        <f>1637.66+((17387.4+5419.44)*4.39/100)</f>
        <v>2638.880276</v>
      </c>
      <c r="G70" s="83"/>
    </row>
    <row r="71" spans="1:7" ht="12.75" customHeight="1">
      <c r="A71" s="24"/>
      <c r="B71" s="34"/>
      <c r="D71" s="47" t="s">
        <v>25</v>
      </c>
      <c r="E71" s="48"/>
      <c r="F71" s="98">
        <v>0</v>
      </c>
      <c r="G71" s="83"/>
    </row>
    <row r="72" spans="1:7" ht="12.75" customHeight="1">
      <c r="A72" s="24"/>
      <c r="B72" s="34"/>
      <c r="D72" s="47" t="s">
        <v>111</v>
      </c>
      <c r="E72" s="48"/>
      <c r="F72" s="98">
        <v>0</v>
      </c>
      <c r="G72" s="83"/>
    </row>
    <row r="73" spans="1:7" ht="12.75" customHeight="1">
      <c r="A73" s="24"/>
      <c r="B73" s="34"/>
      <c r="D73" s="47"/>
      <c r="E73" s="48"/>
      <c r="F73" s="98"/>
      <c r="G73" s="83"/>
    </row>
    <row r="74" spans="1:7" ht="12.75" customHeight="1">
      <c r="A74" s="24"/>
      <c r="B74" s="34"/>
      <c r="C74" s="24" t="s">
        <v>27</v>
      </c>
      <c r="D74" s="24"/>
      <c r="E74" s="45"/>
      <c r="F74" s="91">
        <f>SUM(F75:F79)</f>
        <v>11003.29564</v>
      </c>
      <c r="G74" s="83"/>
    </row>
    <row r="75" spans="1:7" ht="12.75" customHeight="1">
      <c r="A75" s="24"/>
      <c r="B75" s="34"/>
      <c r="C75" s="24"/>
      <c r="D75" s="47" t="s">
        <v>28</v>
      </c>
      <c r="E75" s="48"/>
      <c r="F75" s="98">
        <f>115+(7338.54*4.39/100)</f>
        <v>437.161906</v>
      </c>
      <c r="G75" s="83"/>
    </row>
    <row r="76" spans="1:7" ht="12.75" customHeight="1">
      <c r="A76" s="24"/>
      <c r="B76" s="34"/>
      <c r="D76" s="47" t="s">
        <v>29</v>
      </c>
      <c r="E76" s="49"/>
      <c r="F76" s="98">
        <f>9624.52+(21449.06*4.39/100)</f>
        <v>10566.133734000001</v>
      </c>
      <c r="G76" s="83"/>
    </row>
    <row r="77" spans="1:7" ht="12.75" customHeight="1">
      <c r="A77" s="24"/>
      <c r="B77" s="34"/>
      <c r="D77" s="47" t="s">
        <v>31</v>
      </c>
      <c r="E77" s="48"/>
      <c r="F77" s="98">
        <v>0</v>
      </c>
      <c r="G77" s="83"/>
    </row>
    <row r="78" spans="1:7" ht="12.75" customHeight="1">
      <c r="A78" s="24"/>
      <c r="B78" s="34"/>
      <c r="D78" s="47" t="s">
        <v>32</v>
      </c>
      <c r="E78" s="48"/>
      <c r="F78" s="98"/>
      <c r="G78" s="83"/>
    </row>
    <row r="79" spans="1:7" ht="12.75" customHeight="1">
      <c r="A79" s="24"/>
      <c r="B79" s="34"/>
      <c r="D79" s="47"/>
      <c r="E79" s="49" t="s">
        <v>33</v>
      </c>
      <c r="F79" s="98">
        <v>0</v>
      </c>
      <c r="G79" s="83"/>
    </row>
    <row r="80" spans="1:7" ht="12.75" customHeight="1">
      <c r="A80" s="24"/>
      <c r="B80" s="34"/>
      <c r="C80" s="24" t="s">
        <v>34</v>
      </c>
      <c r="D80" s="24"/>
      <c r="E80" s="45"/>
      <c r="F80" s="74"/>
      <c r="G80" s="83"/>
    </row>
    <row r="81" spans="1:7" ht="12.75" customHeight="1">
      <c r="A81" s="24"/>
      <c r="B81" s="34"/>
      <c r="D81" s="24"/>
      <c r="E81" s="50" t="s">
        <v>35</v>
      </c>
      <c r="F81" s="101">
        <v>0</v>
      </c>
      <c r="G81" s="83"/>
    </row>
    <row r="82" spans="1:7" ht="12.75" customHeight="1">
      <c r="A82" s="24"/>
      <c r="B82" s="34"/>
      <c r="D82" s="24"/>
      <c r="E82" s="50"/>
      <c r="F82" s="101"/>
      <c r="G82" s="83"/>
    </row>
    <row r="83" spans="1:7" ht="12.75" customHeight="1">
      <c r="A83" s="24"/>
      <c r="B83" s="34"/>
      <c r="C83" s="24" t="s">
        <v>36</v>
      </c>
      <c r="D83" s="24"/>
      <c r="E83" s="45"/>
      <c r="F83" s="101">
        <v>0</v>
      </c>
      <c r="G83" s="83"/>
    </row>
    <row r="84" spans="1:7" ht="12.75" customHeight="1">
      <c r="A84" s="24"/>
      <c r="B84" s="34"/>
      <c r="C84" s="24"/>
      <c r="D84" s="24"/>
      <c r="E84" s="45"/>
      <c r="F84" s="101"/>
      <c r="G84" s="83"/>
    </row>
    <row r="85" spans="1:7" ht="12.75" customHeight="1">
      <c r="A85" s="24"/>
      <c r="B85" s="34"/>
      <c r="C85" s="24" t="s">
        <v>37</v>
      </c>
      <c r="D85" s="24"/>
      <c r="E85" s="45"/>
      <c r="F85" s="101">
        <v>0</v>
      </c>
      <c r="G85" s="83"/>
    </row>
    <row r="86" spans="1:7" ht="12.75" customHeight="1">
      <c r="A86" s="24"/>
      <c r="B86" s="34"/>
      <c r="C86" s="24"/>
      <c r="D86" s="24"/>
      <c r="E86" s="45"/>
      <c r="F86" s="101"/>
      <c r="G86" s="83"/>
    </row>
    <row r="87" spans="1:7" ht="12.75" customHeight="1">
      <c r="A87" s="24"/>
      <c r="B87" s="34"/>
      <c r="C87" s="24" t="s">
        <v>38</v>
      </c>
      <c r="D87" s="24"/>
      <c r="E87" s="45"/>
      <c r="F87" s="101">
        <f>SUM(F88:F93)</f>
        <v>1576.697027</v>
      </c>
      <c r="G87" s="83"/>
    </row>
    <row r="88" spans="1:7" ht="12.75" customHeight="1">
      <c r="A88" s="24"/>
      <c r="B88" s="34"/>
      <c r="C88" s="24"/>
      <c r="D88" s="24"/>
      <c r="E88" s="45" t="s">
        <v>108</v>
      </c>
      <c r="F88" s="80">
        <v>52.97</v>
      </c>
      <c r="G88" s="83"/>
    </row>
    <row r="89" spans="1:7" ht="12.75" customHeight="1">
      <c r="A89" s="24"/>
      <c r="B89" s="34"/>
      <c r="C89" s="24"/>
      <c r="D89" s="24"/>
      <c r="E89" s="46" t="s">
        <v>120</v>
      </c>
      <c r="F89" s="80">
        <v>288.98</v>
      </c>
      <c r="G89" s="83"/>
    </row>
    <row r="90" spans="1:7" ht="12.75" customHeight="1">
      <c r="A90" s="24"/>
      <c r="B90" s="34"/>
      <c r="C90" s="24"/>
      <c r="D90" s="24"/>
      <c r="E90" s="46" t="s">
        <v>57</v>
      </c>
      <c r="F90" s="80">
        <v>400.8</v>
      </c>
      <c r="G90" s="83"/>
    </row>
    <row r="91" spans="1:7" ht="12.75" customHeight="1">
      <c r="A91" s="24"/>
      <c r="B91" s="34"/>
      <c r="C91" s="24"/>
      <c r="D91" s="24"/>
      <c r="E91" s="46" t="s">
        <v>190</v>
      </c>
      <c r="F91" s="80">
        <v>72.5</v>
      </c>
      <c r="G91" s="83"/>
    </row>
    <row r="92" spans="1:7" ht="12.75" customHeight="1">
      <c r="A92" s="24"/>
      <c r="B92" s="34"/>
      <c r="C92" s="24"/>
      <c r="D92" s="24"/>
      <c r="E92" s="51" t="s">
        <v>110</v>
      </c>
      <c r="F92" s="98">
        <v>8.17</v>
      </c>
      <c r="G92" s="83"/>
    </row>
    <row r="93" spans="1:7" ht="12.75" customHeight="1">
      <c r="A93" s="24"/>
      <c r="B93" s="34"/>
      <c r="C93" s="24"/>
      <c r="D93" s="24"/>
      <c r="E93" s="46" t="s">
        <v>156</v>
      </c>
      <c r="F93" s="78">
        <f>17158.93*4.39/100</f>
        <v>753.277027</v>
      </c>
      <c r="G93" s="83"/>
    </row>
    <row r="94" spans="1:7" ht="12.75" customHeight="1">
      <c r="A94" s="24"/>
      <c r="B94" s="34"/>
      <c r="C94" s="24"/>
      <c r="D94" s="24"/>
      <c r="E94" s="50"/>
      <c r="F94" s="74" t="s">
        <v>0</v>
      </c>
      <c r="G94" s="83"/>
    </row>
    <row r="95" spans="1:7" ht="15.75" customHeight="1">
      <c r="A95" s="52"/>
      <c r="B95" s="37" t="s">
        <v>39</v>
      </c>
      <c r="C95" s="53"/>
      <c r="D95" s="53"/>
      <c r="E95" s="46"/>
      <c r="F95" s="74" t="s">
        <v>0</v>
      </c>
      <c r="G95" s="97">
        <f>G19+G35</f>
        <v>-16050.668330000073</v>
      </c>
    </row>
    <row r="96" spans="1:7" ht="12.75" customHeight="1">
      <c r="A96" s="24"/>
      <c r="B96" s="54" t="s">
        <v>40</v>
      </c>
      <c r="C96" s="24"/>
      <c r="D96" s="24"/>
      <c r="E96" s="50"/>
      <c r="F96" s="74" t="s">
        <v>0</v>
      </c>
      <c r="G96" s="85"/>
    </row>
    <row r="97" spans="2:7" ht="12" customHeight="1">
      <c r="B97" s="56"/>
      <c r="E97" s="45"/>
      <c r="F97" s="74" t="s">
        <v>0</v>
      </c>
      <c r="G97" s="85"/>
    </row>
    <row r="98" spans="2:7" ht="14.25" customHeight="1">
      <c r="B98" s="37" t="s">
        <v>65</v>
      </c>
      <c r="C98" s="42"/>
      <c r="D98" s="42"/>
      <c r="E98" s="57"/>
      <c r="F98" s="75"/>
      <c r="G98" s="97">
        <f>SUM(F100:F102)</f>
        <v>8569.483257</v>
      </c>
    </row>
    <row r="99" spans="2:7" ht="12">
      <c r="B99" s="56"/>
      <c r="E99" s="45"/>
      <c r="F99" s="74"/>
      <c r="G99" s="85"/>
    </row>
    <row r="100" spans="2:7" ht="15">
      <c r="B100" s="34"/>
      <c r="C100" s="24" t="s">
        <v>62</v>
      </c>
      <c r="D100" s="24"/>
      <c r="E100" s="45"/>
      <c r="F100" s="94">
        <f>212506*4.39/100</f>
        <v>9329.0134</v>
      </c>
      <c r="G100" s="85"/>
    </row>
    <row r="101" spans="2:7" ht="14.25">
      <c r="B101" s="56"/>
      <c r="C101" s="24" t="s">
        <v>63</v>
      </c>
      <c r="E101" s="45"/>
      <c r="F101" s="101">
        <f>9934.2*4.39/100</f>
        <v>436.11138</v>
      </c>
      <c r="G101" s="85"/>
    </row>
    <row r="102" spans="2:7" ht="14.25">
      <c r="B102" s="56"/>
      <c r="C102" s="24" t="s">
        <v>64</v>
      </c>
      <c r="E102" s="45"/>
      <c r="F102" s="101">
        <f>(-4005.39-23230.18)*4.39/100</f>
        <v>-1195.6415229999998</v>
      </c>
      <c r="G102" s="85"/>
    </row>
    <row r="103" spans="2:7" ht="12">
      <c r="B103" s="56"/>
      <c r="E103" s="45"/>
      <c r="F103" s="74"/>
      <c r="G103" s="85"/>
    </row>
    <row r="104" spans="2:7" ht="15.75">
      <c r="B104" s="37" t="s">
        <v>66</v>
      </c>
      <c r="C104" s="42"/>
      <c r="D104" s="42"/>
      <c r="E104" s="57"/>
      <c r="F104" s="105">
        <v>0</v>
      </c>
      <c r="G104" s="97">
        <v>0</v>
      </c>
    </row>
    <row r="105" spans="2:7" ht="12">
      <c r="B105" s="56"/>
      <c r="E105" s="45"/>
      <c r="F105" s="74"/>
      <c r="G105" s="85"/>
    </row>
    <row r="106" spans="2:7" ht="15.75">
      <c r="B106" s="37" t="s">
        <v>61</v>
      </c>
      <c r="C106" s="42"/>
      <c r="D106" s="42"/>
      <c r="E106" s="57"/>
      <c r="F106" s="75"/>
      <c r="G106" s="97">
        <f>SUM(F108-F110)</f>
        <v>281.6591239999998</v>
      </c>
    </row>
    <row r="107" spans="2:7" ht="12">
      <c r="B107" s="56"/>
      <c r="E107" s="45"/>
      <c r="F107" s="74"/>
      <c r="G107" s="85"/>
    </row>
    <row r="108" spans="2:7" ht="14.25">
      <c r="B108" s="56"/>
      <c r="C108" s="24" t="s">
        <v>67</v>
      </c>
      <c r="E108" s="45"/>
      <c r="F108" s="101">
        <f>SUM(F109:F109)</f>
        <v>1813.809073</v>
      </c>
      <c r="G108" s="85"/>
    </row>
    <row r="109" spans="2:7" ht="12">
      <c r="B109" s="56"/>
      <c r="C109" s="24"/>
      <c r="D109" s="121" t="s">
        <v>194</v>
      </c>
      <c r="E109" s="122"/>
      <c r="F109" s="74">
        <f>1232.57+(13240.07*4.39/100)</f>
        <v>1813.809073</v>
      </c>
      <c r="G109" s="85"/>
    </row>
    <row r="110" spans="2:7" ht="14.25">
      <c r="B110" s="56"/>
      <c r="C110" s="24" t="s">
        <v>68</v>
      </c>
      <c r="E110" s="45"/>
      <c r="F110" s="101">
        <f>1281.88+(5700.91*4.39/100)</f>
        <v>1532.149949</v>
      </c>
      <c r="G110" s="85"/>
    </row>
    <row r="111" spans="2:7" ht="12">
      <c r="B111" s="56"/>
      <c r="E111" s="45"/>
      <c r="F111" s="74"/>
      <c r="G111" s="85"/>
    </row>
    <row r="112" spans="2:7" ht="15.75">
      <c r="B112" s="59" t="s">
        <v>69</v>
      </c>
      <c r="C112" s="43"/>
      <c r="D112" s="43"/>
      <c r="E112" s="57"/>
      <c r="F112" s="101">
        <f>(103092*4.39/100)-5.68</f>
        <v>4520.058799999999</v>
      </c>
      <c r="G112" s="97">
        <f>F112</f>
        <v>4520.058799999999</v>
      </c>
    </row>
    <row r="113" spans="2:7" ht="12">
      <c r="B113" s="56"/>
      <c r="E113" s="45"/>
      <c r="F113" s="74"/>
      <c r="G113" s="85"/>
    </row>
    <row r="114" spans="2:7" ht="15.75">
      <c r="B114" s="37"/>
      <c r="E114" s="60" t="s">
        <v>70</v>
      </c>
      <c r="F114" s="74"/>
      <c r="G114" s="102">
        <f>G95+G98-G104+G106-G112-0.01</f>
        <v>-11719.594749000073</v>
      </c>
    </row>
    <row r="115" spans="2:7" ht="12">
      <c r="B115" s="61"/>
      <c r="C115" s="62"/>
      <c r="D115" s="62"/>
      <c r="E115" s="63"/>
      <c r="F115" s="86"/>
      <c r="G115" s="87"/>
    </row>
  </sheetData>
  <mergeCells count="5">
    <mergeCell ref="D109:E109"/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94" r:id="rId1"/>
  <rowBreaks count="1" manualBreakCount="1">
    <brk id="5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E37" sqref="E37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18.37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86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2.7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4.25" customHeight="1">
      <c r="A19" s="24"/>
      <c r="B19" s="37" t="s">
        <v>5</v>
      </c>
      <c r="C19" s="24"/>
      <c r="D19" s="24"/>
      <c r="F19" s="81"/>
      <c r="G19" s="92">
        <f>F20+F23+F24+F25+F27</f>
        <v>89343.50511299999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SUM(F21:F21)</f>
        <v>13234.48</v>
      </c>
      <c r="G20" s="82"/>
    </row>
    <row r="21" spans="1:7" ht="12.75" customHeight="1">
      <c r="A21" s="24"/>
      <c r="B21" s="34"/>
      <c r="C21" s="24"/>
      <c r="D21" s="24" t="s">
        <v>30</v>
      </c>
      <c r="E21" s="25" t="s">
        <v>101</v>
      </c>
      <c r="F21" s="89">
        <v>13234.48</v>
      </c>
      <c r="G21" s="82"/>
    </row>
    <row r="22" spans="1:7" ht="12.75" customHeight="1">
      <c r="A22" s="24"/>
      <c r="B22" s="34"/>
      <c r="C22" s="24" t="s">
        <v>8</v>
      </c>
      <c r="D22" s="24" t="s">
        <v>9</v>
      </c>
      <c r="F22" s="74"/>
      <c r="G22" s="82"/>
    </row>
    <row r="23" spans="1:7" ht="12.75" customHeight="1">
      <c r="A23" s="24"/>
      <c r="B23" s="34"/>
      <c r="C23" s="24"/>
      <c r="D23" s="24" t="s">
        <v>10</v>
      </c>
      <c r="F23" s="101">
        <v>0</v>
      </c>
      <c r="G23" s="82"/>
    </row>
    <row r="24" spans="1:7" ht="12.75" customHeight="1">
      <c r="A24" s="24"/>
      <c r="B24" s="34"/>
      <c r="C24" s="24" t="s">
        <v>11</v>
      </c>
      <c r="D24" s="24" t="s">
        <v>12</v>
      </c>
      <c r="F24" s="101">
        <v>0</v>
      </c>
      <c r="G24" s="82"/>
    </row>
    <row r="25" spans="1:7" ht="12.75" customHeight="1">
      <c r="A25" s="24"/>
      <c r="B25" s="34"/>
      <c r="C25" s="24" t="s">
        <v>13</v>
      </c>
      <c r="D25" s="24"/>
      <c r="F25" s="101">
        <v>0</v>
      </c>
      <c r="G25" s="82"/>
    </row>
    <row r="26" spans="1:7" ht="12.75" customHeight="1">
      <c r="A26" s="24"/>
      <c r="B26" s="34"/>
      <c r="C26" s="24" t="s">
        <v>14</v>
      </c>
      <c r="D26" s="24"/>
      <c r="F26" s="74" t="s">
        <v>0</v>
      </c>
      <c r="G26" s="83"/>
    </row>
    <row r="27" spans="1:7" ht="12.75" customHeight="1">
      <c r="A27" s="24"/>
      <c r="B27" s="34"/>
      <c r="C27" s="24"/>
      <c r="D27" s="24" t="s">
        <v>15</v>
      </c>
      <c r="F27" s="93">
        <f>SUM(F28:F30)</f>
        <v>76109.025113</v>
      </c>
      <c r="G27" s="83"/>
    </row>
    <row r="28" spans="1:7" ht="12.75" customHeight="1">
      <c r="A28" s="24"/>
      <c r="B28" s="34"/>
      <c r="C28" s="24"/>
      <c r="D28" s="40" t="s">
        <v>30</v>
      </c>
      <c r="E28" s="25" t="s">
        <v>168</v>
      </c>
      <c r="F28" s="89">
        <v>72239.47</v>
      </c>
      <c r="G28" s="83"/>
    </row>
    <row r="29" spans="1:7" ht="12.75" customHeight="1">
      <c r="A29" s="24"/>
      <c r="B29" s="34"/>
      <c r="C29" s="24"/>
      <c r="D29" s="40" t="s">
        <v>30</v>
      </c>
      <c r="E29" s="25" t="s">
        <v>53</v>
      </c>
      <c r="F29" s="89">
        <v>73.65</v>
      </c>
      <c r="G29" s="84"/>
    </row>
    <row r="30" spans="1:7" ht="12.75" customHeight="1">
      <c r="A30" s="24"/>
      <c r="B30" s="34"/>
      <c r="C30" s="24"/>
      <c r="D30" s="40" t="s">
        <v>30</v>
      </c>
      <c r="E30" s="25" t="s">
        <v>155</v>
      </c>
      <c r="F30" s="74">
        <f>265447.91*1.43/100</f>
        <v>3795.9051129999993</v>
      </c>
      <c r="G30" s="84"/>
    </row>
    <row r="31" spans="1:7" ht="12.75" customHeight="1">
      <c r="A31" s="24"/>
      <c r="B31" s="34"/>
      <c r="C31" s="24"/>
      <c r="D31" s="24"/>
      <c r="E31" s="24"/>
      <c r="F31" s="74"/>
      <c r="G31" s="83"/>
    </row>
    <row r="32" spans="1:7" s="44" customFormat="1" ht="15" customHeight="1">
      <c r="A32" s="42"/>
      <c r="B32" s="37" t="s">
        <v>16</v>
      </c>
      <c r="C32" s="42"/>
      <c r="D32" s="42"/>
      <c r="E32" s="43"/>
      <c r="F32" s="75"/>
      <c r="G32" s="92">
        <f>-(F34+F38+F46+F49+F56+F64+F66+F68+F70)</f>
        <v>-124353.75632300001</v>
      </c>
    </row>
    <row r="33" spans="1:7" ht="12.75" customHeight="1">
      <c r="A33" s="24"/>
      <c r="B33" s="34"/>
      <c r="C33" s="24" t="s">
        <v>17</v>
      </c>
      <c r="D33" s="24"/>
      <c r="F33" s="74" t="s">
        <v>0</v>
      </c>
      <c r="G33" s="83"/>
    </row>
    <row r="34" spans="1:7" ht="12.75" customHeight="1">
      <c r="A34" s="24"/>
      <c r="B34" s="34"/>
      <c r="D34" s="24" t="s">
        <v>18</v>
      </c>
      <c r="E34" s="45"/>
      <c r="F34" s="91">
        <f>SUM(F35:F36)</f>
        <v>245.611134</v>
      </c>
      <c r="G34" s="83"/>
    </row>
    <row r="35" spans="1:7" ht="12.75" customHeight="1">
      <c r="A35" s="24"/>
      <c r="B35" s="34"/>
      <c r="D35" s="24"/>
      <c r="E35" s="45" t="s">
        <v>226</v>
      </c>
      <c r="F35" s="78">
        <v>84.03</v>
      </c>
      <c r="G35" s="83"/>
    </row>
    <row r="36" spans="1:7" ht="12.75" customHeight="1">
      <c r="A36" s="24"/>
      <c r="B36" s="34"/>
      <c r="D36" s="24"/>
      <c r="E36" s="45" t="s">
        <v>156</v>
      </c>
      <c r="F36" s="74">
        <f>11299.38*1.43/100</f>
        <v>161.581134</v>
      </c>
      <c r="G36" s="83"/>
    </row>
    <row r="37" spans="1:7" ht="12.75" customHeight="1">
      <c r="A37" s="24"/>
      <c r="B37" s="34"/>
      <c r="D37" s="24"/>
      <c r="E37" s="45"/>
      <c r="F37" s="80"/>
      <c r="G37" s="83"/>
    </row>
    <row r="38" spans="1:7" ht="12.75" customHeight="1">
      <c r="A38" s="24"/>
      <c r="B38" s="34"/>
      <c r="C38" s="24" t="s">
        <v>19</v>
      </c>
      <c r="D38" s="24"/>
      <c r="E38" s="45"/>
      <c r="F38" s="91">
        <f>SUM(F39:F44)</f>
        <v>68931.90317300001</v>
      </c>
      <c r="G38" s="83"/>
    </row>
    <row r="39" spans="1:7" ht="12.75" customHeight="1">
      <c r="A39" s="24"/>
      <c r="B39" s="34"/>
      <c r="C39" s="24"/>
      <c r="D39" s="24"/>
      <c r="E39" s="45" t="s">
        <v>46</v>
      </c>
      <c r="F39" s="76">
        <v>178.83</v>
      </c>
      <c r="G39" s="83"/>
    </row>
    <row r="40" spans="1:7" ht="12.75" customHeight="1">
      <c r="A40" s="24"/>
      <c r="B40" s="34"/>
      <c r="C40" s="24"/>
      <c r="D40" s="24"/>
      <c r="E40" s="45" t="s">
        <v>191</v>
      </c>
      <c r="F40" s="76">
        <v>43482.9</v>
      </c>
      <c r="G40" s="83"/>
    </row>
    <row r="41" spans="1:7" ht="12.75" customHeight="1">
      <c r="A41" s="24"/>
      <c r="B41" s="34"/>
      <c r="C41" s="24"/>
      <c r="D41" s="24"/>
      <c r="E41" s="45" t="s">
        <v>227</v>
      </c>
      <c r="F41" s="76">
        <v>189.8</v>
      </c>
      <c r="G41" s="83"/>
    </row>
    <row r="42" spans="1:7" ht="12.75" customHeight="1">
      <c r="A42" s="24"/>
      <c r="B42" s="34"/>
      <c r="C42" s="24"/>
      <c r="D42" s="24"/>
      <c r="E42" s="45" t="s">
        <v>146</v>
      </c>
      <c r="F42" s="76">
        <v>17730</v>
      </c>
      <c r="G42" s="83"/>
    </row>
    <row r="43" spans="1:7" ht="12.75" customHeight="1">
      <c r="A43" s="24"/>
      <c r="B43" s="34"/>
      <c r="C43" s="24"/>
      <c r="D43" s="24"/>
      <c r="E43" s="46" t="s">
        <v>153</v>
      </c>
      <c r="F43" s="98">
        <v>2127.84</v>
      </c>
      <c r="G43" s="83"/>
    </row>
    <row r="44" spans="1:7" ht="12.75" customHeight="1">
      <c r="A44" s="24"/>
      <c r="B44" s="34"/>
      <c r="C44" s="24"/>
      <c r="D44" s="24"/>
      <c r="E44" s="46" t="s">
        <v>157</v>
      </c>
      <c r="F44" s="100">
        <f>(241778.57+127438.93-4005.39)*1.43/100</f>
        <v>5222.533173</v>
      </c>
      <c r="G44" s="83"/>
    </row>
    <row r="45" spans="1:7" ht="12.75" customHeight="1">
      <c r="A45" s="24"/>
      <c r="B45" s="34"/>
      <c r="C45" s="24"/>
      <c r="D45" s="24"/>
      <c r="E45" s="46"/>
      <c r="F45" s="80"/>
      <c r="G45" s="83"/>
    </row>
    <row r="46" spans="1:7" ht="12.75" customHeight="1">
      <c r="A46" s="24"/>
      <c r="B46" s="34"/>
      <c r="C46" s="24" t="s">
        <v>20</v>
      </c>
      <c r="D46" s="24"/>
      <c r="E46" s="45"/>
      <c r="F46" s="93">
        <f>SUM(F47)</f>
        <v>39.247493999999996</v>
      </c>
      <c r="G46" s="83"/>
    </row>
    <row r="47" spans="1:7" ht="12.75" customHeight="1">
      <c r="A47" s="24"/>
      <c r="B47" s="34"/>
      <c r="C47" s="24"/>
      <c r="D47" s="24"/>
      <c r="E47" s="45" t="s">
        <v>156</v>
      </c>
      <c r="F47" s="78">
        <f>2744.58*1.43/100</f>
        <v>39.247493999999996</v>
      </c>
      <c r="G47" s="83"/>
    </row>
    <row r="48" spans="1:7" ht="12.75" customHeight="1">
      <c r="A48" s="24"/>
      <c r="B48" s="34"/>
      <c r="C48" s="24"/>
      <c r="D48" s="24"/>
      <c r="E48" s="45"/>
      <c r="F48" s="78"/>
      <c r="G48" s="83"/>
    </row>
    <row r="49" spans="1:7" ht="12.75" customHeight="1">
      <c r="A49" s="24"/>
      <c r="B49" s="34"/>
      <c r="C49" s="24" t="s">
        <v>21</v>
      </c>
      <c r="D49" s="24"/>
      <c r="E49" s="45"/>
      <c r="F49" s="91">
        <f>SUM(F50:F54)</f>
        <v>54371.84914299999</v>
      </c>
      <c r="G49" s="83"/>
    </row>
    <row r="50" spans="1:7" ht="12.75" customHeight="1">
      <c r="A50" s="24"/>
      <c r="B50" s="34"/>
      <c r="D50" s="47" t="s">
        <v>22</v>
      </c>
      <c r="E50" s="48"/>
      <c r="F50" s="98">
        <f>(39189.52+371.09+2041.39)+((146511.24+8163.97+17733.75+66364.61)*1.43/100)</f>
        <v>45016.462050999995</v>
      </c>
      <c r="G50" s="83"/>
    </row>
    <row r="51" spans="1:7" ht="12.75" customHeight="1">
      <c r="A51" s="24"/>
      <c r="B51" s="34"/>
      <c r="D51" s="47" t="s">
        <v>23</v>
      </c>
      <c r="E51" s="48"/>
      <c r="F51" s="98">
        <f>(4536.68+515.06+94.7+520.86)+(33776.82+2815.43+2083.45+9646.31+15927.59)*1.43/100</f>
        <v>6586.069279999999</v>
      </c>
      <c r="G51" s="83"/>
    </row>
    <row r="52" spans="1:7" ht="12.75" customHeight="1">
      <c r="A52" s="24"/>
      <c r="B52" s="34"/>
      <c r="D52" s="47" t="s">
        <v>24</v>
      </c>
      <c r="E52" s="48"/>
      <c r="F52" s="98">
        <f>2411.77+((17387.4+5419.44)*1.43/100)</f>
        <v>2737.907812</v>
      </c>
      <c r="G52" s="83"/>
    </row>
    <row r="53" spans="1:7" ht="12.75" customHeight="1">
      <c r="A53" s="24"/>
      <c r="B53" s="34"/>
      <c r="D53" s="47" t="s">
        <v>25</v>
      </c>
      <c r="E53" s="48"/>
      <c r="F53" s="98">
        <v>0</v>
      </c>
      <c r="G53" s="83"/>
    </row>
    <row r="54" spans="1:7" ht="12.75" customHeight="1">
      <c r="A54" s="24"/>
      <c r="B54" s="34"/>
      <c r="D54" s="47" t="s">
        <v>111</v>
      </c>
      <c r="E54" s="48"/>
      <c r="F54" s="98">
        <v>31.41</v>
      </c>
      <c r="G54" s="83"/>
    </row>
    <row r="55" spans="1:7" ht="12.75" customHeight="1">
      <c r="A55" s="24"/>
      <c r="B55" s="34"/>
      <c r="D55" s="47"/>
      <c r="E55" s="48"/>
      <c r="F55" s="98"/>
      <c r="G55" s="83"/>
    </row>
    <row r="56" spans="1:7" ht="12.75" customHeight="1">
      <c r="A56" s="24"/>
      <c r="B56" s="34"/>
      <c r="C56" s="24" t="s">
        <v>27</v>
      </c>
      <c r="D56" s="24"/>
      <c r="E56" s="45"/>
      <c r="F56" s="91">
        <f>SUM(F57:F61)</f>
        <v>411.66268</v>
      </c>
      <c r="G56" s="83"/>
    </row>
    <row r="57" spans="1:7" ht="12.75" customHeight="1">
      <c r="A57" s="24"/>
      <c r="B57" s="34"/>
      <c r="C57" s="24"/>
      <c r="D57" s="47" t="s">
        <v>28</v>
      </c>
      <c r="E57" s="48"/>
      <c r="F57" s="98">
        <f>7338.54*1.43/100</f>
        <v>104.941122</v>
      </c>
      <c r="G57" s="83"/>
    </row>
    <row r="58" spans="1:7" ht="12.75" customHeight="1">
      <c r="A58" s="24"/>
      <c r="B58" s="34"/>
      <c r="D58" s="47" t="s">
        <v>29</v>
      </c>
      <c r="E58" s="49"/>
      <c r="F58" s="98">
        <f>21449.06*1.43/100</f>
        <v>306.721558</v>
      </c>
      <c r="G58" s="83"/>
    </row>
    <row r="59" spans="1:7" ht="12.75" customHeight="1">
      <c r="A59" s="24"/>
      <c r="B59" s="34"/>
      <c r="D59" s="47" t="s">
        <v>31</v>
      </c>
      <c r="E59" s="48"/>
      <c r="F59" s="98">
        <v>0</v>
      </c>
      <c r="G59" s="83"/>
    </row>
    <row r="60" spans="1:7" ht="12.75" customHeight="1">
      <c r="A60" s="24"/>
      <c r="B60" s="34"/>
      <c r="D60" s="47" t="s">
        <v>32</v>
      </c>
      <c r="E60" s="48"/>
      <c r="F60" s="98"/>
      <c r="G60" s="83"/>
    </row>
    <row r="61" spans="1:7" ht="12.75" customHeight="1">
      <c r="A61" s="24"/>
      <c r="B61" s="34"/>
      <c r="D61" s="47"/>
      <c r="E61" s="49" t="s">
        <v>33</v>
      </c>
      <c r="F61" s="98">
        <v>0</v>
      </c>
      <c r="G61" s="83"/>
    </row>
    <row r="62" spans="1:7" ht="12.75" customHeight="1">
      <c r="A62" s="24"/>
      <c r="B62" s="34"/>
      <c r="D62" s="47"/>
      <c r="E62" s="49"/>
      <c r="F62" s="80"/>
      <c r="G62" s="83"/>
    </row>
    <row r="63" spans="1:7" ht="12.75" customHeight="1">
      <c r="A63" s="24"/>
      <c r="B63" s="34"/>
      <c r="C63" s="24" t="s">
        <v>34</v>
      </c>
      <c r="D63" s="24"/>
      <c r="E63" s="45"/>
      <c r="F63" s="74"/>
      <c r="G63" s="83"/>
    </row>
    <row r="64" spans="1:7" ht="12.75" customHeight="1">
      <c r="A64" s="24"/>
      <c r="B64" s="34"/>
      <c r="D64" s="24"/>
      <c r="E64" s="50" t="s">
        <v>35</v>
      </c>
      <c r="F64" s="101">
        <v>0</v>
      </c>
      <c r="G64" s="83"/>
    </row>
    <row r="65" spans="1:7" ht="12.75" customHeight="1">
      <c r="A65" s="24"/>
      <c r="B65" s="34"/>
      <c r="D65" s="24"/>
      <c r="E65" s="50"/>
      <c r="F65" s="101"/>
      <c r="G65" s="83"/>
    </row>
    <row r="66" spans="1:7" ht="12.75" customHeight="1">
      <c r="A66" s="24"/>
      <c r="B66" s="34"/>
      <c r="C66" s="24" t="s">
        <v>36</v>
      </c>
      <c r="D66" s="24"/>
      <c r="E66" s="45"/>
      <c r="F66" s="101">
        <v>0</v>
      </c>
      <c r="G66" s="83"/>
    </row>
    <row r="67" spans="1:7" ht="12.75" customHeight="1">
      <c r="A67" s="24"/>
      <c r="B67" s="34"/>
      <c r="C67" s="24"/>
      <c r="D67" s="24"/>
      <c r="E67" s="45"/>
      <c r="F67" s="101"/>
      <c r="G67" s="83"/>
    </row>
    <row r="68" spans="1:7" ht="12.75" customHeight="1">
      <c r="A68" s="24"/>
      <c r="B68" s="34"/>
      <c r="C68" s="24" t="s">
        <v>37</v>
      </c>
      <c r="D68" s="24"/>
      <c r="E68" s="45"/>
      <c r="F68" s="101">
        <v>0</v>
      </c>
      <c r="G68" s="83"/>
    </row>
    <row r="69" spans="1:7" ht="12.75" customHeight="1">
      <c r="A69" s="24"/>
      <c r="B69" s="34"/>
      <c r="C69" s="24"/>
      <c r="D69" s="24"/>
      <c r="E69" s="45"/>
      <c r="F69" s="101"/>
      <c r="G69" s="83"/>
    </row>
    <row r="70" spans="1:7" ht="12.75" customHeight="1">
      <c r="A70" s="24"/>
      <c r="B70" s="34"/>
      <c r="C70" s="24" t="s">
        <v>38</v>
      </c>
      <c r="D70" s="24"/>
      <c r="E70" s="45"/>
      <c r="F70" s="101">
        <f>SUM(F71:F72)</f>
        <v>353.48269899999997</v>
      </c>
      <c r="G70" s="83"/>
    </row>
    <row r="71" spans="1:7" ht="12.75" customHeight="1">
      <c r="A71" s="24"/>
      <c r="B71" s="34"/>
      <c r="C71" s="24"/>
      <c r="D71" s="24"/>
      <c r="E71" s="45" t="s">
        <v>108</v>
      </c>
      <c r="F71" s="80">
        <v>108.11</v>
      </c>
      <c r="G71" s="83"/>
    </row>
    <row r="72" spans="1:7" ht="12.75" customHeight="1">
      <c r="A72" s="24"/>
      <c r="B72" s="34"/>
      <c r="C72" s="24"/>
      <c r="D72" s="24"/>
      <c r="E72" s="46" t="s">
        <v>157</v>
      </c>
      <c r="F72" s="78">
        <f>17158.93*1.43/100</f>
        <v>245.37269899999998</v>
      </c>
      <c r="G72" s="83"/>
    </row>
    <row r="73" spans="1:7" ht="12.75" customHeight="1">
      <c r="A73" s="24"/>
      <c r="B73" s="34"/>
      <c r="C73" s="24"/>
      <c r="D73" s="24"/>
      <c r="E73" s="50"/>
      <c r="F73" s="74" t="s">
        <v>0</v>
      </c>
      <c r="G73" s="83"/>
    </row>
    <row r="74" spans="1:7" ht="15" customHeight="1">
      <c r="A74" s="52"/>
      <c r="B74" s="37" t="s">
        <v>39</v>
      </c>
      <c r="C74" s="53"/>
      <c r="D74" s="53"/>
      <c r="E74" s="46"/>
      <c r="F74" s="74" t="s">
        <v>0</v>
      </c>
      <c r="G74" s="97">
        <f>G19+G32</f>
        <v>-35010.25121000002</v>
      </c>
    </row>
    <row r="75" spans="1:7" ht="12.75" customHeight="1">
      <c r="A75" s="24"/>
      <c r="B75" s="54" t="s">
        <v>40</v>
      </c>
      <c r="C75" s="24"/>
      <c r="D75" s="24"/>
      <c r="E75" s="50"/>
      <c r="F75" s="74" t="s">
        <v>0</v>
      </c>
      <c r="G75" s="85"/>
    </row>
    <row r="76" spans="2:7" ht="12" customHeight="1">
      <c r="B76" s="56"/>
      <c r="E76" s="45"/>
      <c r="F76" s="74" t="s">
        <v>0</v>
      </c>
      <c r="G76" s="85"/>
    </row>
    <row r="77" spans="2:7" ht="14.25" customHeight="1">
      <c r="B77" s="37" t="s">
        <v>65</v>
      </c>
      <c r="C77" s="42"/>
      <c r="D77" s="42"/>
      <c r="E77" s="57"/>
      <c r="F77" s="75"/>
      <c r="G77" s="97">
        <f>SUM(F79:F81)</f>
        <v>2853.316208999999</v>
      </c>
    </row>
    <row r="78" spans="2:7" ht="12">
      <c r="B78" s="56"/>
      <c r="E78" s="45"/>
      <c r="F78" s="74"/>
      <c r="G78" s="85"/>
    </row>
    <row r="79" spans="2:7" ht="14.25">
      <c r="B79" s="34"/>
      <c r="C79" s="24" t="s">
        <v>62</v>
      </c>
      <c r="D79" s="24"/>
      <c r="E79" s="45"/>
      <c r="F79" s="93">
        <f>212506*1.43/100</f>
        <v>3038.8357999999994</v>
      </c>
      <c r="G79" s="85"/>
    </row>
    <row r="80" spans="2:7" ht="14.25">
      <c r="B80" s="56"/>
      <c r="C80" s="24" t="s">
        <v>63</v>
      </c>
      <c r="E80" s="45"/>
      <c r="F80" s="101">
        <f>105.78+(9934.2*1.43/100)</f>
        <v>247.83906000000002</v>
      </c>
      <c r="G80" s="85"/>
    </row>
    <row r="81" spans="2:7" ht="14.25">
      <c r="B81" s="56"/>
      <c r="C81" s="24" t="s">
        <v>64</v>
      </c>
      <c r="E81" s="45"/>
      <c r="F81" s="101">
        <f>-43.84-0.05+(-4005.39-23230.18)*1.43/100</f>
        <v>-433.35865099999995</v>
      </c>
      <c r="G81" s="85"/>
    </row>
    <row r="82" spans="2:7" ht="12">
      <c r="B82" s="56"/>
      <c r="E82" s="45"/>
      <c r="F82" s="74"/>
      <c r="G82" s="85"/>
    </row>
    <row r="83" spans="2:7" ht="15.75">
      <c r="B83" s="37" t="s">
        <v>66</v>
      </c>
      <c r="C83" s="42"/>
      <c r="D83" s="42"/>
      <c r="E83" s="57"/>
      <c r="F83" s="105">
        <v>0</v>
      </c>
      <c r="G83" s="97">
        <v>0</v>
      </c>
    </row>
    <row r="84" spans="2:7" ht="12">
      <c r="B84" s="56"/>
      <c r="E84" s="45"/>
      <c r="F84" s="74"/>
      <c r="G84" s="85"/>
    </row>
    <row r="85" spans="2:7" ht="15.75">
      <c r="B85" s="37" t="s">
        <v>61</v>
      </c>
      <c r="C85" s="42"/>
      <c r="D85" s="42"/>
      <c r="E85" s="57"/>
      <c r="F85" s="75"/>
      <c r="G85" s="97">
        <f>SUM(F87-F88)</f>
        <v>107.809988</v>
      </c>
    </row>
    <row r="86" spans="2:7" ht="12">
      <c r="B86" s="56"/>
      <c r="E86" s="45"/>
      <c r="F86" s="74"/>
      <c r="G86" s="85"/>
    </row>
    <row r="87" spans="2:7" ht="14.25">
      <c r="B87" s="56"/>
      <c r="C87" s="24" t="s">
        <v>67</v>
      </c>
      <c r="E87" s="45"/>
      <c r="F87" s="101">
        <f>13240.07*1.43/100</f>
        <v>189.333001</v>
      </c>
      <c r="G87" s="85"/>
    </row>
    <row r="88" spans="2:7" ht="14.25">
      <c r="B88" s="56"/>
      <c r="C88" s="24" t="s">
        <v>68</v>
      </c>
      <c r="E88" s="45"/>
      <c r="F88" s="101">
        <f>5700.91*1.43/100</f>
        <v>81.52301299999999</v>
      </c>
      <c r="G88" s="85"/>
    </row>
    <row r="89" spans="2:7" ht="12">
      <c r="B89" s="56"/>
      <c r="E89" s="45"/>
      <c r="F89" s="74"/>
      <c r="G89" s="85"/>
    </row>
    <row r="90" spans="2:7" ht="15.75">
      <c r="B90" s="59" t="s">
        <v>69</v>
      </c>
      <c r="C90" s="43"/>
      <c r="D90" s="43"/>
      <c r="E90" s="57"/>
      <c r="F90" s="101">
        <f>(103092*1.43/100)-13.62</f>
        <v>1460.5956</v>
      </c>
      <c r="G90" s="97">
        <f>F90</f>
        <v>1460.5956</v>
      </c>
    </row>
    <row r="91" spans="2:7" ht="12">
      <c r="B91" s="56"/>
      <c r="E91" s="45"/>
      <c r="F91" s="74"/>
      <c r="G91" s="85"/>
    </row>
    <row r="92" spans="2:7" ht="15.75">
      <c r="B92" s="37"/>
      <c r="E92" s="60" t="s">
        <v>70</v>
      </c>
      <c r="F92" s="74"/>
      <c r="G92" s="102">
        <f>G74+G77-G83+G85-G90</f>
        <v>-33509.72061300001</v>
      </c>
    </row>
    <row r="93" spans="2:7" ht="12">
      <c r="B93" s="61"/>
      <c r="C93" s="62"/>
      <c r="D93" s="62"/>
      <c r="E93" s="63"/>
      <c r="F93" s="86"/>
      <c r="G93" s="87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5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44">
      <selection activeCell="F106" sqref="F106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18.37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125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2.7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4.25" customHeight="1">
      <c r="A19" s="24"/>
      <c r="B19" s="37" t="s">
        <v>5</v>
      </c>
      <c r="C19" s="24"/>
      <c r="D19" s="24"/>
      <c r="F19" s="81"/>
      <c r="G19" s="92">
        <f>F20+F23+F24+F25+F27</f>
        <v>277925.012445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SUM(F21:F21)</f>
        <v>199178.03</v>
      </c>
      <c r="G20" s="82"/>
    </row>
    <row r="21" spans="1:7" ht="12.75" customHeight="1">
      <c r="A21" s="24"/>
      <c r="B21" s="34"/>
      <c r="C21" s="24"/>
      <c r="D21" s="24" t="s">
        <v>30</v>
      </c>
      <c r="E21" s="25" t="s">
        <v>102</v>
      </c>
      <c r="F21" s="89">
        <v>199178.03</v>
      </c>
      <c r="G21" s="82"/>
    </row>
    <row r="22" spans="1:7" ht="12.75" customHeight="1">
      <c r="A22" s="24"/>
      <c r="B22" s="34"/>
      <c r="C22" s="24" t="s">
        <v>8</v>
      </c>
      <c r="D22" s="24" t="s">
        <v>9</v>
      </c>
      <c r="F22" s="74"/>
      <c r="G22" s="82"/>
    </row>
    <row r="23" spans="1:7" ht="12.75" customHeight="1">
      <c r="A23" s="24"/>
      <c r="B23" s="34"/>
      <c r="C23" s="24"/>
      <c r="D23" s="24" t="s">
        <v>10</v>
      </c>
      <c r="F23" s="101">
        <v>0</v>
      </c>
      <c r="G23" s="82"/>
    </row>
    <row r="24" spans="1:7" ht="12.75" customHeight="1">
      <c r="A24" s="24"/>
      <c r="B24" s="34"/>
      <c r="C24" s="24" t="s">
        <v>11</v>
      </c>
      <c r="D24" s="24" t="s">
        <v>12</v>
      </c>
      <c r="F24" s="101">
        <v>0</v>
      </c>
      <c r="G24" s="82"/>
    </row>
    <row r="25" spans="1:7" ht="12.75" customHeight="1">
      <c r="A25" s="24"/>
      <c r="B25" s="34"/>
      <c r="C25" s="24" t="s">
        <v>13</v>
      </c>
      <c r="D25" s="24"/>
      <c r="F25" s="101">
        <v>0</v>
      </c>
      <c r="G25" s="82"/>
    </row>
    <row r="26" spans="1:7" ht="12.75" customHeight="1">
      <c r="A26" s="24"/>
      <c r="B26" s="34"/>
      <c r="C26" s="24" t="s">
        <v>14</v>
      </c>
      <c r="D26" s="24"/>
      <c r="F26" s="74" t="s">
        <v>0</v>
      </c>
      <c r="G26" s="83"/>
    </row>
    <row r="27" spans="1:7" ht="12.75" customHeight="1">
      <c r="A27" s="24"/>
      <c r="B27" s="34"/>
      <c r="C27" s="24"/>
      <c r="D27" s="24" t="s">
        <v>15</v>
      </c>
      <c r="F27" s="93">
        <f>SUM(F28:F32)</f>
        <v>78746.98244499999</v>
      </c>
      <c r="G27" s="83"/>
    </row>
    <row r="28" spans="1:7" ht="12.75" customHeight="1">
      <c r="A28" s="24"/>
      <c r="B28" s="34"/>
      <c r="C28" s="24"/>
      <c r="D28" s="24" t="s">
        <v>30</v>
      </c>
      <c r="E28" s="25" t="s">
        <v>192</v>
      </c>
      <c r="F28" s="89">
        <v>63176.6</v>
      </c>
      <c r="G28" s="83"/>
    </row>
    <row r="29" spans="1:7" ht="12.75" customHeight="1">
      <c r="A29" s="24"/>
      <c r="B29" s="34"/>
      <c r="C29" s="24"/>
      <c r="D29" s="24" t="s">
        <v>30</v>
      </c>
      <c r="E29" s="25" t="s">
        <v>193</v>
      </c>
      <c r="F29" s="89">
        <v>4514.4</v>
      </c>
      <c r="G29" s="83"/>
    </row>
    <row r="30" spans="1:7" ht="12.75" customHeight="1">
      <c r="A30" s="24"/>
      <c r="B30" s="34"/>
      <c r="C30" s="24"/>
      <c r="D30" s="24" t="s">
        <v>30</v>
      </c>
      <c r="E30" s="25" t="s">
        <v>228</v>
      </c>
      <c r="F30" s="89">
        <v>170.79</v>
      </c>
      <c r="G30" s="83"/>
    </row>
    <row r="31" spans="1:7" ht="12.75" customHeight="1">
      <c r="A31" s="24"/>
      <c r="B31" s="34"/>
      <c r="C31" s="24"/>
      <c r="D31" s="40" t="s">
        <v>30</v>
      </c>
      <c r="E31" s="25" t="s">
        <v>53</v>
      </c>
      <c r="F31" s="89">
        <v>400</v>
      </c>
      <c r="G31" s="84"/>
    </row>
    <row r="32" spans="1:7" ht="12.75" customHeight="1">
      <c r="A32" s="24"/>
      <c r="B32" s="34"/>
      <c r="C32" s="24"/>
      <c r="D32" s="40" t="s">
        <v>30</v>
      </c>
      <c r="E32" s="25" t="s">
        <v>155</v>
      </c>
      <c r="F32" s="74">
        <f>265447.91*3.95/100</f>
        <v>10485.192444999999</v>
      </c>
      <c r="G32" s="84"/>
    </row>
    <row r="33" spans="1:7" ht="12.75" customHeight="1">
      <c r="A33" s="24"/>
      <c r="B33" s="34"/>
      <c r="C33" s="24"/>
      <c r="D33" s="24"/>
      <c r="E33" s="24"/>
      <c r="F33" s="74"/>
      <c r="G33" s="83"/>
    </row>
    <row r="34" spans="1:7" s="44" customFormat="1" ht="14.25" customHeight="1">
      <c r="A34" s="42"/>
      <c r="B34" s="37" t="s">
        <v>16</v>
      </c>
      <c r="C34" s="42"/>
      <c r="D34" s="42"/>
      <c r="E34" s="43"/>
      <c r="F34" s="75"/>
      <c r="G34" s="92">
        <f>-(F36+F44+F58+F62+F69+F77+F79+F81+F83)</f>
        <v>-282156.518095</v>
      </c>
    </row>
    <row r="35" spans="1:7" ht="12.75" customHeight="1">
      <c r="A35" s="24"/>
      <c r="B35" s="34"/>
      <c r="C35" s="24" t="s">
        <v>17</v>
      </c>
      <c r="D35" s="24"/>
      <c r="F35" s="74" t="s">
        <v>0</v>
      </c>
      <c r="G35" s="83"/>
    </row>
    <row r="36" spans="1:7" ht="12.75" customHeight="1">
      <c r="A36" s="24"/>
      <c r="B36" s="34"/>
      <c r="D36" s="24" t="s">
        <v>18</v>
      </c>
      <c r="E36" s="45"/>
      <c r="F36" s="91">
        <f>SUM(F37:F42)</f>
        <v>9009.115510000001</v>
      </c>
      <c r="G36" s="83"/>
    </row>
    <row r="37" spans="1:7" ht="12.75" customHeight="1">
      <c r="A37" s="24"/>
      <c r="B37" s="34"/>
      <c r="D37" s="24"/>
      <c r="E37" s="45" t="s">
        <v>81</v>
      </c>
      <c r="F37" s="78">
        <v>7822.51</v>
      </c>
      <c r="G37" s="83"/>
    </row>
    <row r="38" spans="1:7" ht="12.75" customHeight="1">
      <c r="A38" s="24"/>
      <c r="B38" s="34"/>
      <c r="D38" s="24"/>
      <c r="E38" s="45" t="s">
        <v>229</v>
      </c>
      <c r="F38" s="78">
        <v>85.9</v>
      </c>
      <c r="G38" s="83"/>
    </row>
    <row r="39" spans="1:7" ht="12.75" customHeight="1">
      <c r="A39" s="24"/>
      <c r="B39" s="34"/>
      <c r="D39" s="24"/>
      <c r="E39" s="45" t="s">
        <v>42</v>
      </c>
      <c r="F39" s="78">
        <v>195.11</v>
      </c>
      <c r="G39" s="83"/>
    </row>
    <row r="40" spans="1:7" ht="12.75" customHeight="1">
      <c r="A40" s="24"/>
      <c r="B40" s="34"/>
      <c r="D40" s="24"/>
      <c r="E40" s="45" t="s">
        <v>230</v>
      </c>
      <c r="F40" s="78">
        <v>281.07</v>
      </c>
      <c r="G40" s="83"/>
    </row>
    <row r="41" spans="1:7" ht="12.75" customHeight="1">
      <c r="A41" s="24"/>
      <c r="B41" s="34"/>
      <c r="D41" s="24"/>
      <c r="E41" s="45" t="s">
        <v>43</v>
      </c>
      <c r="F41" s="78">
        <v>178.2</v>
      </c>
      <c r="G41" s="83"/>
    </row>
    <row r="42" spans="1:7" ht="12.75" customHeight="1">
      <c r="A42" s="24"/>
      <c r="B42" s="34"/>
      <c r="D42" s="24"/>
      <c r="E42" s="45" t="s">
        <v>156</v>
      </c>
      <c r="F42" s="74">
        <f>11299.38*3.95/100</f>
        <v>446.32551</v>
      </c>
      <c r="G42" s="83"/>
    </row>
    <row r="43" spans="1:7" ht="12.75" customHeight="1">
      <c r="A43" s="24"/>
      <c r="B43" s="34"/>
      <c r="D43" s="24"/>
      <c r="E43" s="45"/>
      <c r="F43" s="80"/>
      <c r="G43" s="83"/>
    </row>
    <row r="44" spans="1:7" ht="12.75" customHeight="1">
      <c r="A44" s="24"/>
      <c r="B44" s="34"/>
      <c r="C44" s="24" t="s">
        <v>19</v>
      </c>
      <c r="D44" s="24"/>
      <c r="E44" s="45"/>
      <c r="F44" s="91">
        <f>SUM(F45:F56)</f>
        <v>206751.058345</v>
      </c>
      <c r="G44" s="83"/>
    </row>
    <row r="45" spans="1:7" ht="12.75" customHeight="1">
      <c r="A45" s="24"/>
      <c r="B45" s="34"/>
      <c r="C45" s="24"/>
      <c r="D45" s="24"/>
      <c r="E45" s="46" t="s">
        <v>45</v>
      </c>
      <c r="F45" s="98">
        <v>3149.65</v>
      </c>
      <c r="G45" s="83"/>
    </row>
    <row r="46" spans="1:7" ht="12.75" customHeight="1">
      <c r="A46" s="24"/>
      <c r="B46" s="34"/>
      <c r="C46" s="24"/>
      <c r="D46" s="24"/>
      <c r="E46" s="46" t="s">
        <v>231</v>
      </c>
      <c r="F46" s="98">
        <v>577.13</v>
      </c>
      <c r="G46" s="83"/>
    </row>
    <row r="47" spans="1:7" ht="12.75" customHeight="1">
      <c r="A47" s="24"/>
      <c r="B47" s="34"/>
      <c r="C47" s="24"/>
      <c r="D47" s="24"/>
      <c r="E47" s="46" t="s">
        <v>232</v>
      </c>
      <c r="F47" s="98">
        <v>2335.67</v>
      </c>
      <c r="G47" s="83"/>
    </row>
    <row r="48" spans="1:7" ht="12.75" customHeight="1">
      <c r="A48" s="24"/>
      <c r="B48" s="34"/>
      <c r="C48" s="24"/>
      <c r="D48" s="24"/>
      <c r="E48" s="46" t="s">
        <v>50</v>
      </c>
      <c r="F48" s="98">
        <v>1841.69</v>
      </c>
      <c r="G48" s="83"/>
    </row>
    <row r="49" spans="1:7" ht="12.75" customHeight="1">
      <c r="A49" s="24"/>
      <c r="B49" s="34"/>
      <c r="C49" s="24"/>
      <c r="D49" s="24"/>
      <c r="E49" s="46" t="s">
        <v>49</v>
      </c>
      <c r="F49" s="98">
        <v>184</v>
      </c>
      <c r="G49" s="83"/>
    </row>
    <row r="50" spans="1:7" ht="12.75" customHeight="1">
      <c r="A50" s="24"/>
      <c r="B50" s="34"/>
      <c r="C50" s="24"/>
      <c r="D50" s="24"/>
      <c r="E50" s="46" t="s">
        <v>106</v>
      </c>
      <c r="F50" s="98">
        <v>395.97</v>
      </c>
      <c r="G50" s="83"/>
    </row>
    <row r="51" spans="1:7" ht="12.75" customHeight="1">
      <c r="A51" s="24"/>
      <c r="B51" s="34"/>
      <c r="C51" s="24"/>
      <c r="D51" s="24"/>
      <c r="E51" s="46" t="s">
        <v>46</v>
      </c>
      <c r="F51" s="98">
        <v>36.34</v>
      </c>
      <c r="G51" s="83"/>
    </row>
    <row r="52" spans="1:7" ht="12.75" customHeight="1">
      <c r="A52" s="24"/>
      <c r="B52" s="34"/>
      <c r="C52" s="24"/>
      <c r="D52" s="24"/>
      <c r="E52" s="46" t="s">
        <v>225</v>
      </c>
      <c r="F52" s="98">
        <v>42</v>
      </c>
      <c r="G52" s="83"/>
    </row>
    <row r="53" spans="1:7" ht="12.75" customHeight="1">
      <c r="A53" s="24"/>
      <c r="B53" s="34"/>
      <c r="C53" s="24"/>
      <c r="D53" s="24"/>
      <c r="E53" s="46" t="s">
        <v>167</v>
      </c>
      <c r="F53" s="98">
        <v>2073.4</v>
      </c>
      <c r="G53" s="83"/>
    </row>
    <row r="54" spans="1:7" ht="12.75" customHeight="1">
      <c r="A54" s="24"/>
      <c r="B54" s="34"/>
      <c r="C54" s="24"/>
      <c r="D54" s="24"/>
      <c r="E54" s="46" t="s">
        <v>233</v>
      </c>
      <c r="F54" s="98">
        <v>1343.33</v>
      </c>
      <c r="G54" s="83"/>
    </row>
    <row r="55" spans="1:7" ht="12.75" customHeight="1">
      <c r="A55" s="24"/>
      <c r="B55" s="34"/>
      <c r="C55" s="24"/>
      <c r="D55" s="24"/>
      <c r="E55" s="46" t="s">
        <v>154</v>
      </c>
      <c r="F55" s="98">
        <v>180346</v>
      </c>
      <c r="G55" s="83"/>
    </row>
    <row r="56" spans="1:7" ht="12.75" customHeight="1">
      <c r="A56" s="24"/>
      <c r="B56" s="34"/>
      <c r="C56" s="24"/>
      <c r="D56" s="24"/>
      <c r="E56" s="46" t="s">
        <v>157</v>
      </c>
      <c r="F56" s="100">
        <f>(241778.57+127438.93-4005.39)*3.95/100</f>
        <v>14425.878345000001</v>
      </c>
      <c r="G56" s="83"/>
    </row>
    <row r="57" spans="1:7" ht="12.75" customHeight="1">
      <c r="A57" s="24"/>
      <c r="B57" s="34"/>
      <c r="C57" s="24"/>
      <c r="D57" s="24"/>
      <c r="E57" s="46"/>
      <c r="F57" s="80"/>
      <c r="G57" s="83"/>
    </row>
    <row r="58" spans="1:7" ht="12.75" customHeight="1">
      <c r="A58" s="24"/>
      <c r="B58" s="34"/>
      <c r="C58" s="24" t="s">
        <v>20</v>
      </c>
      <c r="D58" s="24"/>
      <c r="E58" s="45"/>
      <c r="F58" s="93">
        <f>SUM(F59:F60)</f>
        <v>1350.13091</v>
      </c>
      <c r="G58" s="83"/>
    </row>
    <row r="59" spans="1:7" ht="12.75" customHeight="1">
      <c r="A59" s="24"/>
      <c r="B59" s="34"/>
      <c r="C59" s="24"/>
      <c r="D59" s="24"/>
      <c r="E59" s="46" t="s">
        <v>98</v>
      </c>
      <c r="F59" s="78">
        <v>1241.72</v>
      </c>
      <c r="G59" s="83"/>
    </row>
    <row r="60" spans="1:7" ht="12.75" customHeight="1">
      <c r="A60" s="24"/>
      <c r="B60" s="34"/>
      <c r="C60" s="24"/>
      <c r="D60" s="24"/>
      <c r="E60" s="46" t="s">
        <v>157</v>
      </c>
      <c r="F60" s="78">
        <f>2744.58*3.95/100</f>
        <v>108.41091</v>
      </c>
      <c r="G60" s="83"/>
    </row>
    <row r="61" spans="1:7" ht="12.75" customHeight="1">
      <c r="A61" s="24"/>
      <c r="B61" s="34"/>
      <c r="C61" s="24"/>
      <c r="D61" s="24"/>
      <c r="E61" s="46"/>
      <c r="F61" s="78"/>
      <c r="G61" s="83"/>
    </row>
    <row r="62" spans="1:7" ht="12.75" customHeight="1">
      <c r="A62" s="24"/>
      <c r="B62" s="34"/>
      <c r="C62" s="24" t="s">
        <v>21</v>
      </c>
      <c r="D62" s="24"/>
      <c r="E62" s="45"/>
      <c r="F62" s="91">
        <f>SUM(F63:F67)</f>
        <v>60484.93539499999</v>
      </c>
      <c r="G62" s="83"/>
    </row>
    <row r="63" spans="1:7" ht="12.75" customHeight="1">
      <c r="A63" s="24"/>
      <c r="B63" s="34"/>
      <c r="D63" s="47" t="s">
        <v>22</v>
      </c>
      <c r="E63" s="48"/>
      <c r="F63" s="98">
        <f>(38732.09+742.18+1586.95)+((146511.24+8163.97+17733.75+66364.61)*3.95/100)</f>
        <v>50492.776014999996</v>
      </c>
      <c r="G63" s="83"/>
    </row>
    <row r="64" spans="1:7" ht="12.75" customHeight="1">
      <c r="A64" s="24"/>
      <c r="B64" s="34"/>
      <c r="D64" s="47" t="s">
        <v>23</v>
      </c>
      <c r="E64" s="48"/>
      <c r="F64" s="98">
        <f>((4495.71+257.53+189.4+404.9)+(33776.82+2815.43+2083.45+9646.31+15927.59)*3.95/100)</f>
        <v>7885.399199999999</v>
      </c>
      <c r="G64" s="83"/>
    </row>
    <row r="65" spans="1:7" ht="12.75" customHeight="1">
      <c r="A65" s="24"/>
      <c r="B65" s="34"/>
      <c r="D65" s="47" t="s">
        <v>24</v>
      </c>
      <c r="E65" s="48"/>
      <c r="F65" s="98">
        <f>1205.89+((17387.4+5419.44)*3.95/100)</f>
        <v>2106.76018</v>
      </c>
      <c r="G65" s="83"/>
    </row>
    <row r="66" spans="1:7" ht="12.75" customHeight="1">
      <c r="A66" s="24"/>
      <c r="B66" s="34"/>
      <c r="D66" s="47" t="s">
        <v>25</v>
      </c>
      <c r="E66" s="48"/>
      <c r="F66" s="98">
        <v>0</v>
      </c>
      <c r="G66" s="83"/>
    </row>
    <row r="67" spans="1:7" ht="12.75" customHeight="1">
      <c r="A67" s="24"/>
      <c r="B67" s="34"/>
      <c r="D67" s="47" t="s">
        <v>111</v>
      </c>
      <c r="E67" s="48"/>
      <c r="F67" s="98">
        <v>0</v>
      </c>
      <c r="G67" s="83"/>
    </row>
    <row r="68" spans="1:7" ht="12.75" customHeight="1">
      <c r="A68" s="24"/>
      <c r="B68" s="34"/>
      <c r="D68" s="47"/>
      <c r="E68" s="48"/>
      <c r="F68" s="98"/>
      <c r="G68" s="83"/>
    </row>
    <row r="69" spans="1:7" ht="12.75" customHeight="1">
      <c r="A69" s="24"/>
      <c r="B69" s="34"/>
      <c r="C69" s="24" t="s">
        <v>27</v>
      </c>
      <c r="D69" s="24"/>
      <c r="E69" s="45"/>
      <c r="F69" s="91">
        <f>SUM(F70:F74)</f>
        <v>3371.8102</v>
      </c>
      <c r="G69" s="83"/>
    </row>
    <row r="70" spans="1:7" ht="12.75" customHeight="1">
      <c r="A70" s="24"/>
      <c r="B70" s="34"/>
      <c r="C70" s="24"/>
      <c r="D70" s="47" t="s">
        <v>28</v>
      </c>
      <c r="E70" s="48"/>
      <c r="F70" s="98">
        <f>173.53+(7338.54*3.95/100)</f>
        <v>463.40233</v>
      </c>
      <c r="G70" s="83"/>
    </row>
    <row r="71" spans="1:7" ht="12.75" customHeight="1">
      <c r="A71" s="24"/>
      <c r="B71" s="34"/>
      <c r="D71" s="47" t="s">
        <v>29</v>
      </c>
      <c r="E71" s="49"/>
      <c r="F71" s="98">
        <f>2061.17+(21449.06*3.95/100)</f>
        <v>2908.40787</v>
      </c>
      <c r="G71" s="83"/>
    </row>
    <row r="72" spans="1:7" ht="12.75" customHeight="1">
      <c r="A72" s="24"/>
      <c r="B72" s="34"/>
      <c r="D72" s="47" t="s">
        <v>31</v>
      </c>
      <c r="E72" s="48"/>
      <c r="F72" s="98">
        <v>0</v>
      </c>
      <c r="G72" s="83"/>
    </row>
    <row r="73" spans="1:7" ht="12.75" customHeight="1">
      <c r="A73" s="24"/>
      <c r="B73" s="34"/>
      <c r="D73" s="47" t="s">
        <v>32</v>
      </c>
      <c r="E73" s="48"/>
      <c r="F73" s="98"/>
      <c r="G73" s="83"/>
    </row>
    <row r="74" spans="1:7" ht="12.75" customHeight="1">
      <c r="A74" s="24"/>
      <c r="B74" s="34"/>
      <c r="D74" s="47"/>
      <c r="E74" s="49" t="s">
        <v>33</v>
      </c>
      <c r="F74" s="107">
        <v>0</v>
      </c>
      <c r="G74" s="83"/>
    </row>
    <row r="75" spans="1:7" ht="12.75" customHeight="1">
      <c r="A75" s="24"/>
      <c r="B75" s="34"/>
      <c r="D75" s="47"/>
      <c r="E75" s="49"/>
      <c r="F75" s="108"/>
      <c r="G75" s="83"/>
    </row>
    <row r="76" spans="1:7" ht="12.75" customHeight="1">
      <c r="A76" s="24"/>
      <c r="B76" s="34"/>
      <c r="C76" s="24" t="s">
        <v>34</v>
      </c>
      <c r="D76" s="24"/>
      <c r="E76" s="45"/>
      <c r="F76" s="101"/>
      <c r="G76" s="83"/>
    </row>
    <row r="77" spans="1:7" ht="12.75" customHeight="1">
      <c r="A77" s="24"/>
      <c r="B77" s="34"/>
      <c r="D77" s="24"/>
      <c r="E77" s="50" t="s">
        <v>35</v>
      </c>
      <c r="F77" s="101">
        <v>0</v>
      </c>
      <c r="G77" s="83"/>
    </row>
    <row r="78" spans="1:7" ht="12.75" customHeight="1">
      <c r="A78" s="24"/>
      <c r="B78" s="34"/>
      <c r="D78" s="24"/>
      <c r="E78" s="50"/>
      <c r="F78" s="101"/>
      <c r="G78" s="83"/>
    </row>
    <row r="79" spans="1:7" ht="12.75" customHeight="1">
      <c r="A79" s="24"/>
      <c r="B79" s="34"/>
      <c r="C79" s="24" t="s">
        <v>36</v>
      </c>
      <c r="D79" s="24"/>
      <c r="E79" s="45"/>
      <c r="F79" s="101">
        <v>0</v>
      </c>
      <c r="G79" s="83"/>
    </row>
    <row r="80" spans="1:7" ht="12.75" customHeight="1">
      <c r="A80" s="24"/>
      <c r="B80" s="34"/>
      <c r="C80" s="24"/>
      <c r="D80" s="24"/>
      <c r="E80" s="45"/>
      <c r="F80" s="101"/>
      <c r="G80" s="83"/>
    </row>
    <row r="81" spans="1:7" ht="12.75" customHeight="1">
      <c r="A81" s="24"/>
      <c r="B81" s="34"/>
      <c r="C81" s="24" t="s">
        <v>37</v>
      </c>
      <c r="D81" s="24"/>
      <c r="E81" s="45"/>
      <c r="F81" s="101">
        <v>0</v>
      </c>
      <c r="G81" s="83"/>
    </row>
    <row r="82" spans="1:7" ht="12.75" customHeight="1">
      <c r="A82" s="24"/>
      <c r="B82" s="34"/>
      <c r="C82" s="24"/>
      <c r="D82" s="24"/>
      <c r="E82" s="45"/>
      <c r="F82" s="101"/>
      <c r="G82" s="83"/>
    </row>
    <row r="83" spans="1:7" ht="12.75" customHeight="1">
      <c r="A83" s="24"/>
      <c r="B83" s="34"/>
      <c r="C83" s="24" t="s">
        <v>38</v>
      </c>
      <c r="D83" s="24"/>
      <c r="E83" s="45"/>
      <c r="F83" s="101">
        <f>SUM(F84:F89)</f>
        <v>1189.4677350000002</v>
      </c>
      <c r="G83" s="83"/>
    </row>
    <row r="84" spans="1:7" ht="12.75" customHeight="1">
      <c r="A84" s="24"/>
      <c r="B84" s="34"/>
      <c r="C84" s="24"/>
      <c r="D84" s="24"/>
      <c r="E84" s="46" t="s">
        <v>114</v>
      </c>
      <c r="F84" s="80">
        <v>168.21</v>
      </c>
      <c r="G84" s="83"/>
    </row>
    <row r="85" spans="1:7" ht="12.75" customHeight="1">
      <c r="A85" s="24"/>
      <c r="B85" s="34"/>
      <c r="C85" s="24"/>
      <c r="D85" s="24"/>
      <c r="E85" s="46" t="s">
        <v>234</v>
      </c>
      <c r="F85" s="80">
        <v>42.19</v>
      </c>
      <c r="G85" s="83"/>
    </row>
    <row r="86" spans="1:7" ht="12.75" customHeight="1">
      <c r="A86" s="24"/>
      <c r="B86" s="34"/>
      <c r="C86" s="24"/>
      <c r="D86" s="24"/>
      <c r="E86" s="46" t="s">
        <v>235</v>
      </c>
      <c r="F86" s="80">
        <v>104.36</v>
      </c>
      <c r="G86" s="83"/>
    </row>
    <row r="87" spans="1:7" ht="13.5" customHeight="1">
      <c r="A87" s="24"/>
      <c r="B87" s="34"/>
      <c r="C87" s="24"/>
      <c r="D87" s="24" t="s">
        <v>0</v>
      </c>
      <c r="E87" s="46" t="s">
        <v>57</v>
      </c>
      <c r="F87" s="98">
        <v>177.88</v>
      </c>
      <c r="G87" s="83"/>
    </row>
    <row r="88" spans="1:7" ht="12.75" customHeight="1">
      <c r="A88" s="24"/>
      <c r="B88" s="34"/>
      <c r="C88" s="24"/>
      <c r="D88" s="24"/>
      <c r="E88" s="46" t="s">
        <v>110</v>
      </c>
      <c r="F88" s="98">
        <v>19.05</v>
      </c>
      <c r="G88" s="83"/>
    </row>
    <row r="89" spans="1:7" ht="12.75" customHeight="1">
      <c r="A89" s="24"/>
      <c r="B89" s="34"/>
      <c r="C89" s="24"/>
      <c r="D89" s="24"/>
      <c r="E89" s="46" t="s">
        <v>157</v>
      </c>
      <c r="F89" s="78">
        <f>17158.93*3.95/100</f>
        <v>677.7777350000001</v>
      </c>
      <c r="G89" s="83"/>
    </row>
    <row r="90" spans="1:7" ht="12.75" customHeight="1">
      <c r="A90" s="24"/>
      <c r="B90" s="34"/>
      <c r="C90" s="24"/>
      <c r="D90" s="24"/>
      <c r="E90" s="50"/>
      <c r="F90" s="74" t="s">
        <v>0</v>
      </c>
      <c r="G90" s="83"/>
    </row>
    <row r="91" spans="1:7" ht="14.25" customHeight="1">
      <c r="A91" s="52"/>
      <c r="B91" s="37" t="s">
        <v>39</v>
      </c>
      <c r="C91" s="53"/>
      <c r="D91" s="53"/>
      <c r="E91" s="46"/>
      <c r="F91" s="74" t="s">
        <v>0</v>
      </c>
      <c r="G91" s="97">
        <f>G19+G34</f>
        <v>-4231.505650000006</v>
      </c>
    </row>
    <row r="92" spans="1:7" ht="12.75" customHeight="1">
      <c r="A92" s="24"/>
      <c r="B92" s="54" t="s">
        <v>40</v>
      </c>
      <c r="C92" s="24"/>
      <c r="D92" s="24"/>
      <c r="E92" s="50"/>
      <c r="F92" s="74" t="s">
        <v>0</v>
      </c>
      <c r="G92" s="85"/>
    </row>
    <row r="93" spans="2:7" ht="12" customHeight="1">
      <c r="B93" s="56"/>
      <c r="E93" s="45"/>
      <c r="F93" s="74" t="s">
        <v>0</v>
      </c>
      <c r="G93" s="85"/>
    </row>
    <row r="94" spans="2:7" ht="14.25" customHeight="1">
      <c r="B94" s="37" t="s">
        <v>65</v>
      </c>
      <c r="C94" s="42"/>
      <c r="D94" s="42"/>
      <c r="E94" s="57"/>
      <c r="F94" s="75"/>
      <c r="G94" s="97">
        <f>SUM(F96:F98)</f>
        <v>7646.082885000002</v>
      </c>
    </row>
    <row r="95" spans="2:7" ht="12">
      <c r="B95" s="56"/>
      <c r="E95" s="45"/>
      <c r="F95" s="74"/>
      <c r="G95" s="85"/>
    </row>
    <row r="96" spans="2:7" ht="14.25">
      <c r="B96" s="34"/>
      <c r="C96" s="24" t="s">
        <v>62</v>
      </c>
      <c r="D96" s="24"/>
      <c r="E96" s="45"/>
      <c r="F96" s="93">
        <f>212506*3.95/100</f>
        <v>8393.987000000001</v>
      </c>
      <c r="G96" s="85"/>
    </row>
    <row r="97" spans="2:7" ht="14.25">
      <c r="B97" s="56"/>
      <c r="C97" s="24" t="s">
        <v>63</v>
      </c>
      <c r="E97" s="45"/>
      <c r="F97" s="101">
        <f>9934.2*3.95/100</f>
        <v>392.40090000000004</v>
      </c>
      <c r="G97" s="85"/>
    </row>
    <row r="98" spans="2:7" ht="14.25">
      <c r="B98" s="56"/>
      <c r="C98" s="24" t="s">
        <v>64</v>
      </c>
      <c r="E98" s="45"/>
      <c r="F98" s="117">
        <f>-64.5+(-4005.39-23230.18)*3.95/100</f>
        <v>-1140.305015</v>
      </c>
      <c r="G98" s="85"/>
    </row>
    <row r="99" spans="2:7" ht="12">
      <c r="B99" s="56"/>
      <c r="E99" s="45"/>
      <c r="F99" s="74"/>
      <c r="G99" s="85"/>
    </row>
    <row r="100" spans="2:7" ht="15.75">
      <c r="B100" s="37" t="s">
        <v>66</v>
      </c>
      <c r="C100" s="42"/>
      <c r="D100" s="42"/>
      <c r="E100" s="57"/>
      <c r="F100" s="105">
        <v>0</v>
      </c>
      <c r="G100" s="97">
        <v>0</v>
      </c>
    </row>
    <row r="101" spans="2:7" ht="12">
      <c r="B101" s="56"/>
      <c r="E101" s="45"/>
      <c r="F101" s="74"/>
      <c r="G101" s="85"/>
    </row>
    <row r="102" spans="2:7" ht="15.75">
      <c r="B102" s="37" t="s">
        <v>61</v>
      </c>
      <c r="C102" s="42"/>
      <c r="D102" s="42"/>
      <c r="E102" s="57"/>
      <c r="F102" s="75"/>
      <c r="G102" s="97">
        <f>SUM(F104-F106)</f>
        <v>197.01681999999994</v>
      </c>
    </row>
    <row r="103" spans="2:7" ht="12">
      <c r="B103" s="56"/>
      <c r="E103" s="45"/>
      <c r="F103" s="74"/>
      <c r="G103" s="85"/>
    </row>
    <row r="104" spans="2:7" ht="14.25">
      <c r="B104" s="56"/>
      <c r="C104" s="24" t="s">
        <v>67</v>
      </c>
      <c r="E104" s="45"/>
      <c r="F104" s="101">
        <f>SUM(F105:F105)</f>
        <v>541.5427649999999</v>
      </c>
      <c r="G104" s="85"/>
    </row>
    <row r="105" spans="2:7" ht="12">
      <c r="B105" s="56"/>
      <c r="C105" s="24"/>
      <c r="D105" s="121" t="s">
        <v>194</v>
      </c>
      <c r="E105" s="122"/>
      <c r="F105" s="74">
        <f>18.56+(13240.07*3.95/100)</f>
        <v>541.5427649999999</v>
      </c>
      <c r="G105" s="85"/>
    </row>
    <row r="106" spans="2:7" ht="14.25">
      <c r="B106" s="56"/>
      <c r="C106" s="24" t="s">
        <v>68</v>
      </c>
      <c r="E106" s="45"/>
      <c r="F106" s="101">
        <f>119.34+(5700.91*3.95/100)</f>
        <v>344.525945</v>
      </c>
      <c r="G106" s="85"/>
    </row>
    <row r="107" spans="2:7" ht="14.25">
      <c r="B107" s="56"/>
      <c r="E107" s="45"/>
      <c r="F107" s="101"/>
      <c r="G107" s="85"/>
    </row>
    <row r="108" spans="2:7" ht="15.75">
      <c r="B108" s="59" t="s">
        <v>69</v>
      </c>
      <c r="C108" s="43"/>
      <c r="D108" s="43"/>
      <c r="E108" s="57"/>
      <c r="F108" s="101">
        <f>(103092*3.95/100)-0.2</f>
        <v>4071.934</v>
      </c>
      <c r="G108" s="97">
        <f>F108</f>
        <v>4071.934</v>
      </c>
    </row>
    <row r="109" spans="2:7" ht="12">
      <c r="B109" s="56"/>
      <c r="E109" s="45"/>
      <c r="F109" s="74"/>
      <c r="G109" s="85"/>
    </row>
    <row r="110" spans="2:7" ht="15.75">
      <c r="B110" s="37"/>
      <c r="E110" s="60" t="s">
        <v>70</v>
      </c>
      <c r="F110" s="74"/>
      <c r="G110" s="102">
        <f>G91+G94-G100+G102-G108</f>
        <v>-460.3399450000052</v>
      </c>
    </row>
    <row r="111" spans="2:7" ht="12">
      <c r="B111" s="61"/>
      <c r="C111" s="62"/>
      <c r="D111" s="62"/>
      <c r="E111" s="63"/>
      <c r="F111" s="64"/>
      <c r="G111" s="65"/>
    </row>
  </sheetData>
  <mergeCells count="5">
    <mergeCell ref="D105:E105"/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07">
      <selection activeCell="F118" sqref="F118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21.7539062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176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5.7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5.75" customHeight="1">
      <c r="A19" s="24"/>
      <c r="B19" s="37" t="s">
        <v>5</v>
      </c>
      <c r="C19" s="24"/>
      <c r="D19" s="24"/>
      <c r="F19" s="35"/>
      <c r="G19" s="92">
        <f>F20+F24+F25+F26+F28</f>
        <v>1512818.778045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SUM(F21:F22)</f>
        <v>685467.77</v>
      </c>
      <c r="G20" s="38"/>
    </row>
    <row r="21" spans="1:7" ht="12.75" customHeight="1">
      <c r="A21" s="24"/>
      <c r="B21" s="34"/>
      <c r="C21" s="24"/>
      <c r="D21" s="24" t="s">
        <v>30</v>
      </c>
      <c r="E21" s="25" t="s">
        <v>51</v>
      </c>
      <c r="F21" s="89">
        <v>651576.79</v>
      </c>
      <c r="G21" s="38"/>
    </row>
    <row r="22" spans="1:7" ht="12.75" customHeight="1">
      <c r="A22" s="24"/>
      <c r="B22" s="34"/>
      <c r="C22" s="24"/>
      <c r="D22" s="24" t="s">
        <v>30</v>
      </c>
      <c r="E22" s="25" t="s">
        <v>71</v>
      </c>
      <c r="F22" s="89">
        <v>33890.98</v>
      </c>
      <c r="G22" s="38"/>
    </row>
    <row r="23" spans="1:7" ht="12.75" customHeight="1">
      <c r="A23" s="24"/>
      <c r="B23" s="34"/>
      <c r="C23" s="24" t="s">
        <v>8</v>
      </c>
      <c r="D23" s="24" t="s">
        <v>9</v>
      </c>
      <c r="F23" s="74"/>
      <c r="G23" s="38"/>
    </row>
    <row r="24" spans="1:7" ht="12.75" customHeight="1">
      <c r="A24" s="24"/>
      <c r="B24" s="34"/>
      <c r="C24" s="24"/>
      <c r="D24" s="24" t="s">
        <v>10</v>
      </c>
      <c r="F24" s="74">
        <v>0</v>
      </c>
      <c r="G24" s="38"/>
    </row>
    <row r="25" spans="1:7" ht="12.75" customHeight="1">
      <c r="A25" s="24"/>
      <c r="B25" s="34"/>
      <c r="C25" s="24" t="s">
        <v>11</v>
      </c>
      <c r="D25" s="24" t="s">
        <v>12</v>
      </c>
      <c r="F25" s="74">
        <v>0</v>
      </c>
      <c r="G25" s="38"/>
    </row>
    <row r="26" spans="1:7" ht="12.75" customHeight="1">
      <c r="A26" s="24"/>
      <c r="B26" s="34"/>
      <c r="C26" s="24" t="s">
        <v>13</v>
      </c>
      <c r="D26" s="24"/>
      <c r="F26" s="74">
        <v>0</v>
      </c>
      <c r="G26" s="38"/>
    </row>
    <row r="27" spans="1:7" ht="12.75" customHeight="1">
      <c r="A27" s="24"/>
      <c r="B27" s="34"/>
      <c r="C27" s="24" t="s">
        <v>14</v>
      </c>
      <c r="D27" s="24"/>
      <c r="F27" s="74" t="s">
        <v>0</v>
      </c>
      <c r="G27" s="39"/>
    </row>
    <row r="28" spans="1:7" ht="12.75" customHeight="1">
      <c r="A28" s="24"/>
      <c r="B28" s="34"/>
      <c r="C28" s="24"/>
      <c r="D28" s="24" t="s">
        <v>15</v>
      </c>
      <c r="F28" s="93">
        <f>SUM(F29:F32)</f>
        <v>827351.0080449999</v>
      </c>
      <c r="G28" s="39"/>
    </row>
    <row r="29" spans="1:7" ht="12.75" customHeight="1">
      <c r="A29" s="24"/>
      <c r="B29" s="34"/>
      <c r="C29" s="24"/>
      <c r="D29" s="40" t="s">
        <v>30</v>
      </c>
      <c r="E29" s="25" t="s">
        <v>41</v>
      </c>
      <c r="F29" s="89">
        <v>719410.95</v>
      </c>
      <c r="G29" s="41"/>
    </row>
    <row r="30" spans="1:7" ht="12.75" customHeight="1">
      <c r="A30" s="24"/>
      <c r="B30" s="34"/>
      <c r="C30" s="24"/>
      <c r="D30" s="40" t="s">
        <v>30</v>
      </c>
      <c r="E30" s="25" t="s">
        <v>203</v>
      </c>
      <c r="F30" s="89">
        <v>41804.85</v>
      </c>
      <c r="G30" s="41"/>
    </row>
    <row r="31" spans="1:7" ht="12.75" customHeight="1">
      <c r="A31" s="24"/>
      <c r="B31" s="34"/>
      <c r="C31" s="24"/>
      <c r="D31" s="40" t="s">
        <v>30</v>
      </c>
      <c r="E31" s="25" t="s">
        <v>53</v>
      </c>
      <c r="F31" s="89">
        <f>1065.85+3300+8812.5</f>
        <v>13178.35</v>
      </c>
      <c r="G31" s="41"/>
    </row>
    <row r="32" spans="1:7" ht="12.75" customHeight="1">
      <c r="A32" s="24"/>
      <c r="B32" s="34"/>
      <c r="C32" s="24"/>
      <c r="D32" s="24" t="s">
        <v>30</v>
      </c>
      <c r="E32" s="24" t="s">
        <v>155</v>
      </c>
      <c r="F32" s="74">
        <f>265447.91*19.95/100</f>
        <v>52956.85804499999</v>
      </c>
      <c r="G32" s="39"/>
    </row>
    <row r="33" spans="1:7" ht="12.75" customHeight="1">
      <c r="A33" s="24"/>
      <c r="B33" s="34"/>
      <c r="C33" s="24"/>
      <c r="D33" s="24"/>
      <c r="E33" s="24"/>
      <c r="F33" s="74"/>
      <c r="G33" s="39"/>
    </row>
    <row r="34" spans="1:7" s="44" customFormat="1" ht="15.75" customHeight="1">
      <c r="A34" s="42"/>
      <c r="B34" s="37" t="s">
        <v>16</v>
      </c>
      <c r="C34" s="42"/>
      <c r="D34" s="42"/>
      <c r="E34" s="43"/>
      <c r="F34" s="75"/>
      <c r="G34" s="92">
        <f>-(F36+F45+F70+F73+G18+F80+F88+F90+F92+F94)</f>
        <v>-1491003.5956950001</v>
      </c>
    </row>
    <row r="35" spans="1:7" ht="12.75" customHeight="1">
      <c r="A35" s="24"/>
      <c r="B35" s="34"/>
      <c r="C35" s="24" t="s">
        <v>17</v>
      </c>
      <c r="D35" s="24"/>
      <c r="F35" s="74" t="s">
        <v>0</v>
      </c>
      <c r="G35" s="39"/>
    </row>
    <row r="36" spans="1:7" ht="12.75" customHeight="1">
      <c r="A36" s="24"/>
      <c r="B36" s="34"/>
      <c r="D36" s="24" t="s">
        <v>18</v>
      </c>
      <c r="E36" s="45"/>
      <c r="F36" s="91">
        <f>SUM(F37:F43)</f>
        <v>141761.00631</v>
      </c>
      <c r="G36" s="39"/>
    </row>
    <row r="37" spans="1:7" ht="12.75" customHeight="1">
      <c r="A37" s="24"/>
      <c r="B37" s="34"/>
      <c r="D37" s="24"/>
      <c r="E37" s="45" t="s">
        <v>72</v>
      </c>
      <c r="F37" s="98">
        <v>12186.96</v>
      </c>
      <c r="G37" s="39"/>
    </row>
    <row r="38" spans="1:7" ht="12.75" customHeight="1">
      <c r="A38" s="24"/>
      <c r="B38" s="34"/>
      <c r="D38" s="24"/>
      <c r="E38" s="45" t="s">
        <v>42</v>
      </c>
      <c r="F38" s="98">
        <v>35290.48</v>
      </c>
      <c r="G38" s="39"/>
    </row>
    <row r="39" spans="1:7" ht="12.75" customHeight="1">
      <c r="A39" s="24"/>
      <c r="B39" s="34"/>
      <c r="D39" s="24"/>
      <c r="E39" s="45" t="s">
        <v>170</v>
      </c>
      <c r="F39" s="98">
        <v>21871.2</v>
      </c>
      <c r="G39" s="39"/>
    </row>
    <row r="40" spans="1:7" ht="12.75" customHeight="1">
      <c r="A40" s="24"/>
      <c r="B40" s="34"/>
      <c r="D40" s="24"/>
      <c r="E40" s="45" t="s">
        <v>73</v>
      </c>
      <c r="F40" s="98">
        <f>2606.82+734.69+792+11211.69</f>
        <v>15345.2</v>
      </c>
      <c r="G40" s="39"/>
    </row>
    <row r="41" spans="1:7" ht="12.75" customHeight="1">
      <c r="A41" s="24"/>
      <c r="B41" s="34"/>
      <c r="D41" s="24"/>
      <c r="E41" s="46" t="s">
        <v>43</v>
      </c>
      <c r="F41" s="98">
        <v>23.4</v>
      </c>
      <c r="G41" s="39"/>
    </row>
    <row r="42" spans="1:7" ht="12.75" customHeight="1">
      <c r="A42" s="24"/>
      <c r="B42" s="34"/>
      <c r="C42" s="24"/>
      <c r="D42" s="24"/>
      <c r="E42" s="46" t="s">
        <v>55</v>
      </c>
      <c r="F42" s="98">
        <v>54789.54</v>
      </c>
      <c r="G42" s="39"/>
    </row>
    <row r="43" spans="1:7" ht="12.75" customHeight="1">
      <c r="A43" s="24"/>
      <c r="B43" s="34"/>
      <c r="D43" s="24"/>
      <c r="E43" s="45" t="s">
        <v>156</v>
      </c>
      <c r="F43" s="74">
        <f>11299.38*19.95/100</f>
        <v>2254.2263099999996</v>
      </c>
      <c r="G43" s="39"/>
    </row>
    <row r="44" spans="1:7" ht="12.75" customHeight="1">
      <c r="A44" s="24"/>
      <c r="B44" s="34"/>
      <c r="D44" s="24"/>
      <c r="E44" s="45"/>
      <c r="F44" s="88"/>
      <c r="G44" s="39"/>
    </row>
    <row r="45" spans="1:7" ht="12.75" customHeight="1">
      <c r="A45" s="24"/>
      <c r="B45" s="34"/>
      <c r="C45" s="24" t="s">
        <v>19</v>
      </c>
      <c r="D45" s="24"/>
      <c r="E45" s="45"/>
      <c r="F45" s="91">
        <f>SUM(F46:F68)</f>
        <v>1044844.745945</v>
      </c>
      <c r="G45" s="39"/>
    </row>
    <row r="46" spans="1:7" ht="12.75" customHeight="1">
      <c r="A46" s="24"/>
      <c r="B46" s="34"/>
      <c r="C46" s="24"/>
      <c r="D46" s="24"/>
      <c r="E46" s="46" t="s">
        <v>48</v>
      </c>
      <c r="F46" s="76">
        <v>1283.7</v>
      </c>
      <c r="G46" s="39"/>
    </row>
    <row r="47" spans="1:7" ht="12.75" customHeight="1">
      <c r="A47" s="24"/>
      <c r="B47" s="34"/>
      <c r="C47" s="24"/>
      <c r="D47" s="24"/>
      <c r="E47" s="46" t="s">
        <v>45</v>
      </c>
      <c r="F47" s="98">
        <v>18338.18</v>
      </c>
      <c r="G47" s="39"/>
    </row>
    <row r="48" spans="1:7" ht="12.75" customHeight="1">
      <c r="A48" s="24"/>
      <c r="B48" s="34"/>
      <c r="C48" s="24"/>
      <c r="D48" s="24"/>
      <c r="E48" s="46" t="s">
        <v>44</v>
      </c>
      <c r="F48" s="98">
        <f>3480.39+617.64</f>
        <v>4098.03</v>
      </c>
      <c r="G48" s="39"/>
    </row>
    <row r="49" spans="1:7" ht="12.75" customHeight="1">
      <c r="A49" s="24"/>
      <c r="B49" s="34"/>
      <c r="C49" s="24"/>
      <c r="D49" s="24"/>
      <c r="E49" s="46" t="s">
        <v>50</v>
      </c>
      <c r="F49" s="98">
        <v>6083.59</v>
      </c>
      <c r="G49" s="39"/>
    </row>
    <row r="50" spans="1:7" ht="12.75" customHeight="1">
      <c r="A50" s="24"/>
      <c r="B50" s="34"/>
      <c r="C50" s="24"/>
      <c r="D50" s="24"/>
      <c r="E50" s="46" t="s">
        <v>49</v>
      </c>
      <c r="F50" s="98">
        <v>11232.56</v>
      </c>
      <c r="G50" s="39"/>
    </row>
    <row r="51" spans="1:7" ht="12.75" customHeight="1">
      <c r="A51" s="24"/>
      <c r="B51" s="34"/>
      <c r="C51" s="24"/>
      <c r="D51" s="24"/>
      <c r="E51" s="46" t="s">
        <v>106</v>
      </c>
      <c r="F51" s="98">
        <v>3895.73</v>
      </c>
      <c r="G51" s="39"/>
    </row>
    <row r="52" spans="1:7" ht="12.75" customHeight="1">
      <c r="A52" s="24"/>
      <c r="B52" s="34"/>
      <c r="C52" s="24"/>
      <c r="D52" s="24"/>
      <c r="E52" s="46" t="s">
        <v>46</v>
      </c>
      <c r="F52" s="98">
        <v>242.14</v>
      </c>
      <c r="G52" s="39"/>
    </row>
    <row r="53" spans="1:7" ht="12.75" customHeight="1">
      <c r="A53" s="24"/>
      <c r="B53" s="34"/>
      <c r="C53" s="24"/>
      <c r="D53" s="24"/>
      <c r="E53" s="46" t="s">
        <v>128</v>
      </c>
      <c r="F53" s="98">
        <v>1907</v>
      </c>
      <c r="G53" s="39"/>
    </row>
    <row r="54" spans="1:7" ht="12.75" customHeight="1">
      <c r="A54" s="24"/>
      <c r="B54" s="34"/>
      <c r="C54" s="24"/>
      <c r="D54" s="24"/>
      <c r="E54" s="46" t="s">
        <v>204</v>
      </c>
      <c r="F54" s="98">
        <v>187.5</v>
      </c>
      <c r="G54" s="39"/>
    </row>
    <row r="55" spans="1:7" ht="12.75" customHeight="1">
      <c r="A55" s="24"/>
      <c r="B55" s="34"/>
      <c r="C55" s="24"/>
      <c r="D55" s="24"/>
      <c r="E55" s="46" t="s">
        <v>173</v>
      </c>
      <c r="F55" s="98">
        <v>900</v>
      </c>
      <c r="G55" s="39"/>
    </row>
    <row r="56" spans="1:7" ht="12.75" customHeight="1">
      <c r="A56" s="24"/>
      <c r="B56" s="34"/>
      <c r="C56" s="24"/>
      <c r="D56" s="24"/>
      <c r="E56" s="46" t="s">
        <v>100</v>
      </c>
      <c r="F56" s="98">
        <f>180+60</f>
        <v>240</v>
      </c>
      <c r="G56" s="39"/>
    </row>
    <row r="57" spans="1:7" ht="12.75" customHeight="1">
      <c r="A57" s="24"/>
      <c r="B57" s="34"/>
      <c r="C57" s="24"/>
      <c r="D57" s="24"/>
      <c r="E57" s="46" t="s">
        <v>74</v>
      </c>
      <c r="F57" s="98">
        <v>9895.02</v>
      </c>
      <c r="G57" s="39"/>
    </row>
    <row r="58" spans="1:7" ht="12.75" customHeight="1">
      <c r="A58" s="24"/>
      <c r="B58" s="34"/>
      <c r="C58" s="24"/>
      <c r="D58" s="24"/>
      <c r="E58" s="46" t="s">
        <v>47</v>
      </c>
      <c r="F58" s="98">
        <v>540</v>
      </c>
      <c r="G58" s="39"/>
    </row>
    <row r="59" spans="1:7" ht="12.75" customHeight="1">
      <c r="A59" s="24"/>
      <c r="B59" s="34"/>
      <c r="C59" s="24"/>
      <c r="D59" s="24"/>
      <c r="E59" s="46" t="s">
        <v>56</v>
      </c>
      <c r="F59" s="98">
        <v>50089.64</v>
      </c>
      <c r="G59" s="39"/>
    </row>
    <row r="60" spans="1:7" ht="12.75" customHeight="1">
      <c r="A60" s="24"/>
      <c r="B60" s="34"/>
      <c r="C60" s="24"/>
      <c r="D60" s="24"/>
      <c r="E60" s="46" t="s">
        <v>103</v>
      </c>
      <c r="F60" s="98">
        <v>6408.95</v>
      </c>
      <c r="G60" s="39"/>
    </row>
    <row r="61" spans="1:7" s="1" customFormat="1" ht="12.75" customHeight="1">
      <c r="A61" s="69"/>
      <c r="B61" s="70"/>
      <c r="C61" s="90"/>
      <c r="D61" s="90"/>
      <c r="E61" s="71" t="s">
        <v>58</v>
      </c>
      <c r="F61" s="100">
        <v>10982.63</v>
      </c>
      <c r="G61" s="72"/>
    </row>
    <row r="62" spans="1:7" ht="12.75" customHeight="1">
      <c r="A62" s="24"/>
      <c r="B62" s="34"/>
      <c r="C62" s="24"/>
      <c r="D62" s="24"/>
      <c r="E62" s="46" t="s">
        <v>77</v>
      </c>
      <c r="F62" s="98">
        <v>162607.5</v>
      </c>
      <c r="G62" s="39"/>
    </row>
    <row r="63" spans="1:7" ht="13.5" customHeight="1">
      <c r="A63" s="24"/>
      <c r="B63" s="34"/>
      <c r="C63" s="24"/>
      <c r="D63" s="24"/>
      <c r="E63" s="46" t="s">
        <v>75</v>
      </c>
      <c r="F63" s="98">
        <v>661604.25</v>
      </c>
      <c r="G63" s="39"/>
    </row>
    <row r="64" spans="1:7" ht="13.5" customHeight="1">
      <c r="A64" s="24"/>
      <c r="B64" s="34"/>
      <c r="C64" s="24"/>
      <c r="D64" s="24"/>
      <c r="E64" s="46" t="s">
        <v>132</v>
      </c>
      <c r="F64" s="98">
        <v>3268.09</v>
      </c>
      <c r="G64" s="39"/>
    </row>
    <row r="65" spans="1:7" ht="13.5" customHeight="1">
      <c r="A65" s="24"/>
      <c r="B65" s="34"/>
      <c r="C65" s="24"/>
      <c r="D65" s="24"/>
      <c r="E65" s="46" t="s">
        <v>205</v>
      </c>
      <c r="F65" s="98">
        <v>1400.64</v>
      </c>
      <c r="G65" s="39"/>
    </row>
    <row r="66" spans="1:7" ht="12.75" customHeight="1">
      <c r="A66" s="24"/>
      <c r="B66" s="34"/>
      <c r="C66" s="24"/>
      <c r="D66" s="24"/>
      <c r="E66" s="46" t="s">
        <v>133</v>
      </c>
      <c r="F66" s="98">
        <v>15882.93</v>
      </c>
      <c r="G66" s="39"/>
    </row>
    <row r="67" spans="1:7" ht="12.75" customHeight="1">
      <c r="A67" s="24"/>
      <c r="B67" s="34"/>
      <c r="C67" s="24"/>
      <c r="D67" s="24"/>
      <c r="E67" s="46" t="s">
        <v>134</v>
      </c>
      <c r="F67" s="98">
        <v>896.85</v>
      </c>
      <c r="G67" s="39"/>
    </row>
    <row r="68" spans="1:7" ht="12.75" customHeight="1">
      <c r="A68" s="24"/>
      <c r="B68" s="34"/>
      <c r="C68" s="24"/>
      <c r="D68" s="24"/>
      <c r="E68" s="46" t="s">
        <v>157</v>
      </c>
      <c r="F68" s="100">
        <f>(241778.57+127438.93-4005.39)*19.95/100</f>
        <v>72859.815945</v>
      </c>
      <c r="G68" s="118"/>
    </row>
    <row r="69" spans="1:7" ht="12.75" customHeight="1">
      <c r="A69" s="24"/>
      <c r="B69" s="34"/>
      <c r="C69" s="24"/>
      <c r="D69" s="24"/>
      <c r="E69" s="46"/>
      <c r="F69" s="88"/>
      <c r="G69" s="119"/>
    </row>
    <row r="70" spans="1:7" ht="12.75" customHeight="1">
      <c r="A70" s="24"/>
      <c r="B70" s="34"/>
      <c r="C70" s="24" t="s">
        <v>20</v>
      </c>
      <c r="D70" s="24"/>
      <c r="E70" s="45"/>
      <c r="F70" s="94">
        <f>SUM(F71:F71)</f>
        <v>547.54371</v>
      </c>
      <c r="G70" s="39"/>
    </row>
    <row r="71" spans="1:7" ht="12.75" customHeight="1">
      <c r="A71" s="24"/>
      <c r="B71" s="34"/>
      <c r="C71" s="24"/>
      <c r="D71" s="24"/>
      <c r="E71" s="46" t="s">
        <v>156</v>
      </c>
      <c r="F71" s="98">
        <f>2744.58*19.95/100</f>
        <v>547.54371</v>
      </c>
      <c r="G71" s="39"/>
    </row>
    <row r="72" spans="1:7" ht="12.75" customHeight="1">
      <c r="A72" s="24"/>
      <c r="B72" s="34"/>
      <c r="C72" s="24"/>
      <c r="D72" s="24"/>
      <c r="E72" s="46"/>
      <c r="F72" s="77"/>
      <c r="G72" s="39"/>
    </row>
    <row r="73" spans="1:7" ht="12.75" customHeight="1">
      <c r="A73" s="24"/>
      <c r="B73" s="34"/>
      <c r="C73" s="24" t="s">
        <v>21</v>
      </c>
      <c r="D73" s="24"/>
      <c r="E73" s="45"/>
      <c r="F73" s="95">
        <f>SUM(F74:F78)</f>
        <v>261003.086995</v>
      </c>
      <c r="G73" s="39"/>
    </row>
    <row r="74" spans="1:7" ht="12.75" customHeight="1">
      <c r="A74" s="24"/>
      <c r="B74" s="34"/>
      <c r="D74" s="47" t="s">
        <v>22</v>
      </c>
      <c r="E74" s="48"/>
      <c r="F74" s="98">
        <f>150769.23+((146511.24+8163.97+17733.75+66364.61)*19.95/100)</f>
        <v>198404.557215</v>
      </c>
      <c r="G74" s="39"/>
    </row>
    <row r="75" spans="1:7" ht="12.75" customHeight="1">
      <c r="A75" s="24"/>
      <c r="B75" s="34"/>
      <c r="D75" s="47" t="s">
        <v>23</v>
      </c>
      <c r="E75" s="48"/>
      <c r="F75" s="98">
        <f>36815.22+((33776.82+2815.43+2083.45+9646.31+15927.59)*19.95/100)</f>
        <v>49633.0152</v>
      </c>
      <c r="G75" s="39"/>
    </row>
    <row r="76" spans="1:7" ht="12.75" customHeight="1">
      <c r="A76" s="24"/>
      <c r="B76" s="34"/>
      <c r="D76" s="47" t="s">
        <v>24</v>
      </c>
      <c r="E76" s="48"/>
      <c r="F76" s="98">
        <f>8415.55+((17387.4+5419.44)*19.95/100)</f>
        <v>12965.51458</v>
      </c>
      <c r="G76" s="39"/>
    </row>
    <row r="77" spans="1:7" ht="12.75" customHeight="1">
      <c r="A77" s="24"/>
      <c r="B77" s="34"/>
      <c r="D77" s="47" t="s">
        <v>25</v>
      </c>
      <c r="E77" s="48"/>
      <c r="F77" s="98">
        <v>0</v>
      </c>
      <c r="G77" s="39"/>
    </row>
    <row r="78" spans="1:7" ht="12.75" customHeight="1">
      <c r="A78" s="24"/>
      <c r="B78" s="34"/>
      <c r="D78" s="47" t="s">
        <v>26</v>
      </c>
      <c r="E78" s="48"/>
      <c r="F78" s="98">
        <v>0</v>
      </c>
      <c r="G78" s="39"/>
    </row>
    <row r="79" spans="1:7" ht="12.75" customHeight="1">
      <c r="A79" s="24"/>
      <c r="B79" s="34"/>
      <c r="D79" s="47"/>
      <c r="E79" s="48"/>
      <c r="F79" s="77"/>
      <c r="G79" s="39"/>
    </row>
    <row r="80" spans="1:7" ht="12.75" customHeight="1">
      <c r="A80" s="24"/>
      <c r="B80" s="34"/>
      <c r="C80" s="24" t="s">
        <v>27</v>
      </c>
      <c r="D80" s="24"/>
      <c r="E80" s="45"/>
      <c r="F80" s="95">
        <f>SUM(F81:F85)</f>
        <v>25462.0662</v>
      </c>
      <c r="G80" s="39"/>
    </row>
    <row r="81" spans="1:7" ht="12.75" customHeight="1">
      <c r="A81" s="24"/>
      <c r="B81" s="34"/>
      <c r="C81" s="24"/>
      <c r="D81" s="47" t="s">
        <v>28</v>
      </c>
      <c r="E81" s="48"/>
      <c r="F81" s="98">
        <f>5523.38+(7338.54*19.95/100)</f>
        <v>6987.41873</v>
      </c>
      <c r="G81" s="39"/>
    </row>
    <row r="82" spans="1:7" ht="12.75" customHeight="1">
      <c r="A82" s="24"/>
      <c r="B82" s="34"/>
      <c r="D82" s="47" t="s">
        <v>29</v>
      </c>
      <c r="E82" s="49"/>
      <c r="F82" s="98">
        <f>14195.56+(21449.06*19.95/100)</f>
        <v>18474.64747</v>
      </c>
      <c r="G82" s="39"/>
    </row>
    <row r="83" spans="1:7" ht="12.75" customHeight="1">
      <c r="A83" s="24"/>
      <c r="B83" s="34"/>
      <c r="D83" s="47" t="s">
        <v>31</v>
      </c>
      <c r="E83" s="48"/>
      <c r="F83" s="98">
        <v>0</v>
      </c>
      <c r="G83" s="39"/>
    </row>
    <row r="84" spans="1:7" ht="12.75" customHeight="1">
      <c r="A84" s="24"/>
      <c r="B84" s="34"/>
      <c r="D84" s="47" t="s">
        <v>32</v>
      </c>
      <c r="E84" s="48"/>
      <c r="F84" s="98"/>
      <c r="G84" s="39"/>
    </row>
    <row r="85" spans="1:7" ht="12.75" customHeight="1">
      <c r="A85" s="24"/>
      <c r="B85" s="34"/>
      <c r="D85" s="47"/>
      <c r="E85" s="49" t="s">
        <v>33</v>
      </c>
      <c r="F85" s="98">
        <v>0</v>
      </c>
      <c r="G85" s="39"/>
    </row>
    <row r="86" spans="1:7" ht="12.75" customHeight="1">
      <c r="A86" s="24"/>
      <c r="B86" s="34"/>
      <c r="D86" s="47"/>
      <c r="E86" s="49"/>
      <c r="F86" s="88"/>
      <c r="G86" s="39"/>
    </row>
    <row r="87" spans="1:7" ht="12.75" customHeight="1">
      <c r="A87" s="24"/>
      <c r="B87" s="34"/>
      <c r="C87" s="24" t="s">
        <v>34</v>
      </c>
      <c r="D87" s="24"/>
      <c r="E87" s="45"/>
      <c r="F87" s="74"/>
      <c r="G87" s="39"/>
    </row>
    <row r="88" spans="1:7" ht="12.75" customHeight="1">
      <c r="A88" s="24"/>
      <c r="B88" s="34"/>
      <c r="D88" s="24"/>
      <c r="E88" s="50" t="s">
        <v>35</v>
      </c>
      <c r="F88" s="96">
        <v>0</v>
      </c>
      <c r="G88" s="39"/>
    </row>
    <row r="89" spans="1:7" ht="12.75" customHeight="1">
      <c r="A89" s="24"/>
      <c r="B89" s="34"/>
      <c r="D89" s="24"/>
      <c r="E89" s="50"/>
      <c r="F89" s="74"/>
      <c r="G89" s="39"/>
    </row>
    <row r="90" spans="1:7" ht="12.75" customHeight="1">
      <c r="A90" s="24"/>
      <c r="B90" s="34"/>
      <c r="C90" s="24" t="s">
        <v>36</v>
      </c>
      <c r="D90" s="24"/>
      <c r="E90" s="45"/>
      <c r="F90" s="96">
        <v>0</v>
      </c>
      <c r="G90" s="39"/>
    </row>
    <row r="91" spans="1:7" ht="12.75" customHeight="1">
      <c r="A91" s="24"/>
      <c r="B91" s="34"/>
      <c r="C91" s="24"/>
      <c r="D91" s="24"/>
      <c r="E91" s="45"/>
      <c r="F91" s="74"/>
      <c r="G91" s="39"/>
    </row>
    <row r="92" spans="1:7" ht="12.75" customHeight="1">
      <c r="A92" s="24"/>
      <c r="B92" s="34"/>
      <c r="C92" s="24" t="s">
        <v>37</v>
      </c>
      <c r="D92" s="24"/>
      <c r="E92" s="45"/>
      <c r="F92" s="96">
        <v>0</v>
      </c>
      <c r="G92" s="39"/>
    </row>
    <row r="93" spans="1:7" ht="12.75" customHeight="1">
      <c r="A93" s="24"/>
      <c r="B93" s="34"/>
      <c r="C93" s="24"/>
      <c r="D93" s="24"/>
      <c r="E93" s="45"/>
      <c r="F93" s="74"/>
      <c r="G93" s="39"/>
    </row>
    <row r="94" spans="1:7" ht="12.75" customHeight="1">
      <c r="A94" s="24"/>
      <c r="B94" s="34"/>
      <c r="C94" s="24" t="s">
        <v>38</v>
      </c>
      <c r="D94" s="24"/>
      <c r="E94" s="45"/>
      <c r="F94" s="96">
        <f>SUM(F95:F101)</f>
        <v>17385.146535000003</v>
      </c>
      <c r="G94" s="39"/>
    </row>
    <row r="95" spans="1:7" ht="12.75" customHeight="1">
      <c r="A95" s="24"/>
      <c r="B95" s="34"/>
      <c r="C95" s="24"/>
      <c r="D95" s="24"/>
      <c r="E95" s="45" t="s">
        <v>108</v>
      </c>
      <c r="F95" s="80">
        <v>1081.35</v>
      </c>
      <c r="G95" s="39"/>
    </row>
    <row r="96" spans="1:7" ht="12.75" customHeight="1">
      <c r="A96" s="24"/>
      <c r="B96" s="34"/>
      <c r="C96" s="24"/>
      <c r="D96" s="24"/>
      <c r="E96" s="45" t="s">
        <v>207</v>
      </c>
      <c r="F96" s="80">
        <v>9155.19</v>
      </c>
      <c r="G96" s="39"/>
    </row>
    <row r="97" spans="1:7" ht="12.75" customHeight="1">
      <c r="A97" s="24"/>
      <c r="B97" s="34"/>
      <c r="C97" s="24"/>
      <c r="D97" s="24"/>
      <c r="E97" s="51" t="s">
        <v>109</v>
      </c>
      <c r="F97" s="80">
        <v>164</v>
      </c>
      <c r="G97" s="39"/>
    </row>
    <row r="98" spans="1:7" ht="12.75" customHeight="1">
      <c r="A98" s="24"/>
      <c r="B98" s="34"/>
      <c r="C98" s="24"/>
      <c r="D98" s="24"/>
      <c r="E98" s="46" t="s">
        <v>206</v>
      </c>
      <c r="F98" s="80">
        <v>3029.86</v>
      </c>
      <c r="G98" s="39"/>
    </row>
    <row r="99" spans="1:7" ht="12.75" customHeight="1">
      <c r="A99" s="24"/>
      <c r="B99" s="34"/>
      <c r="C99" s="24"/>
      <c r="D99" s="24"/>
      <c r="E99" s="46" t="s">
        <v>57</v>
      </c>
      <c r="F99" s="80">
        <v>257</v>
      </c>
      <c r="G99" s="39"/>
    </row>
    <row r="100" spans="1:7" ht="12.75" customHeight="1">
      <c r="A100" s="24"/>
      <c r="B100" s="34"/>
      <c r="C100" s="24"/>
      <c r="D100" s="24" t="s">
        <v>0</v>
      </c>
      <c r="E100" s="46" t="s">
        <v>110</v>
      </c>
      <c r="F100" s="98">
        <v>274.54</v>
      </c>
      <c r="G100" s="39"/>
    </row>
    <row r="101" spans="1:7" ht="12.75" customHeight="1">
      <c r="A101" s="24"/>
      <c r="B101" s="34"/>
      <c r="C101" s="24"/>
      <c r="D101" s="24"/>
      <c r="E101" s="46" t="s">
        <v>157</v>
      </c>
      <c r="F101" s="115">
        <f>17158.93*19.95/100</f>
        <v>3423.2065350000003</v>
      </c>
      <c r="G101" s="111"/>
    </row>
    <row r="102" spans="1:7" ht="12.75" customHeight="1">
      <c r="A102" s="24"/>
      <c r="B102" s="34"/>
      <c r="C102" s="24"/>
      <c r="D102" s="24"/>
      <c r="E102" s="50"/>
      <c r="F102" s="74" t="s">
        <v>0</v>
      </c>
      <c r="G102" s="39"/>
    </row>
    <row r="103" spans="1:7" ht="15" customHeight="1">
      <c r="A103" s="52"/>
      <c r="B103" s="37" t="s">
        <v>39</v>
      </c>
      <c r="C103" s="53"/>
      <c r="D103" s="53"/>
      <c r="E103" s="46"/>
      <c r="F103" s="74" t="s">
        <v>0</v>
      </c>
      <c r="G103" s="97">
        <f>G19+G34</f>
        <v>21815.1823499999</v>
      </c>
    </row>
    <row r="104" spans="1:7" ht="12.75" customHeight="1">
      <c r="A104" s="24"/>
      <c r="B104" s="54" t="s">
        <v>40</v>
      </c>
      <c r="C104" s="24"/>
      <c r="D104" s="24"/>
      <c r="E104" s="50"/>
      <c r="F104" s="74" t="s">
        <v>0</v>
      </c>
      <c r="G104" s="55"/>
    </row>
    <row r="105" spans="2:7" ht="12" customHeight="1">
      <c r="B105" s="56"/>
      <c r="E105" s="45"/>
      <c r="F105" s="74" t="s">
        <v>0</v>
      </c>
      <c r="G105" s="55"/>
    </row>
    <row r="106" spans="2:7" ht="15" customHeight="1">
      <c r="B106" s="37" t="s">
        <v>65</v>
      </c>
      <c r="C106" s="42"/>
      <c r="D106" s="42"/>
      <c r="E106" s="57"/>
      <c r="F106" s="75"/>
      <c r="G106" s="97">
        <f>SUM(F108:F110)</f>
        <v>38943.323685</v>
      </c>
    </row>
    <row r="107" spans="2:7" ht="12">
      <c r="B107" s="56"/>
      <c r="E107" s="45"/>
      <c r="F107" s="74"/>
      <c r="G107" s="55"/>
    </row>
    <row r="108" spans="2:7" ht="15">
      <c r="B108" s="34"/>
      <c r="C108" s="24" t="s">
        <v>62</v>
      </c>
      <c r="D108" s="24"/>
      <c r="E108" s="45"/>
      <c r="F108" s="94">
        <f>212506*19.95/100</f>
        <v>42394.947</v>
      </c>
      <c r="G108" s="55"/>
    </row>
    <row r="109" spans="2:7" ht="14.25">
      <c r="B109" s="56"/>
      <c r="C109" s="24" t="s">
        <v>63</v>
      </c>
      <c r="E109" s="45"/>
      <c r="F109" s="101">
        <f>9934.2*19.95/100</f>
        <v>1981.8729</v>
      </c>
      <c r="G109" s="55"/>
    </row>
    <row r="110" spans="2:7" ht="14.25">
      <c r="B110" s="56"/>
      <c r="C110" s="24" t="s">
        <v>64</v>
      </c>
      <c r="E110" s="45"/>
      <c r="F110" s="101">
        <f>(-4005.39-23230.18)*19.95/100</f>
        <v>-5433.496215</v>
      </c>
      <c r="G110" s="55"/>
    </row>
    <row r="111" spans="2:7" ht="12">
      <c r="B111" s="56"/>
      <c r="E111" s="45"/>
      <c r="F111" s="74"/>
      <c r="G111" s="55"/>
    </row>
    <row r="112" spans="2:7" ht="15.75">
      <c r="B112" s="37" t="s">
        <v>66</v>
      </c>
      <c r="C112" s="42"/>
      <c r="D112" s="42"/>
      <c r="E112" s="57"/>
      <c r="F112" s="105">
        <v>0</v>
      </c>
      <c r="G112" s="109">
        <v>0</v>
      </c>
    </row>
    <row r="113" spans="2:7" ht="12">
      <c r="B113" s="56"/>
      <c r="E113" s="45"/>
      <c r="F113" s="74"/>
      <c r="G113" s="55"/>
    </row>
    <row r="114" spans="2:7" ht="15.75">
      <c r="B114" s="37" t="s">
        <v>61</v>
      </c>
      <c r="C114" s="42"/>
      <c r="D114" s="42"/>
      <c r="E114" s="57"/>
      <c r="F114" s="75"/>
      <c r="G114" s="97">
        <f>SUM(F116-F118)</f>
        <v>1436.4024199999997</v>
      </c>
    </row>
    <row r="115" spans="2:7" ht="12">
      <c r="B115" s="56"/>
      <c r="E115" s="45"/>
      <c r="F115" s="74"/>
      <c r="G115" s="55"/>
    </row>
    <row r="116" spans="2:7" ht="14.25">
      <c r="B116" s="56"/>
      <c r="C116" s="24" t="s">
        <v>67</v>
      </c>
      <c r="E116" s="45"/>
      <c r="F116" s="101">
        <f>SUM(F117)</f>
        <v>2641.3939649999998</v>
      </c>
      <c r="G116" s="55"/>
    </row>
    <row r="117" spans="2:7" ht="12">
      <c r="B117" s="56"/>
      <c r="C117" s="24"/>
      <c r="D117" s="121" t="s">
        <v>194</v>
      </c>
      <c r="E117" s="122"/>
      <c r="F117" s="74">
        <f>13240.07*19.95/100</f>
        <v>2641.3939649999998</v>
      </c>
      <c r="G117" s="55"/>
    </row>
    <row r="118" spans="2:7" ht="14.25">
      <c r="B118" s="56"/>
      <c r="C118" s="24" t="s">
        <v>68</v>
      </c>
      <c r="E118" s="45"/>
      <c r="F118" s="101">
        <f>67.66+(5700.91*19.95/100)</f>
        <v>1204.991545</v>
      </c>
      <c r="G118" s="55"/>
    </row>
    <row r="119" spans="2:7" ht="14.25">
      <c r="B119" s="56"/>
      <c r="E119" s="45"/>
      <c r="F119" s="101"/>
      <c r="G119" s="55"/>
    </row>
    <row r="120" spans="2:7" ht="15.75">
      <c r="B120" s="59" t="s">
        <v>69</v>
      </c>
      <c r="C120" s="43"/>
      <c r="D120" s="43"/>
      <c r="E120" s="57"/>
      <c r="F120" s="101">
        <f>(103092*19.95/100)+6.29</f>
        <v>20573.144</v>
      </c>
      <c r="G120" s="97">
        <f>F120</f>
        <v>20573.144</v>
      </c>
    </row>
    <row r="121" spans="2:7" ht="15">
      <c r="B121" s="56"/>
      <c r="E121" s="45"/>
      <c r="F121" s="74"/>
      <c r="G121" s="106"/>
    </row>
    <row r="122" spans="2:7" ht="15.75">
      <c r="B122" s="37"/>
      <c r="E122" s="60" t="s">
        <v>70</v>
      </c>
      <c r="F122" s="74"/>
      <c r="G122" s="102">
        <f>G103+G106-G112+G114-G120</f>
        <v>41621.7644549999</v>
      </c>
    </row>
    <row r="123" spans="2:7" ht="12">
      <c r="B123" s="61"/>
      <c r="C123" s="62"/>
      <c r="D123" s="62"/>
      <c r="E123" s="63"/>
      <c r="F123" s="64"/>
      <c r="G123" s="65"/>
    </row>
  </sheetData>
  <mergeCells count="5">
    <mergeCell ref="D117:E117"/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1" max="6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92">
      <selection activeCell="F92" sqref="F92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21.7539062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208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5.7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5.75" customHeight="1">
      <c r="A19" s="24"/>
      <c r="B19" s="37" t="s">
        <v>5</v>
      </c>
      <c r="C19" s="24"/>
      <c r="D19" s="24"/>
      <c r="F19" s="35"/>
      <c r="G19" s="92">
        <f>F20+F23+F24+F25+F27</f>
        <v>29196.726624000003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SUM(F21:F21)</f>
        <v>27267.99</v>
      </c>
      <c r="G20" s="38"/>
    </row>
    <row r="21" spans="1:7" ht="12.75" customHeight="1">
      <c r="A21" s="24"/>
      <c r="B21" s="34"/>
      <c r="C21" s="24"/>
      <c r="D21" s="24" t="s">
        <v>30</v>
      </c>
      <c r="E21" s="25" t="s">
        <v>209</v>
      </c>
      <c r="F21" s="89">
        <v>27267.99</v>
      </c>
      <c r="G21" s="38"/>
    </row>
    <row r="22" spans="1:7" ht="12.75" customHeight="1">
      <c r="A22" s="24"/>
      <c r="B22" s="34"/>
      <c r="C22" s="24" t="s">
        <v>8</v>
      </c>
      <c r="D22" s="24" t="s">
        <v>9</v>
      </c>
      <c r="F22" s="74"/>
      <c r="G22" s="38"/>
    </row>
    <row r="23" spans="1:7" ht="12.75" customHeight="1">
      <c r="A23" s="24"/>
      <c r="B23" s="34"/>
      <c r="C23" s="24"/>
      <c r="D23" s="24" t="s">
        <v>10</v>
      </c>
      <c r="F23" s="74">
        <v>0</v>
      </c>
      <c r="G23" s="38"/>
    </row>
    <row r="24" spans="1:7" ht="12.75" customHeight="1">
      <c r="A24" s="24"/>
      <c r="B24" s="34"/>
      <c r="C24" s="24" t="s">
        <v>11</v>
      </c>
      <c r="D24" s="24" t="s">
        <v>12</v>
      </c>
      <c r="F24" s="74">
        <v>0</v>
      </c>
      <c r="G24" s="38"/>
    </row>
    <row r="25" spans="1:7" ht="12.75" customHeight="1">
      <c r="A25" s="24"/>
      <c r="B25" s="34"/>
      <c r="C25" s="24" t="s">
        <v>13</v>
      </c>
      <c r="D25" s="24"/>
      <c r="F25" s="74">
        <v>0</v>
      </c>
      <c r="G25" s="38"/>
    </row>
    <row r="26" spans="1:7" ht="12.75" customHeight="1">
      <c r="A26" s="24"/>
      <c r="B26" s="34"/>
      <c r="C26" s="24" t="s">
        <v>14</v>
      </c>
      <c r="D26" s="24"/>
      <c r="F26" s="74" t="s">
        <v>0</v>
      </c>
      <c r="G26" s="39"/>
    </row>
    <row r="27" spans="1:7" ht="12.75" customHeight="1">
      <c r="A27" s="24"/>
      <c r="B27" s="34"/>
      <c r="C27" s="24"/>
      <c r="D27" s="24" t="s">
        <v>15</v>
      </c>
      <c r="F27" s="93">
        <f>SUM(F28:F29)</f>
        <v>1928.7366240000001</v>
      </c>
      <c r="G27" s="39"/>
    </row>
    <row r="28" spans="1:7" ht="12.75" customHeight="1">
      <c r="A28" s="24"/>
      <c r="B28" s="34"/>
      <c r="C28" s="24"/>
      <c r="D28" s="40" t="s">
        <v>30</v>
      </c>
      <c r="E28" s="25" t="s">
        <v>53</v>
      </c>
      <c r="F28" s="89">
        <v>229.87</v>
      </c>
      <c r="G28" s="41"/>
    </row>
    <row r="29" spans="1:7" ht="12.75" customHeight="1">
      <c r="A29" s="24"/>
      <c r="B29" s="34"/>
      <c r="C29" s="24"/>
      <c r="D29" s="24" t="s">
        <v>30</v>
      </c>
      <c r="E29" s="24" t="s">
        <v>155</v>
      </c>
      <c r="F29" s="74">
        <f>265447.91*0.64/100</f>
        <v>1698.866624</v>
      </c>
      <c r="G29" s="39"/>
    </row>
    <row r="30" spans="1:7" ht="12.75" customHeight="1">
      <c r="A30" s="24"/>
      <c r="B30" s="34"/>
      <c r="C30" s="24"/>
      <c r="D30" s="24"/>
      <c r="E30" s="24"/>
      <c r="F30" s="74"/>
      <c r="G30" s="39"/>
    </row>
    <row r="31" spans="1:7" s="44" customFormat="1" ht="15.75" customHeight="1">
      <c r="A31" s="42"/>
      <c r="B31" s="37" t="s">
        <v>16</v>
      </c>
      <c r="C31" s="42"/>
      <c r="D31" s="42"/>
      <c r="E31" s="43"/>
      <c r="F31" s="75"/>
      <c r="G31" s="92">
        <f>-(F33+F39+F46+F49+G18+F56+F64+F66+F68+F70)</f>
        <v>-46823.928704</v>
      </c>
    </row>
    <row r="32" spans="1:7" ht="12.75" customHeight="1">
      <c r="A32" s="24"/>
      <c r="B32" s="34"/>
      <c r="C32" s="24" t="s">
        <v>17</v>
      </c>
      <c r="D32" s="24"/>
      <c r="F32" s="74" t="s">
        <v>0</v>
      </c>
      <c r="G32" s="39"/>
    </row>
    <row r="33" spans="1:7" ht="12.75" customHeight="1">
      <c r="A33" s="24"/>
      <c r="B33" s="34"/>
      <c r="D33" s="24" t="s">
        <v>18</v>
      </c>
      <c r="E33" s="45"/>
      <c r="F33" s="91">
        <f>SUM(F34:F37)</f>
        <v>971.296032</v>
      </c>
      <c r="G33" s="39"/>
    </row>
    <row r="34" spans="1:7" ht="12.75" customHeight="1">
      <c r="A34" s="24"/>
      <c r="B34" s="34"/>
      <c r="D34" s="24"/>
      <c r="E34" s="45" t="s">
        <v>72</v>
      </c>
      <c r="F34" s="98">
        <v>376.2</v>
      </c>
      <c r="G34" s="39"/>
    </row>
    <row r="35" spans="1:7" ht="12.75" customHeight="1">
      <c r="A35" s="24"/>
      <c r="B35" s="34"/>
      <c r="D35" s="24"/>
      <c r="E35" s="45" t="s">
        <v>73</v>
      </c>
      <c r="F35" s="98">
        <f>403.5+97.2</f>
        <v>500.7</v>
      </c>
      <c r="G35" s="39"/>
    </row>
    <row r="36" spans="1:7" ht="12.75" customHeight="1">
      <c r="A36" s="24"/>
      <c r="B36" s="34"/>
      <c r="D36" s="24"/>
      <c r="E36" s="46" t="s">
        <v>43</v>
      </c>
      <c r="F36" s="98">
        <v>22.08</v>
      </c>
      <c r="G36" s="39"/>
    </row>
    <row r="37" spans="1:7" ht="12.75" customHeight="1">
      <c r="A37" s="24"/>
      <c r="B37" s="34"/>
      <c r="D37" s="24"/>
      <c r="E37" s="45" t="s">
        <v>156</v>
      </c>
      <c r="F37" s="74">
        <f>11299.38*0.64/100</f>
        <v>72.31603199999999</v>
      </c>
      <c r="G37" s="39"/>
    </row>
    <row r="38" spans="1:7" ht="12.75" customHeight="1">
      <c r="A38" s="24"/>
      <c r="B38" s="34"/>
      <c r="D38" s="24"/>
      <c r="E38" s="45"/>
      <c r="F38" s="88"/>
      <c r="G38" s="39"/>
    </row>
    <row r="39" spans="1:7" ht="12.75" customHeight="1">
      <c r="A39" s="24"/>
      <c r="B39" s="34"/>
      <c r="C39" s="24" t="s">
        <v>19</v>
      </c>
      <c r="D39" s="24"/>
      <c r="E39" s="45"/>
      <c r="F39" s="91">
        <f>SUM(F40:F44)</f>
        <v>4253.227504</v>
      </c>
      <c r="G39" s="39"/>
    </row>
    <row r="40" spans="1:7" ht="12.75" customHeight="1">
      <c r="A40" s="24"/>
      <c r="B40" s="34"/>
      <c r="C40" s="24"/>
      <c r="D40" s="24"/>
      <c r="E40" s="46" t="s">
        <v>106</v>
      </c>
      <c r="F40" s="98">
        <v>586.93</v>
      </c>
      <c r="G40" s="39"/>
    </row>
    <row r="41" spans="1:7" ht="12.75" customHeight="1">
      <c r="A41" s="24"/>
      <c r="B41" s="34"/>
      <c r="C41" s="24"/>
      <c r="D41" s="24"/>
      <c r="E41" s="46" t="s">
        <v>46</v>
      </c>
      <c r="F41" s="98">
        <v>3</v>
      </c>
      <c r="G41" s="39"/>
    </row>
    <row r="42" spans="1:7" ht="12.75" customHeight="1">
      <c r="A42" s="24"/>
      <c r="B42" s="34"/>
      <c r="C42" s="24"/>
      <c r="D42" s="24"/>
      <c r="E42" s="46" t="s">
        <v>195</v>
      </c>
      <c r="F42" s="98">
        <v>65.22</v>
      </c>
      <c r="G42" s="39"/>
    </row>
    <row r="43" spans="1:7" ht="12.75" customHeight="1">
      <c r="A43" s="24"/>
      <c r="B43" s="34"/>
      <c r="C43" s="24"/>
      <c r="D43" s="24"/>
      <c r="E43" s="46" t="s">
        <v>129</v>
      </c>
      <c r="F43" s="98">
        <v>1260.72</v>
      </c>
      <c r="G43" s="39"/>
    </row>
    <row r="44" spans="1:7" ht="12.75" customHeight="1">
      <c r="A44" s="24"/>
      <c r="B44" s="34"/>
      <c r="C44" s="24"/>
      <c r="D44" s="24"/>
      <c r="E44" s="46" t="s">
        <v>157</v>
      </c>
      <c r="F44" s="100">
        <f>(241778.57+127438.93-4005.39)*0.64/100</f>
        <v>2337.357504</v>
      </c>
      <c r="G44" s="118"/>
    </row>
    <row r="45" spans="1:7" ht="12.75" customHeight="1">
      <c r="A45" s="24"/>
      <c r="B45" s="34"/>
      <c r="C45" s="24"/>
      <c r="D45" s="24"/>
      <c r="E45" s="46"/>
      <c r="F45" s="88"/>
      <c r="G45" s="119"/>
    </row>
    <row r="46" spans="1:7" ht="12.75" customHeight="1">
      <c r="A46" s="24"/>
      <c r="B46" s="34"/>
      <c r="C46" s="24" t="s">
        <v>20</v>
      </c>
      <c r="D46" s="24"/>
      <c r="E46" s="45"/>
      <c r="F46" s="94">
        <f>SUM(F47:F47)</f>
        <v>17.565312</v>
      </c>
      <c r="G46" s="39"/>
    </row>
    <row r="47" spans="1:7" ht="12.75" customHeight="1">
      <c r="A47" s="24"/>
      <c r="B47" s="34"/>
      <c r="C47" s="24"/>
      <c r="D47" s="24"/>
      <c r="E47" s="46" t="s">
        <v>156</v>
      </c>
      <c r="F47" s="98">
        <f>2744.58*0.64/100</f>
        <v>17.565312</v>
      </c>
      <c r="G47" s="39"/>
    </row>
    <row r="48" spans="1:7" ht="12.75" customHeight="1">
      <c r="A48" s="24"/>
      <c r="B48" s="34"/>
      <c r="C48" s="24"/>
      <c r="D48" s="24"/>
      <c r="E48" s="46"/>
      <c r="F48" s="77"/>
      <c r="G48" s="39"/>
    </row>
    <row r="49" spans="1:7" ht="12.75" customHeight="1">
      <c r="A49" s="24"/>
      <c r="B49" s="34"/>
      <c r="C49" s="24" t="s">
        <v>21</v>
      </c>
      <c r="D49" s="24"/>
      <c r="E49" s="45"/>
      <c r="F49" s="95">
        <f>SUM(F50:F54)</f>
        <v>37085.312064</v>
      </c>
      <c r="G49" s="39"/>
    </row>
    <row r="50" spans="1:7" ht="12.75" customHeight="1">
      <c r="A50" s="24"/>
      <c r="B50" s="34"/>
      <c r="D50" s="47" t="s">
        <v>22</v>
      </c>
      <c r="E50" s="48"/>
      <c r="F50" s="98">
        <f>24923.08+((146511.24+8163.97+17733.75+66364.61)*0.64/100)</f>
        <v>26451.230848000003</v>
      </c>
      <c r="G50" s="39"/>
    </row>
    <row r="51" spans="1:7" ht="12.75" customHeight="1">
      <c r="A51" s="24"/>
      <c r="B51" s="34"/>
      <c r="D51" s="47" t="s">
        <v>23</v>
      </c>
      <c r="E51" s="48"/>
      <c r="F51" s="98">
        <f>8076.92+((33776.82+2815.43+2083.45+9646.31+15927.59)*0.64/100)</f>
        <v>8488.11744</v>
      </c>
      <c r="G51" s="39"/>
    </row>
    <row r="52" spans="1:7" ht="12.75" customHeight="1">
      <c r="A52" s="24"/>
      <c r="B52" s="34"/>
      <c r="D52" s="47" t="s">
        <v>24</v>
      </c>
      <c r="E52" s="48"/>
      <c r="F52" s="98">
        <f>2000+((17387.4+5419.44)*0.64/100)</f>
        <v>2145.963776</v>
      </c>
      <c r="G52" s="39"/>
    </row>
    <row r="53" spans="1:7" ht="12.75" customHeight="1">
      <c r="A53" s="24"/>
      <c r="B53" s="34"/>
      <c r="D53" s="47" t="s">
        <v>25</v>
      </c>
      <c r="E53" s="48"/>
      <c r="F53" s="98">
        <v>0</v>
      </c>
      <c r="G53" s="39"/>
    </row>
    <row r="54" spans="1:7" ht="12.75" customHeight="1">
      <c r="A54" s="24"/>
      <c r="B54" s="34"/>
      <c r="D54" s="47" t="s">
        <v>26</v>
      </c>
      <c r="E54" s="48"/>
      <c r="F54" s="98">
        <v>0</v>
      </c>
      <c r="G54" s="39"/>
    </row>
    <row r="55" spans="1:7" ht="12.75" customHeight="1">
      <c r="A55" s="24"/>
      <c r="B55" s="34"/>
      <c r="D55" s="47"/>
      <c r="E55" s="48"/>
      <c r="F55" s="77"/>
      <c r="G55" s="39"/>
    </row>
    <row r="56" spans="1:7" ht="12.75" customHeight="1">
      <c r="A56" s="24"/>
      <c r="B56" s="34"/>
      <c r="C56" s="24" t="s">
        <v>27</v>
      </c>
      <c r="D56" s="24"/>
      <c r="E56" s="45"/>
      <c r="F56" s="95">
        <f>SUM(F57:F61)</f>
        <v>3972.61064</v>
      </c>
      <c r="G56" s="39"/>
    </row>
    <row r="57" spans="1:7" ht="12.75" customHeight="1">
      <c r="A57" s="24"/>
      <c r="B57" s="34"/>
      <c r="C57" s="24"/>
      <c r="D57" s="47" t="s">
        <v>28</v>
      </c>
      <c r="E57" s="48"/>
      <c r="F57" s="98">
        <f>1200+(7338.54*0.64/100)</f>
        <v>1246.966656</v>
      </c>
      <c r="G57" s="39"/>
    </row>
    <row r="58" spans="1:7" ht="12.75" customHeight="1">
      <c r="A58" s="24"/>
      <c r="B58" s="34"/>
      <c r="D58" s="47" t="s">
        <v>29</v>
      </c>
      <c r="E58" s="49"/>
      <c r="F58" s="98">
        <f>2588.37+(21449.06*0.64/100)</f>
        <v>2725.643984</v>
      </c>
      <c r="G58" s="39"/>
    </row>
    <row r="59" spans="1:7" ht="12.75" customHeight="1">
      <c r="A59" s="24"/>
      <c r="B59" s="34"/>
      <c r="D59" s="47" t="s">
        <v>31</v>
      </c>
      <c r="E59" s="48"/>
      <c r="F59" s="98">
        <v>0</v>
      </c>
      <c r="G59" s="39"/>
    </row>
    <row r="60" spans="1:7" ht="12.75" customHeight="1">
      <c r="A60" s="24"/>
      <c r="B60" s="34"/>
      <c r="D60" s="47" t="s">
        <v>32</v>
      </c>
      <c r="E60" s="48"/>
      <c r="F60" s="98"/>
      <c r="G60" s="39"/>
    </row>
    <row r="61" spans="1:7" ht="12.75" customHeight="1">
      <c r="A61" s="24"/>
      <c r="B61" s="34"/>
      <c r="D61" s="47"/>
      <c r="E61" s="49" t="s">
        <v>33</v>
      </c>
      <c r="F61" s="98">
        <v>0</v>
      </c>
      <c r="G61" s="39"/>
    </row>
    <row r="62" spans="1:7" ht="12.75" customHeight="1">
      <c r="A62" s="24"/>
      <c r="B62" s="34"/>
      <c r="D62" s="47"/>
      <c r="E62" s="49"/>
      <c r="F62" s="88"/>
      <c r="G62" s="39"/>
    </row>
    <row r="63" spans="1:7" ht="12.75" customHeight="1">
      <c r="A63" s="24"/>
      <c r="B63" s="34"/>
      <c r="C63" s="24" t="s">
        <v>34</v>
      </c>
      <c r="D63" s="24"/>
      <c r="E63" s="45"/>
      <c r="F63" s="74"/>
      <c r="G63" s="39"/>
    </row>
    <row r="64" spans="1:7" ht="12.75" customHeight="1">
      <c r="A64" s="24"/>
      <c r="B64" s="34"/>
      <c r="D64" s="24"/>
      <c r="E64" s="50" t="s">
        <v>35</v>
      </c>
      <c r="F64" s="96">
        <v>0</v>
      </c>
      <c r="G64" s="39"/>
    </row>
    <row r="65" spans="1:7" ht="12.75" customHeight="1">
      <c r="A65" s="24"/>
      <c r="B65" s="34"/>
      <c r="D65" s="24"/>
      <c r="E65" s="50"/>
      <c r="F65" s="74"/>
      <c r="G65" s="39"/>
    </row>
    <row r="66" spans="1:7" ht="12.75" customHeight="1">
      <c r="A66" s="24"/>
      <c r="B66" s="34"/>
      <c r="C66" s="24" t="s">
        <v>36</v>
      </c>
      <c r="D66" s="24"/>
      <c r="E66" s="45"/>
      <c r="F66" s="96">
        <v>0</v>
      </c>
      <c r="G66" s="39"/>
    </row>
    <row r="67" spans="1:7" ht="12.75" customHeight="1">
      <c r="A67" s="24"/>
      <c r="B67" s="34"/>
      <c r="C67" s="24"/>
      <c r="D67" s="24"/>
      <c r="E67" s="45"/>
      <c r="F67" s="74"/>
      <c r="G67" s="39"/>
    </row>
    <row r="68" spans="1:7" ht="12.75" customHeight="1">
      <c r="A68" s="24"/>
      <c r="B68" s="34"/>
      <c r="C68" s="24" t="s">
        <v>37</v>
      </c>
      <c r="D68" s="24"/>
      <c r="E68" s="45"/>
      <c r="F68" s="96">
        <v>0</v>
      </c>
      <c r="G68" s="39"/>
    </row>
    <row r="69" spans="1:7" ht="12.75" customHeight="1">
      <c r="A69" s="24"/>
      <c r="B69" s="34"/>
      <c r="C69" s="24"/>
      <c r="D69" s="24"/>
      <c r="E69" s="45"/>
      <c r="F69" s="74"/>
      <c r="G69" s="39"/>
    </row>
    <row r="70" spans="1:7" ht="12.75" customHeight="1">
      <c r="A70" s="24"/>
      <c r="B70" s="34"/>
      <c r="C70" s="24" t="s">
        <v>38</v>
      </c>
      <c r="D70" s="24"/>
      <c r="E70" s="45"/>
      <c r="F70" s="96">
        <f>SUM(F71:F73)</f>
        <v>523.917152</v>
      </c>
      <c r="G70" s="39"/>
    </row>
    <row r="71" spans="1:7" ht="12.75" customHeight="1">
      <c r="A71" s="24"/>
      <c r="B71" s="34"/>
      <c r="C71" s="24"/>
      <c r="D71" s="24"/>
      <c r="E71" s="45" t="s">
        <v>108</v>
      </c>
      <c r="F71" s="80">
        <v>199.1</v>
      </c>
      <c r="G71" s="39"/>
    </row>
    <row r="72" spans="1:7" ht="12.75" customHeight="1">
      <c r="A72" s="24"/>
      <c r="B72" s="34"/>
      <c r="C72" s="24"/>
      <c r="D72" s="24"/>
      <c r="E72" s="51" t="s">
        <v>109</v>
      </c>
      <c r="F72" s="80">
        <v>215</v>
      </c>
      <c r="G72" s="39"/>
    </row>
    <row r="73" spans="1:7" ht="12.75" customHeight="1">
      <c r="A73" s="24"/>
      <c r="B73" s="34"/>
      <c r="C73" s="24"/>
      <c r="D73" s="24"/>
      <c r="E73" s="46" t="s">
        <v>157</v>
      </c>
      <c r="F73" s="115">
        <f>17158.93*0.64/100</f>
        <v>109.81715200000001</v>
      </c>
      <c r="G73" s="111"/>
    </row>
    <row r="74" spans="1:7" ht="12.75" customHeight="1">
      <c r="A74" s="24"/>
      <c r="B74" s="34"/>
      <c r="C74" s="24"/>
      <c r="D74" s="24"/>
      <c r="E74" s="50"/>
      <c r="F74" s="74" t="s">
        <v>0</v>
      </c>
      <c r="G74" s="39"/>
    </row>
    <row r="75" spans="1:7" ht="15" customHeight="1">
      <c r="A75" s="52"/>
      <c r="B75" s="37" t="s">
        <v>39</v>
      </c>
      <c r="C75" s="53"/>
      <c r="D75" s="53"/>
      <c r="E75" s="46"/>
      <c r="F75" s="74" t="s">
        <v>0</v>
      </c>
      <c r="G75" s="97">
        <f>G19+G31</f>
        <v>-17627.202079999995</v>
      </c>
    </row>
    <row r="76" spans="1:7" ht="12.75" customHeight="1">
      <c r="A76" s="24"/>
      <c r="B76" s="54" t="s">
        <v>40</v>
      </c>
      <c r="C76" s="24"/>
      <c r="D76" s="24"/>
      <c r="E76" s="50"/>
      <c r="F76" s="74" t="s">
        <v>0</v>
      </c>
      <c r="G76" s="55"/>
    </row>
    <row r="77" spans="2:7" ht="12" customHeight="1">
      <c r="B77" s="56"/>
      <c r="E77" s="45"/>
      <c r="F77" s="74" t="s">
        <v>0</v>
      </c>
      <c r="G77" s="55"/>
    </row>
    <row r="78" spans="2:7" ht="15" customHeight="1">
      <c r="B78" s="37" t="s">
        <v>65</v>
      </c>
      <c r="C78" s="42"/>
      <c r="D78" s="42"/>
      <c r="E78" s="57"/>
      <c r="F78" s="75"/>
      <c r="G78" s="97">
        <f>SUM(F80:F82)</f>
        <v>1249.309632</v>
      </c>
    </row>
    <row r="79" spans="2:7" ht="12">
      <c r="B79" s="56"/>
      <c r="E79" s="45"/>
      <c r="F79" s="74"/>
      <c r="G79" s="55"/>
    </row>
    <row r="80" spans="2:7" ht="15">
      <c r="B80" s="34"/>
      <c r="C80" s="24" t="s">
        <v>62</v>
      </c>
      <c r="D80" s="24"/>
      <c r="E80" s="45"/>
      <c r="F80" s="94">
        <f>212506*0.64/100</f>
        <v>1360.0384</v>
      </c>
      <c r="G80" s="55"/>
    </row>
    <row r="81" spans="2:7" ht="14.25">
      <c r="B81" s="56"/>
      <c r="C81" s="24" t="s">
        <v>63</v>
      </c>
      <c r="E81" s="45"/>
      <c r="F81" s="101">
        <f>9934.2*0.64/100</f>
        <v>63.578880000000005</v>
      </c>
      <c r="G81" s="55"/>
    </row>
    <row r="82" spans="2:7" ht="14.25">
      <c r="B82" s="56"/>
      <c r="C82" s="24" t="s">
        <v>64</v>
      </c>
      <c r="E82" s="45"/>
      <c r="F82" s="101">
        <f>(-4005.39-23230.18)*0.64/100</f>
        <v>-174.307648</v>
      </c>
      <c r="G82" s="55"/>
    </row>
    <row r="83" spans="2:7" ht="12">
      <c r="B83" s="56"/>
      <c r="E83" s="45"/>
      <c r="F83" s="74"/>
      <c r="G83" s="55"/>
    </row>
    <row r="84" spans="2:7" ht="15.75">
      <c r="B84" s="37" t="s">
        <v>66</v>
      </c>
      <c r="C84" s="42"/>
      <c r="D84" s="42"/>
      <c r="E84" s="57"/>
      <c r="F84" s="105">
        <v>0</v>
      </c>
      <c r="G84" s="109">
        <v>0</v>
      </c>
    </row>
    <row r="85" spans="2:7" ht="12">
      <c r="B85" s="56"/>
      <c r="E85" s="45"/>
      <c r="F85" s="74"/>
      <c r="G85" s="55"/>
    </row>
    <row r="86" spans="2:7" ht="15.75">
      <c r="B86" s="37" t="s">
        <v>61</v>
      </c>
      <c r="C86" s="42"/>
      <c r="D86" s="42"/>
      <c r="E86" s="57"/>
      <c r="F86" s="75"/>
      <c r="G86" s="97">
        <f>SUM(F88-F90)</f>
        <v>48.250623999999995</v>
      </c>
    </row>
    <row r="87" spans="2:7" ht="12">
      <c r="B87" s="56"/>
      <c r="E87" s="45"/>
      <c r="F87" s="74"/>
      <c r="G87" s="55"/>
    </row>
    <row r="88" spans="2:7" ht="14.25">
      <c r="B88" s="56"/>
      <c r="C88" s="24" t="s">
        <v>67</v>
      </c>
      <c r="E88" s="45"/>
      <c r="F88" s="101">
        <f>SUM(F89)</f>
        <v>84.736448</v>
      </c>
      <c r="G88" s="55"/>
    </row>
    <row r="89" spans="2:7" ht="12">
      <c r="B89" s="56"/>
      <c r="C89" s="24"/>
      <c r="D89" s="121" t="s">
        <v>194</v>
      </c>
      <c r="E89" s="122"/>
      <c r="F89" s="74">
        <f>13240.07*0.64/100</f>
        <v>84.736448</v>
      </c>
      <c r="G89" s="55"/>
    </row>
    <row r="90" spans="2:7" ht="14.25">
      <c r="B90" s="56"/>
      <c r="C90" s="24" t="s">
        <v>68</v>
      </c>
      <c r="E90" s="45"/>
      <c r="F90" s="101">
        <f>5700.91*0.64/100</f>
        <v>36.485824</v>
      </c>
      <c r="G90" s="55"/>
    </row>
    <row r="91" spans="2:7" ht="14.25">
      <c r="B91" s="56"/>
      <c r="E91" s="45"/>
      <c r="F91" s="101"/>
      <c r="G91" s="55"/>
    </row>
    <row r="92" spans="2:7" ht="15.75">
      <c r="B92" s="59" t="s">
        <v>69</v>
      </c>
      <c r="C92" s="43"/>
      <c r="D92" s="43"/>
      <c r="E92" s="57"/>
      <c r="F92" s="101">
        <f>(103092*0.64/100)-10.12</f>
        <v>649.6688</v>
      </c>
      <c r="G92" s="97">
        <f>F92</f>
        <v>649.6688</v>
      </c>
    </row>
    <row r="93" spans="2:7" ht="15">
      <c r="B93" s="56"/>
      <c r="E93" s="45"/>
      <c r="F93" s="74"/>
      <c r="G93" s="106"/>
    </row>
    <row r="94" spans="2:7" ht="15.75">
      <c r="B94" s="37"/>
      <c r="E94" s="60" t="s">
        <v>70</v>
      </c>
      <c r="F94" s="74"/>
      <c r="G94" s="102">
        <f>G75+G78-G84+G86-G92</f>
        <v>-16979.310623999994</v>
      </c>
    </row>
    <row r="95" spans="2:7" ht="12">
      <c r="B95" s="61"/>
      <c r="C95" s="62"/>
      <c r="D95" s="62"/>
      <c r="E95" s="63"/>
      <c r="F95" s="64"/>
      <c r="G95" s="65"/>
    </row>
  </sheetData>
  <mergeCells count="5">
    <mergeCell ref="D89:E89"/>
    <mergeCell ref="B6:G6"/>
    <mergeCell ref="B11:G11"/>
    <mergeCell ref="B13:G13"/>
    <mergeCell ref="F16:G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83">
      <selection activeCell="F87" sqref="F87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18.37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177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6.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4.25" customHeight="1">
      <c r="A19" s="24"/>
      <c r="B19" s="37" t="s">
        <v>5</v>
      </c>
      <c r="C19" s="24"/>
      <c r="D19" s="24"/>
      <c r="F19" s="81"/>
      <c r="G19" s="92">
        <f>F20+F23+F24+F25+F27</f>
        <v>576451.839777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SUM(F21:F21)</f>
        <v>553067.26</v>
      </c>
      <c r="G20" s="82"/>
    </row>
    <row r="21" spans="1:7" ht="12.75" customHeight="1">
      <c r="A21" s="24"/>
      <c r="B21" s="34"/>
      <c r="C21" s="24"/>
      <c r="D21" s="24" t="s">
        <v>30</v>
      </c>
      <c r="E21" s="25" t="s">
        <v>80</v>
      </c>
      <c r="F21" s="89">
        <v>553067.26</v>
      </c>
      <c r="G21" s="82"/>
    </row>
    <row r="22" spans="1:7" ht="12.75" customHeight="1">
      <c r="A22" s="24"/>
      <c r="B22" s="34"/>
      <c r="C22" s="24" t="s">
        <v>8</v>
      </c>
      <c r="D22" s="24" t="s">
        <v>9</v>
      </c>
      <c r="F22" s="74"/>
      <c r="G22" s="82"/>
    </row>
    <row r="23" spans="1:7" ht="12.75" customHeight="1">
      <c r="A23" s="24"/>
      <c r="B23" s="34"/>
      <c r="C23" s="24"/>
      <c r="D23" s="24" t="s">
        <v>10</v>
      </c>
      <c r="F23" s="74">
        <f>5717.69-5015.15</f>
        <v>702.54</v>
      </c>
      <c r="G23" s="82"/>
    </row>
    <row r="24" spans="1:7" ht="12.75" customHeight="1">
      <c r="A24" s="24"/>
      <c r="B24" s="34"/>
      <c r="C24" s="24" t="s">
        <v>11</v>
      </c>
      <c r="D24" s="24" t="s">
        <v>12</v>
      </c>
      <c r="F24" s="74">
        <v>0</v>
      </c>
      <c r="G24" s="82"/>
    </row>
    <row r="25" spans="1:7" ht="12.75" customHeight="1">
      <c r="A25" s="24"/>
      <c r="B25" s="34"/>
      <c r="C25" s="24" t="s">
        <v>13</v>
      </c>
      <c r="D25" s="24"/>
      <c r="F25" s="74">
        <v>0</v>
      </c>
      <c r="G25" s="82"/>
    </row>
    <row r="26" spans="1:7" ht="12.75" customHeight="1">
      <c r="A26" s="24"/>
      <c r="B26" s="34"/>
      <c r="C26" s="24" t="s">
        <v>14</v>
      </c>
      <c r="D26" s="24"/>
      <c r="F26" s="74" t="s">
        <v>0</v>
      </c>
      <c r="G26" s="83"/>
    </row>
    <row r="27" spans="1:7" ht="12.75" customHeight="1">
      <c r="A27" s="24"/>
      <c r="B27" s="34"/>
      <c r="C27" s="24"/>
      <c r="D27" s="24" t="s">
        <v>15</v>
      </c>
      <c r="F27" s="73">
        <f>SUM(F28:F29)</f>
        <v>22682.039776999998</v>
      </c>
      <c r="G27" s="83"/>
    </row>
    <row r="28" spans="1:7" ht="12.75" customHeight="1">
      <c r="A28" s="24"/>
      <c r="B28" s="34"/>
      <c r="C28" s="24"/>
      <c r="D28" s="40" t="s">
        <v>30</v>
      </c>
      <c r="E28" s="25" t="s">
        <v>53</v>
      </c>
      <c r="F28" s="89">
        <f>2029.8+3257.76+220</f>
        <v>5507.56</v>
      </c>
      <c r="G28" s="84"/>
    </row>
    <row r="29" spans="1:7" ht="12.75" customHeight="1">
      <c r="A29" s="24"/>
      <c r="B29" s="34"/>
      <c r="C29" s="24"/>
      <c r="D29" s="40" t="s">
        <v>30</v>
      </c>
      <c r="E29" s="24" t="s">
        <v>155</v>
      </c>
      <c r="F29" s="74">
        <f>265447.91*6.47/100</f>
        <v>17174.479776999997</v>
      </c>
      <c r="G29" s="84"/>
    </row>
    <row r="30" spans="1:7" ht="12.75" customHeight="1">
      <c r="A30" s="24"/>
      <c r="B30" s="34"/>
      <c r="C30" s="24"/>
      <c r="D30" s="24"/>
      <c r="E30" s="24"/>
      <c r="F30" s="74"/>
      <c r="G30" s="83"/>
    </row>
    <row r="31" spans="1:7" s="44" customFormat="1" ht="15" customHeight="1">
      <c r="A31" s="42"/>
      <c r="B31" s="37" t="s">
        <v>16</v>
      </c>
      <c r="C31" s="42"/>
      <c r="D31" s="42"/>
      <c r="E31" s="43"/>
      <c r="F31" s="75"/>
      <c r="G31" s="92">
        <f>-(F33+F39+F48+F51+F58+F66+F68+F70+F72)</f>
        <v>-587534.409867</v>
      </c>
    </row>
    <row r="32" spans="1:7" ht="12.75" customHeight="1">
      <c r="A32" s="24"/>
      <c r="B32" s="34"/>
      <c r="C32" s="24" t="s">
        <v>17</v>
      </c>
      <c r="D32" s="24"/>
      <c r="F32" s="74" t="s">
        <v>0</v>
      </c>
      <c r="G32" s="83"/>
    </row>
    <row r="33" spans="1:7" ht="12.75" customHeight="1">
      <c r="A33" s="24"/>
      <c r="B33" s="34"/>
      <c r="D33" s="24" t="s">
        <v>18</v>
      </c>
      <c r="E33" s="45"/>
      <c r="F33" s="91">
        <f>SUM(F34:F37)</f>
        <v>218587.98988600002</v>
      </c>
      <c r="G33" s="83"/>
    </row>
    <row r="34" spans="1:7" ht="12.75" customHeight="1">
      <c r="A34" s="24"/>
      <c r="B34" s="34"/>
      <c r="D34" s="24"/>
      <c r="E34" s="45" t="s">
        <v>81</v>
      </c>
      <c r="F34" s="98">
        <v>207905.03</v>
      </c>
      <c r="G34" s="83"/>
    </row>
    <row r="35" spans="1:7" ht="12.75" customHeight="1">
      <c r="A35" s="24"/>
      <c r="B35" s="34"/>
      <c r="D35" s="24"/>
      <c r="E35" s="45" t="s">
        <v>73</v>
      </c>
      <c r="F35" s="98">
        <f>2353.85+12</f>
        <v>2365.85</v>
      </c>
      <c r="G35" s="83"/>
    </row>
    <row r="36" spans="1:7" ht="12.75" customHeight="1">
      <c r="A36" s="24"/>
      <c r="B36" s="34"/>
      <c r="C36" s="24"/>
      <c r="D36" s="24"/>
      <c r="E36" s="46" t="s">
        <v>55</v>
      </c>
      <c r="F36" s="98">
        <v>7586.04</v>
      </c>
      <c r="G36" s="83"/>
    </row>
    <row r="37" spans="1:7" ht="12.75" customHeight="1">
      <c r="A37" s="24"/>
      <c r="B37" s="34"/>
      <c r="D37" s="24"/>
      <c r="E37" s="45" t="s">
        <v>156</v>
      </c>
      <c r="F37" s="74">
        <f>11299.38*6.47/100</f>
        <v>731.069886</v>
      </c>
      <c r="G37" s="83"/>
    </row>
    <row r="38" spans="1:7" ht="12.75" customHeight="1">
      <c r="A38" s="24"/>
      <c r="B38" s="34"/>
      <c r="D38" s="24"/>
      <c r="E38" s="45"/>
      <c r="F38" s="80"/>
      <c r="G38" s="83"/>
    </row>
    <row r="39" spans="1:7" ht="12.75" customHeight="1">
      <c r="A39" s="24"/>
      <c r="B39" s="34"/>
      <c r="C39" s="24" t="s">
        <v>19</v>
      </c>
      <c r="D39" s="24"/>
      <c r="E39" s="45"/>
      <c r="F39" s="91">
        <f>SUM(F40:F46)</f>
        <v>106006.70351699999</v>
      </c>
      <c r="G39" s="83"/>
    </row>
    <row r="40" spans="1:7" ht="12.75" customHeight="1">
      <c r="A40" s="24"/>
      <c r="B40" s="34"/>
      <c r="C40" s="24"/>
      <c r="D40" s="24"/>
      <c r="E40" s="46" t="s">
        <v>45</v>
      </c>
      <c r="F40" s="98">
        <v>6418.36</v>
      </c>
      <c r="G40" s="83"/>
    </row>
    <row r="41" spans="1:7" ht="12.75" customHeight="1">
      <c r="A41" s="24"/>
      <c r="B41" s="34"/>
      <c r="C41" s="24"/>
      <c r="D41" s="24"/>
      <c r="E41" s="46" t="s">
        <v>44</v>
      </c>
      <c r="F41" s="98">
        <f>4350.49+362.86</f>
        <v>4713.349999999999</v>
      </c>
      <c r="G41" s="83"/>
    </row>
    <row r="42" spans="1:7" ht="12.75" customHeight="1">
      <c r="A42" s="24"/>
      <c r="B42" s="34"/>
      <c r="C42" s="24"/>
      <c r="D42" s="24"/>
      <c r="E42" s="46" t="s">
        <v>50</v>
      </c>
      <c r="F42" s="98">
        <v>6186.37</v>
      </c>
      <c r="G42" s="83"/>
    </row>
    <row r="43" spans="1:7" ht="12.75" customHeight="1">
      <c r="A43" s="24"/>
      <c r="B43" s="34"/>
      <c r="C43" s="24"/>
      <c r="D43" s="24"/>
      <c r="E43" s="46" t="s">
        <v>182</v>
      </c>
      <c r="F43" s="98">
        <v>59.4</v>
      </c>
      <c r="G43" s="83"/>
    </row>
    <row r="44" spans="1:7" ht="12.75" customHeight="1">
      <c r="A44" s="24"/>
      <c r="B44" s="34"/>
      <c r="C44" s="24"/>
      <c r="D44" s="24"/>
      <c r="E44" s="46" t="s">
        <v>210</v>
      </c>
      <c r="F44" s="98">
        <v>30000</v>
      </c>
      <c r="G44" s="83"/>
    </row>
    <row r="45" spans="1:7" ht="12.75" customHeight="1">
      <c r="A45" s="24"/>
      <c r="B45" s="34"/>
      <c r="C45" s="24"/>
      <c r="D45" s="24"/>
      <c r="E45" s="46" t="s">
        <v>174</v>
      </c>
      <c r="F45" s="98">
        <v>35000</v>
      </c>
      <c r="G45" s="83"/>
    </row>
    <row r="46" spans="1:7" ht="12.75" customHeight="1">
      <c r="A46" s="24"/>
      <c r="B46" s="34"/>
      <c r="C46" s="24"/>
      <c r="D46" s="24"/>
      <c r="E46" s="46" t="s">
        <v>156</v>
      </c>
      <c r="F46" s="100">
        <f>(241778.57+127438.93-4005.39)*6.47/100</f>
        <v>23629.223517</v>
      </c>
      <c r="G46" s="83"/>
    </row>
    <row r="47" spans="1:7" ht="12.75" customHeight="1">
      <c r="A47" s="24"/>
      <c r="B47" s="34"/>
      <c r="C47" s="24"/>
      <c r="D47" s="24"/>
      <c r="E47" s="46"/>
      <c r="F47" s="80"/>
      <c r="G47" s="83"/>
    </row>
    <row r="48" spans="1:7" ht="12.75" customHeight="1">
      <c r="A48" s="24"/>
      <c r="B48" s="34"/>
      <c r="C48" s="24" t="s">
        <v>20</v>
      </c>
      <c r="D48" s="24"/>
      <c r="E48" s="45"/>
      <c r="F48" s="93">
        <f>SUM(F49:F49)</f>
        <v>177.574326</v>
      </c>
      <c r="G48" s="83"/>
    </row>
    <row r="49" spans="1:7" ht="12.75" customHeight="1">
      <c r="A49" s="24"/>
      <c r="B49" s="34"/>
      <c r="C49" s="24"/>
      <c r="D49" s="24"/>
      <c r="E49" s="46" t="s">
        <v>156</v>
      </c>
      <c r="F49" s="98">
        <f>2744.58*6.47/100</f>
        <v>177.574326</v>
      </c>
      <c r="G49" s="83"/>
    </row>
    <row r="50" spans="1:7" ht="12.75" customHeight="1">
      <c r="A50" s="24"/>
      <c r="B50" s="34"/>
      <c r="C50" s="24"/>
      <c r="D50" s="24"/>
      <c r="E50" s="46"/>
      <c r="F50" s="78"/>
      <c r="G50" s="83"/>
    </row>
    <row r="51" spans="1:7" ht="12.75" customHeight="1">
      <c r="A51" s="24"/>
      <c r="B51" s="34"/>
      <c r="C51" s="24" t="s">
        <v>21</v>
      </c>
      <c r="D51" s="24"/>
      <c r="E51" s="45"/>
      <c r="F51" s="91">
        <f>SUM(F52:F56)</f>
        <v>257777.931647</v>
      </c>
      <c r="G51" s="83"/>
    </row>
    <row r="52" spans="1:7" ht="12.75" customHeight="1">
      <c r="A52" s="24"/>
      <c r="B52" s="34"/>
      <c r="D52" s="47" t="s">
        <v>22</v>
      </c>
      <c r="E52" s="48"/>
      <c r="F52" s="98">
        <f>(150558.3+7792.88+8255.47)+((146511.24+8163.97+17733.75+66364.61)*6.47/100)+240.75</f>
        <v>182296.049979</v>
      </c>
      <c r="G52" s="83"/>
    </row>
    <row r="53" spans="1:7" ht="12.75" customHeight="1">
      <c r="A53" s="24"/>
      <c r="B53" s="34"/>
      <c r="D53" s="47" t="s">
        <v>23</v>
      </c>
      <c r="E53" s="48"/>
      <c r="F53" s="98">
        <f>(33559.04+5665.67+1988.74+2106.38)+((33776.82+2815.43+2083.45+9646.31+15927.59)*6.47/100)</f>
        <v>47476.77911999999</v>
      </c>
      <c r="G53" s="83"/>
    </row>
    <row r="54" spans="1:7" ht="12.75" customHeight="1">
      <c r="A54" s="24"/>
      <c r="B54" s="34"/>
      <c r="D54" s="47" t="s">
        <v>24</v>
      </c>
      <c r="E54" s="48"/>
      <c r="F54" s="98">
        <f>26529.5+((17387.4+5419.44)*6.47/100)</f>
        <v>28005.102548</v>
      </c>
      <c r="G54" s="83"/>
    </row>
    <row r="55" spans="1:7" ht="12.75" customHeight="1">
      <c r="A55" s="24"/>
      <c r="B55" s="34"/>
      <c r="D55" s="47" t="s">
        <v>25</v>
      </c>
      <c r="E55" s="48"/>
      <c r="F55" s="98">
        <v>0</v>
      </c>
      <c r="G55" s="83"/>
    </row>
    <row r="56" spans="1:7" ht="12.75" customHeight="1">
      <c r="A56" s="24"/>
      <c r="B56" s="34"/>
      <c r="D56" s="47" t="s">
        <v>111</v>
      </c>
      <c r="E56" s="48"/>
      <c r="F56" s="98">
        <v>0</v>
      </c>
      <c r="G56" s="83"/>
    </row>
    <row r="57" spans="1:7" ht="12.75" customHeight="1">
      <c r="A57" s="24"/>
      <c r="B57" s="34"/>
      <c r="D57" s="47"/>
      <c r="E57" s="48"/>
      <c r="F57" s="98"/>
      <c r="G57" s="83"/>
    </row>
    <row r="58" spans="1:7" ht="12.75" customHeight="1">
      <c r="A58" s="24"/>
      <c r="B58" s="34"/>
      <c r="C58" s="24" t="s">
        <v>27</v>
      </c>
      <c r="D58" s="24"/>
      <c r="E58" s="45"/>
      <c r="F58" s="91">
        <f>SUM(F59:F63)</f>
        <v>3874.02772</v>
      </c>
      <c r="G58" s="83"/>
    </row>
    <row r="59" spans="1:7" ht="12.75" customHeight="1">
      <c r="A59" s="24"/>
      <c r="B59" s="34"/>
      <c r="C59" s="24"/>
      <c r="D59" s="47" t="s">
        <v>28</v>
      </c>
      <c r="E59" s="48"/>
      <c r="F59" s="98">
        <f>7338.54*6.47/100</f>
        <v>474.80353799999995</v>
      </c>
      <c r="G59" s="83"/>
    </row>
    <row r="60" spans="1:7" ht="12.75" customHeight="1">
      <c r="A60" s="24"/>
      <c r="B60" s="34"/>
      <c r="D60" s="47" t="s">
        <v>29</v>
      </c>
      <c r="E60" s="49"/>
      <c r="F60" s="98">
        <f>2011.47+(21449.06*6.47/100)</f>
        <v>3399.224182</v>
      </c>
      <c r="G60" s="83"/>
    </row>
    <row r="61" spans="1:7" ht="12.75" customHeight="1">
      <c r="A61" s="24"/>
      <c r="B61" s="34"/>
      <c r="D61" s="47" t="s">
        <v>31</v>
      </c>
      <c r="E61" s="48"/>
      <c r="F61" s="98">
        <v>0</v>
      </c>
      <c r="G61" s="83"/>
    </row>
    <row r="62" spans="1:7" ht="12.75" customHeight="1">
      <c r="A62" s="24"/>
      <c r="B62" s="34"/>
      <c r="D62" s="47" t="s">
        <v>32</v>
      </c>
      <c r="E62" s="48"/>
      <c r="F62" s="98"/>
      <c r="G62" s="83"/>
    </row>
    <row r="63" spans="1:7" ht="12.75" customHeight="1">
      <c r="A63" s="24"/>
      <c r="B63" s="34"/>
      <c r="D63" s="47"/>
      <c r="E63" s="49" t="s">
        <v>33</v>
      </c>
      <c r="F63" s="98">
        <v>0</v>
      </c>
      <c r="G63" s="83"/>
    </row>
    <row r="64" spans="1:7" ht="12.75" customHeight="1">
      <c r="A64" s="24"/>
      <c r="B64" s="34"/>
      <c r="D64" s="47"/>
      <c r="E64" s="49"/>
      <c r="F64" s="88"/>
      <c r="G64" s="83"/>
    </row>
    <row r="65" spans="1:7" ht="12.75" customHeight="1">
      <c r="A65" s="24"/>
      <c r="B65" s="34"/>
      <c r="C65" s="24" t="s">
        <v>34</v>
      </c>
      <c r="D65" s="24"/>
      <c r="E65" s="45"/>
      <c r="F65" s="74"/>
      <c r="G65" s="83"/>
    </row>
    <row r="66" spans="1:7" ht="12.75" customHeight="1">
      <c r="A66" s="24"/>
      <c r="B66" s="34"/>
      <c r="D66" s="24"/>
      <c r="E66" s="50" t="s">
        <v>35</v>
      </c>
      <c r="F66" s="101">
        <v>0</v>
      </c>
      <c r="G66" s="83"/>
    </row>
    <row r="67" spans="1:7" ht="12.75" customHeight="1">
      <c r="A67" s="24"/>
      <c r="B67" s="34"/>
      <c r="D67" s="24"/>
      <c r="E67" s="50"/>
      <c r="F67" s="101"/>
      <c r="G67" s="83"/>
    </row>
    <row r="68" spans="1:7" ht="12.75" customHeight="1">
      <c r="A68" s="24"/>
      <c r="B68" s="34"/>
      <c r="C68" s="24" t="s">
        <v>36</v>
      </c>
      <c r="D68" s="24"/>
      <c r="E68" s="45"/>
      <c r="F68" s="101">
        <v>0</v>
      </c>
      <c r="G68" s="83"/>
    </row>
    <row r="69" spans="1:7" ht="12.75" customHeight="1">
      <c r="A69" s="24"/>
      <c r="B69" s="34"/>
      <c r="C69" s="24"/>
      <c r="D69" s="24"/>
      <c r="E69" s="45"/>
      <c r="F69" s="101"/>
      <c r="G69" s="83"/>
    </row>
    <row r="70" spans="1:7" ht="12.75" customHeight="1">
      <c r="A70" s="24"/>
      <c r="B70" s="34"/>
      <c r="C70" s="24" t="s">
        <v>37</v>
      </c>
      <c r="D70" s="24"/>
      <c r="E70" s="45"/>
      <c r="F70" s="101">
        <v>0</v>
      </c>
      <c r="G70" s="83"/>
    </row>
    <row r="71" spans="1:7" ht="12.75" customHeight="1">
      <c r="A71" s="24"/>
      <c r="B71" s="34"/>
      <c r="C71" s="24"/>
      <c r="D71" s="24"/>
      <c r="E71" s="45"/>
      <c r="F71" s="101"/>
      <c r="G71" s="83"/>
    </row>
    <row r="72" spans="1:7" ht="12.75" customHeight="1">
      <c r="A72" s="24"/>
      <c r="B72" s="34"/>
      <c r="C72" s="24" t="s">
        <v>38</v>
      </c>
      <c r="D72" s="24"/>
      <c r="E72" s="45"/>
      <c r="F72" s="101">
        <f>SUM(F73:F73)</f>
        <v>1110.182771</v>
      </c>
      <c r="G72" s="83"/>
    </row>
    <row r="73" spans="1:7" ht="12.75" customHeight="1">
      <c r="A73" s="24"/>
      <c r="B73" s="34"/>
      <c r="C73" s="24"/>
      <c r="D73" s="24"/>
      <c r="E73" s="46" t="s">
        <v>157</v>
      </c>
      <c r="F73" s="115">
        <f>17158.93*6.47/100</f>
        <v>1110.182771</v>
      </c>
      <c r="G73" s="83"/>
    </row>
    <row r="74" spans="1:7" ht="12.75" customHeight="1">
      <c r="A74" s="24"/>
      <c r="B74" s="34"/>
      <c r="C74" s="24"/>
      <c r="D74" s="24"/>
      <c r="E74" s="50"/>
      <c r="F74" s="74" t="s">
        <v>0</v>
      </c>
      <c r="G74" s="83"/>
    </row>
    <row r="75" spans="1:7" ht="14.25" customHeight="1">
      <c r="A75" s="52"/>
      <c r="B75" s="37" t="s">
        <v>39</v>
      </c>
      <c r="C75" s="53"/>
      <c r="D75" s="53"/>
      <c r="E75" s="46"/>
      <c r="F75" s="74" t="s">
        <v>0</v>
      </c>
      <c r="G75" s="97">
        <f>G19+G31</f>
        <v>-11082.570089999936</v>
      </c>
    </row>
    <row r="76" spans="1:7" ht="12.75" customHeight="1">
      <c r="A76" s="24"/>
      <c r="B76" s="54" t="s">
        <v>40</v>
      </c>
      <c r="C76" s="24"/>
      <c r="D76" s="24"/>
      <c r="E76" s="50"/>
      <c r="F76" s="74" t="s">
        <v>0</v>
      </c>
      <c r="G76" s="85"/>
    </row>
    <row r="77" spans="2:7" ht="12" customHeight="1">
      <c r="B77" s="56"/>
      <c r="E77" s="45"/>
      <c r="F77" s="74" t="s">
        <v>0</v>
      </c>
      <c r="G77" s="85"/>
    </row>
    <row r="78" spans="2:7" ht="15" customHeight="1">
      <c r="B78" s="37" t="s">
        <v>65</v>
      </c>
      <c r="C78" s="42"/>
      <c r="D78" s="42"/>
      <c r="E78" s="57"/>
      <c r="F78" s="75"/>
      <c r="G78" s="97">
        <f>SUM(F80:F82)</f>
        <v>12629.739560999997</v>
      </c>
    </row>
    <row r="79" spans="2:7" ht="12">
      <c r="B79" s="56"/>
      <c r="E79" s="45"/>
      <c r="F79" s="74"/>
      <c r="G79" s="85"/>
    </row>
    <row r="80" spans="2:7" ht="15">
      <c r="B80" s="34"/>
      <c r="C80" s="24" t="s">
        <v>62</v>
      </c>
      <c r="D80" s="24"/>
      <c r="E80" s="45"/>
      <c r="F80" s="94">
        <f>212506*6.47/100</f>
        <v>13749.138199999998</v>
      </c>
      <c r="G80" s="85"/>
    </row>
    <row r="81" spans="2:7" ht="14.25">
      <c r="B81" s="56"/>
      <c r="C81" s="24" t="s">
        <v>63</v>
      </c>
      <c r="E81" s="45"/>
      <c r="F81" s="101">
        <f>9934.2*6.47/100</f>
        <v>642.74274</v>
      </c>
      <c r="G81" s="85"/>
    </row>
    <row r="82" spans="2:7" ht="14.25">
      <c r="B82" s="56"/>
      <c r="C82" s="24" t="s">
        <v>64</v>
      </c>
      <c r="E82" s="45"/>
      <c r="F82" s="101">
        <f>(-4005.39-23230.18)*6.47/100</f>
        <v>-1762.141379</v>
      </c>
      <c r="G82" s="85"/>
    </row>
    <row r="83" spans="2:7" ht="12">
      <c r="B83" s="56"/>
      <c r="E83" s="45"/>
      <c r="F83" s="74"/>
      <c r="G83" s="85"/>
    </row>
    <row r="84" spans="2:7" ht="15.75">
      <c r="B84" s="37" t="s">
        <v>66</v>
      </c>
      <c r="C84" s="42"/>
      <c r="D84" s="42"/>
      <c r="E84" s="57"/>
      <c r="F84" s="105">
        <v>0</v>
      </c>
      <c r="G84" s="97">
        <v>0</v>
      </c>
    </row>
    <row r="85" spans="2:7" ht="12">
      <c r="B85" s="56"/>
      <c r="E85" s="45"/>
      <c r="F85" s="74"/>
      <c r="G85" s="85"/>
    </row>
    <row r="86" spans="2:7" ht="15.75">
      <c r="B86" s="37" t="s">
        <v>61</v>
      </c>
      <c r="C86" s="42"/>
      <c r="D86" s="42"/>
      <c r="E86" s="57"/>
      <c r="F86" s="75"/>
      <c r="G86" s="97">
        <f>SUM(F88-F89)</f>
        <v>487.78365199999996</v>
      </c>
    </row>
    <row r="87" spans="2:7" ht="12">
      <c r="B87" s="56"/>
      <c r="E87" s="45"/>
      <c r="F87" s="74"/>
      <c r="G87" s="85"/>
    </row>
    <row r="88" spans="2:7" ht="14.25">
      <c r="B88" s="56"/>
      <c r="C88" s="24" t="s">
        <v>67</v>
      </c>
      <c r="E88" s="45"/>
      <c r="F88" s="101">
        <f>13240.07*6.47/100</f>
        <v>856.632529</v>
      </c>
      <c r="G88" s="85"/>
    </row>
    <row r="89" spans="2:7" ht="14.25">
      <c r="B89" s="56"/>
      <c r="C89" s="24" t="s">
        <v>68</v>
      </c>
      <c r="E89" s="45"/>
      <c r="F89" s="101">
        <f>5700.91*6.47/100</f>
        <v>368.848877</v>
      </c>
      <c r="G89" s="85"/>
    </row>
    <row r="90" spans="2:7" ht="12">
      <c r="B90" s="56"/>
      <c r="E90" s="45"/>
      <c r="F90" s="74"/>
      <c r="G90" s="85"/>
    </row>
    <row r="91" spans="2:7" ht="15.75">
      <c r="B91" s="59" t="s">
        <v>69</v>
      </c>
      <c r="C91" s="43"/>
      <c r="D91" s="43"/>
      <c r="E91" s="57"/>
      <c r="F91" s="101">
        <f>103092*6.47/100</f>
        <v>6670.0524</v>
      </c>
      <c r="G91" s="97">
        <f>F91</f>
        <v>6670.0524</v>
      </c>
    </row>
    <row r="92" spans="2:7" ht="12">
      <c r="B92" s="56"/>
      <c r="E92" s="45"/>
      <c r="F92" s="74"/>
      <c r="G92" s="85"/>
    </row>
    <row r="93" spans="2:7" ht="15.75">
      <c r="B93" s="37"/>
      <c r="E93" s="60" t="s">
        <v>70</v>
      </c>
      <c r="F93" s="74"/>
      <c r="G93" s="102">
        <f>G75+G78-G84+G86-G91</f>
        <v>-4635.099276999938</v>
      </c>
    </row>
    <row r="94" spans="2:7" ht="12">
      <c r="B94" s="61"/>
      <c r="C94" s="62"/>
      <c r="D94" s="62"/>
      <c r="E94" s="63"/>
      <c r="F94" s="86"/>
      <c r="G94" s="87"/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6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workbookViewId="0" topLeftCell="A116">
      <selection activeCell="F116" sqref="F116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18.37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68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178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6.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5" customHeight="1">
      <c r="A19" s="24"/>
      <c r="B19" s="37" t="s">
        <v>5</v>
      </c>
      <c r="C19" s="24"/>
      <c r="D19" s="24"/>
      <c r="F19" s="81"/>
      <c r="G19" s="92">
        <f>F20+F27+F28+F29+F31</f>
        <v>515188.56839499995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SUM(F21:F25)</f>
        <v>386911.95999999996</v>
      </c>
      <c r="G20" s="82"/>
    </row>
    <row r="21" spans="1:7" ht="12.75" customHeight="1">
      <c r="A21" s="24"/>
      <c r="B21" s="34"/>
      <c r="C21" s="24"/>
      <c r="D21" s="24" t="s">
        <v>30</v>
      </c>
      <c r="E21" s="25" t="s">
        <v>87</v>
      </c>
      <c r="F21" s="104">
        <v>82118.9</v>
      </c>
      <c r="G21" s="82"/>
    </row>
    <row r="22" spans="1:7" ht="12.75" customHeight="1">
      <c r="A22" s="24"/>
      <c r="B22" s="34"/>
      <c r="C22" s="24"/>
      <c r="D22" s="24" t="s">
        <v>30</v>
      </c>
      <c r="E22" s="25" t="s">
        <v>88</v>
      </c>
      <c r="F22" s="104">
        <v>1824.15</v>
      </c>
      <c r="G22" s="82"/>
    </row>
    <row r="23" spans="1:7" ht="12.75" customHeight="1">
      <c r="A23" s="24"/>
      <c r="B23" s="34"/>
      <c r="C23" s="24"/>
      <c r="D23" s="24" t="s">
        <v>30</v>
      </c>
      <c r="E23" s="25" t="s">
        <v>89</v>
      </c>
      <c r="F23" s="104">
        <v>64522.77</v>
      </c>
      <c r="G23" s="82"/>
    </row>
    <row r="24" spans="1:7" ht="12.75" customHeight="1">
      <c r="A24" s="24"/>
      <c r="B24" s="34"/>
      <c r="C24" s="24"/>
      <c r="D24" s="24" t="s">
        <v>30</v>
      </c>
      <c r="E24" s="25" t="s">
        <v>90</v>
      </c>
      <c r="F24" s="89">
        <v>76416.66</v>
      </c>
      <c r="G24" s="82"/>
    </row>
    <row r="25" spans="1:7" ht="12.75" customHeight="1">
      <c r="A25" s="24"/>
      <c r="B25" s="34"/>
      <c r="C25" s="24"/>
      <c r="D25" s="24" t="s">
        <v>30</v>
      </c>
      <c r="E25" s="25" t="s">
        <v>179</v>
      </c>
      <c r="F25" s="89">
        <v>162029.48</v>
      </c>
      <c r="G25" s="82"/>
    </row>
    <row r="26" spans="1:7" ht="12.75" customHeight="1">
      <c r="A26" s="24"/>
      <c r="B26" s="34"/>
      <c r="C26" s="24" t="s">
        <v>8</v>
      </c>
      <c r="D26" s="24" t="s">
        <v>9</v>
      </c>
      <c r="F26" s="74"/>
      <c r="G26" s="82"/>
    </row>
    <row r="27" spans="1:7" ht="12.75" customHeight="1">
      <c r="A27" s="24"/>
      <c r="B27" s="34"/>
      <c r="C27" s="24"/>
      <c r="D27" s="24" t="s">
        <v>10</v>
      </c>
      <c r="F27" s="74">
        <v>0</v>
      </c>
      <c r="G27" s="82"/>
    </row>
    <row r="28" spans="1:7" ht="12.75" customHeight="1">
      <c r="A28" s="24"/>
      <c r="B28" s="34"/>
      <c r="C28" s="24" t="s">
        <v>11</v>
      </c>
      <c r="D28" s="24" t="s">
        <v>12</v>
      </c>
      <c r="F28" s="74">
        <v>0</v>
      </c>
      <c r="G28" s="82"/>
    </row>
    <row r="29" spans="1:7" ht="12.75" customHeight="1">
      <c r="A29" s="24"/>
      <c r="B29" s="34"/>
      <c r="C29" s="24" t="s">
        <v>13</v>
      </c>
      <c r="D29" s="24"/>
      <c r="F29" s="74">
        <v>0</v>
      </c>
      <c r="G29" s="82"/>
    </row>
    <row r="30" spans="1:7" ht="12.75" customHeight="1">
      <c r="A30" s="24"/>
      <c r="B30" s="34"/>
      <c r="C30" s="24" t="s">
        <v>14</v>
      </c>
      <c r="D30" s="24"/>
      <c r="F30" s="74" t="s">
        <v>0</v>
      </c>
      <c r="G30" s="83"/>
    </row>
    <row r="31" spans="1:7" ht="12.75" customHeight="1">
      <c r="A31" s="24"/>
      <c r="B31" s="34"/>
      <c r="C31" s="24"/>
      <c r="D31" s="24" t="s">
        <v>15</v>
      </c>
      <c r="F31" s="93">
        <f>SUM(F32:F34)</f>
        <v>128276.60839499999</v>
      </c>
      <c r="G31" s="83"/>
    </row>
    <row r="32" spans="1:7" ht="12.75" customHeight="1">
      <c r="A32" s="24"/>
      <c r="B32" s="34"/>
      <c r="C32" s="24"/>
      <c r="D32" s="40" t="s">
        <v>30</v>
      </c>
      <c r="E32" s="25" t="s">
        <v>52</v>
      </c>
      <c r="F32" s="89">
        <v>104820.5</v>
      </c>
      <c r="G32" s="84"/>
    </row>
    <row r="33" spans="1:7" ht="12.75" customHeight="1">
      <c r="A33" s="24"/>
      <c r="B33" s="34"/>
      <c r="C33" s="24"/>
      <c r="D33" s="40" t="s">
        <v>30</v>
      </c>
      <c r="E33" s="25" t="s">
        <v>53</v>
      </c>
      <c r="F33" s="89">
        <v>1025.76</v>
      </c>
      <c r="G33" s="84"/>
    </row>
    <row r="34" spans="1:7" ht="12.75" customHeight="1">
      <c r="A34" s="24"/>
      <c r="B34" s="34"/>
      <c r="C34" s="24"/>
      <c r="D34" s="40" t="s">
        <v>30</v>
      </c>
      <c r="E34" s="25" t="s">
        <v>155</v>
      </c>
      <c r="F34" s="74">
        <f>265447.91*8.45/100</f>
        <v>22430.348394999997</v>
      </c>
      <c r="G34" s="84"/>
    </row>
    <row r="35" spans="1:7" ht="12.75" customHeight="1">
      <c r="A35" s="24"/>
      <c r="B35" s="34"/>
      <c r="C35" s="24"/>
      <c r="D35" s="24"/>
      <c r="E35" s="24"/>
      <c r="F35" s="74"/>
      <c r="G35" s="83"/>
    </row>
    <row r="36" spans="1:7" s="44" customFormat="1" ht="15" customHeight="1">
      <c r="A36" s="42"/>
      <c r="B36" s="37" t="s">
        <v>16</v>
      </c>
      <c r="C36" s="42"/>
      <c r="D36" s="42"/>
      <c r="E36" s="43"/>
      <c r="F36" s="75"/>
      <c r="G36" s="92">
        <f>-(F38+F48+F67+F71+F78+F86+F88+F90+F92)</f>
        <v>-599319.818415</v>
      </c>
    </row>
    <row r="37" spans="1:7" ht="12.75" customHeight="1">
      <c r="A37" s="24"/>
      <c r="B37" s="34"/>
      <c r="C37" s="24" t="s">
        <v>17</v>
      </c>
      <c r="D37" s="24"/>
      <c r="F37" s="74" t="s">
        <v>0</v>
      </c>
      <c r="G37" s="83"/>
    </row>
    <row r="38" spans="1:7" ht="12.75" customHeight="1">
      <c r="A38" s="24"/>
      <c r="B38" s="34"/>
      <c r="D38" s="24" t="s">
        <v>18</v>
      </c>
      <c r="E38" s="45"/>
      <c r="F38" s="91">
        <f>SUM(F39:F46)</f>
        <v>14692.757609999999</v>
      </c>
      <c r="G38" s="83"/>
    </row>
    <row r="39" spans="1:7" ht="12.75" customHeight="1">
      <c r="A39" s="24"/>
      <c r="B39" s="34"/>
      <c r="C39" s="24"/>
      <c r="D39" s="24"/>
      <c r="E39" s="46" t="s">
        <v>180</v>
      </c>
      <c r="F39" s="98">
        <v>3770.9</v>
      </c>
      <c r="G39" s="83"/>
    </row>
    <row r="40" spans="1:7" ht="12.75" customHeight="1">
      <c r="A40" s="24"/>
      <c r="B40" s="34"/>
      <c r="C40" s="24"/>
      <c r="D40" s="24"/>
      <c r="E40" s="46" t="s">
        <v>42</v>
      </c>
      <c r="F40" s="98">
        <v>790.64</v>
      </c>
      <c r="G40" s="83"/>
    </row>
    <row r="41" spans="1:7" ht="12.75" customHeight="1">
      <c r="A41" s="24"/>
      <c r="B41" s="34"/>
      <c r="C41" s="24"/>
      <c r="D41" s="24"/>
      <c r="E41" s="46" t="s">
        <v>43</v>
      </c>
      <c r="F41" s="80">
        <v>144.65</v>
      </c>
      <c r="G41" s="83"/>
    </row>
    <row r="42" spans="1:7" ht="12.75" customHeight="1">
      <c r="A42" s="24"/>
      <c r="B42" s="34"/>
      <c r="C42" s="24"/>
      <c r="D42" s="24"/>
      <c r="E42" s="46" t="s">
        <v>181</v>
      </c>
      <c r="F42" s="80">
        <v>4115.43</v>
      </c>
      <c r="G42" s="83"/>
    </row>
    <row r="43" spans="1:7" ht="12.75" customHeight="1">
      <c r="A43" s="24"/>
      <c r="B43" s="34"/>
      <c r="C43" s="24"/>
      <c r="D43" s="24"/>
      <c r="E43" s="46" t="s">
        <v>211</v>
      </c>
      <c r="F43" s="80">
        <v>430</v>
      </c>
      <c r="G43" s="83"/>
    </row>
    <row r="44" spans="1:7" ht="12.75" customHeight="1">
      <c r="A44" s="24"/>
      <c r="B44" s="34"/>
      <c r="C44" s="24"/>
      <c r="D44" s="24"/>
      <c r="E44" s="46" t="s">
        <v>59</v>
      </c>
      <c r="F44" s="80">
        <v>2781.61</v>
      </c>
      <c r="G44" s="83"/>
    </row>
    <row r="45" spans="1:7" ht="12.75" customHeight="1">
      <c r="A45" s="24"/>
      <c r="B45" s="34"/>
      <c r="C45" s="24"/>
      <c r="D45" s="24"/>
      <c r="E45" s="46" t="s">
        <v>55</v>
      </c>
      <c r="F45" s="80">
        <v>1704.73</v>
      </c>
      <c r="G45" s="83"/>
    </row>
    <row r="46" spans="1:7" ht="12.75" customHeight="1">
      <c r="A46" s="24"/>
      <c r="B46" s="34"/>
      <c r="D46" s="24"/>
      <c r="E46" s="45" t="s">
        <v>156</v>
      </c>
      <c r="F46" s="74">
        <f>11299.38*8.45/100</f>
        <v>954.7976099999998</v>
      </c>
      <c r="G46" s="83"/>
    </row>
    <row r="47" spans="1:7" ht="12.75" customHeight="1">
      <c r="A47" s="24"/>
      <c r="B47" s="34"/>
      <c r="D47" s="24"/>
      <c r="E47" s="45"/>
      <c r="F47" s="80"/>
      <c r="G47" s="83"/>
    </row>
    <row r="48" spans="1:7" ht="12.75" customHeight="1">
      <c r="A48" s="24"/>
      <c r="B48" s="34"/>
      <c r="C48" s="24" t="s">
        <v>19</v>
      </c>
      <c r="D48" s="24"/>
      <c r="E48" s="45"/>
      <c r="F48" s="91">
        <f>SUM(F49:F65)</f>
        <v>404077.796165</v>
      </c>
      <c r="G48" s="83"/>
    </row>
    <row r="49" spans="1:7" ht="12.75" customHeight="1">
      <c r="A49" s="24"/>
      <c r="B49" s="34"/>
      <c r="C49" s="24"/>
      <c r="D49" s="24"/>
      <c r="E49" s="46" t="s">
        <v>44</v>
      </c>
      <c r="F49" s="98">
        <f>290.03+77.2</f>
        <v>367.22999999999996</v>
      </c>
      <c r="G49" s="83"/>
    </row>
    <row r="50" spans="1:7" ht="12.75" customHeight="1">
      <c r="A50" s="24"/>
      <c r="B50" s="34"/>
      <c r="C50" s="24"/>
      <c r="D50" s="24"/>
      <c r="E50" s="46" t="s">
        <v>113</v>
      </c>
      <c r="F50" s="98">
        <v>4085.8</v>
      </c>
      <c r="G50" s="83"/>
    </row>
    <row r="51" spans="1:7" ht="12.75" customHeight="1">
      <c r="A51" s="24"/>
      <c r="B51" s="34"/>
      <c r="C51" s="24"/>
      <c r="D51" s="24"/>
      <c r="E51" s="46" t="s">
        <v>123</v>
      </c>
      <c r="F51" s="98">
        <v>5296.79</v>
      </c>
      <c r="G51" s="83"/>
    </row>
    <row r="52" spans="1:7" ht="12.75" customHeight="1">
      <c r="A52" s="24"/>
      <c r="B52" s="34"/>
      <c r="C52" s="24"/>
      <c r="D52" s="24"/>
      <c r="E52" s="46" t="s">
        <v>105</v>
      </c>
      <c r="F52" s="98">
        <v>375.17</v>
      </c>
      <c r="G52" s="83"/>
    </row>
    <row r="53" spans="1:7" ht="12.75" customHeight="1">
      <c r="A53" s="24"/>
      <c r="B53" s="34"/>
      <c r="C53" s="24"/>
      <c r="D53" s="24"/>
      <c r="E53" s="46" t="s">
        <v>106</v>
      </c>
      <c r="F53" s="98">
        <v>4250.6</v>
      </c>
      <c r="G53" s="83"/>
    </row>
    <row r="54" spans="1:7" ht="12.75" customHeight="1">
      <c r="A54" s="24"/>
      <c r="B54" s="34"/>
      <c r="C54" s="24"/>
      <c r="D54" s="24"/>
      <c r="E54" s="46" t="s">
        <v>46</v>
      </c>
      <c r="F54" s="98">
        <v>615.22</v>
      </c>
      <c r="G54" s="83"/>
    </row>
    <row r="55" spans="1:7" ht="12.75" customHeight="1">
      <c r="A55" s="24"/>
      <c r="B55" s="34"/>
      <c r="C55" s="24"/>
      <c r="D55" s="24"/>
      <c r="E55" s="46" t="s">
        <v>195</v>
      </c>
      <c r="F55" s="98">
        <v>107.54</v>
      </c>
      <c r="G55" s="83"/>
    </row>
    <row r="56" spans="1:7" ht="12.75" customHeight="1">
      <c r="A56" s="24"/>
      <c r="B56" s="34"/>
      <c r="C56" s="24"/>
      <c r="D56" s="24"/>
      <c r="E56" s="46" t="s">
        <v>182</v>
      </c>
      <c r="F56" s="98">
        <v>1600.73</v>
      </c>
      <c r="G56" s="83"/>
    </row>
    <row r="57" spans="1:7" ht="12.75" customHeight="1">
      <c r="A57" s="24"/>
      <c r="B57" s="34"/>
      <c r="C57" s="24"/>
      <c r="D57" s="24"/>
      <c r="E57" s="46" t="s">
        <v>212</v>
      </c>
      <c r="F57" s="98">
        <v>1550</v>
      </c>
      <c r="G57" s="83"/>
    </row>
    <row r="58" spans="1:7" ht="12.75" customHeight="1">
      <c r="A58" s="24"/>
      <c r="B58" s="34"/>
      <c r="C58" s="24"/>
      <c r="D58" s="24"/>
      <c r="E58" s="46" t="s">
        <v>213</v>
      </c>
      <c r="F58" s="98">
        <v>5517</v>
      </c>
      <c r="G58" s="83"/>
    </row>
    <row r="59" spans="1:7" ht="12.75" customHeight="1">
      <c r="A59" s="24"/>
      <c r="B59" s="34"/>
      <c r="C59" s="24"/>
      <c r="D59" s="24"/>
      <c r="E59" s="46" t="s">
        <v>112</v>
      </c>
      <c r="F59" s="98">
        <v>89887.61</v>
      </c>
      <c r="G59" s="83"/>
    </row>
    <row r="60" spans="1:7" ht="12.75" customHeight="1">
      <c r="A60" s="24"/>
      <c r="B60" s="34"/>
      <c r="C60" s="24"/>
      <c r="D60" s="24"/>
      <c r="E60" s="46" t="s">
        <v>183</v>
      </c>
      <c r="F60" s="98">
        <v>4539.37</v>
      </c>
      <c r="G60" s="83"/>
    </row>
    <row r="61" spans="1:7" ht="12.75" customHeight="1">
      <c r="A61" s="24"/>
      <c r="B61" s="34"/>
      <c r="C61" s="24"/>
      <c r="D61" s="24"/>
      <c r="E61" s="46" t="s">
        <v>135</v>
      </c>
      <c r="F61" s="98">
        <v>113523.12</v>
      </c>
      <c r="G61" s="83"/>
    </row>
    <row r="62" spans="1:7" ht="12.75" customHeight="1">
      <c r="A62" s="24"/>
      <c r="B62" s="34"/>
      <c r="C62" s="24"/>
      <c r="D62" s="24"/>
      <c r="E62" s="46" t="s">
        <v>184</v>
      </c>
      <c r="F62" s="98">
        <v>111081.45</v>
      </c>
      <c r="G62" s="83"/>
    </row>
    <row r="63" spans="1:7" ht="12.75" customHeight="1">
      <c r="A63" s="24"/>
      <c r="B63" s="34"/>
      <c r="C63" s="24"/>
      <c r="D63" s="24"/>
      <c r="E63" s="46" t="s">
        <v>137</v>
      </c>
      <c r="F63" s="98">
        <v>24382.87</v>
      </c>
      <c r="G63" s="83"/>
    </row>
    <row r="64" spans="1:7" ht="12.75" customHeight="1">
      <c r="A64" s="24"/>
      <c r="B64" s="34"/>
      <c r="C64" s="24"/>
      <c r="D64" s="24"/>
      <c r="E64" s="46" t="s">
        <v>136</v>
      </c>
      <c r="F64" s="98">
        <v>6045.96</v>
      </c>
      <c r="G64" s="83"/>
    </row>
    <row r="65" spans="1:7" ht="12.75" customHeight="1">
      <c r="A65" s="24"/>
      <c r="B65" s="34"/>
      <c r="C65" s="24"/>
      <c r="D65" s="24"/>
      <c r="E65" s="46" t="s">
        <v>156</v>
      </c>
      <c r="F65" s="100">
        <f>(241778.57+127438.93-107.54-4005.39)*8.45/100</f>
        <v>30851.336165</v>
      </c>
      <c r="G65" s="83"/>
    </row>
    <row r="66" spans="1:7" ht="12.75" customHeight="1">
      <c r="A66" s="24"/>
      <c r="B66" s="34"/>
      <c r="C66" s="24"/>
      <c r="D66" s="24"/>
      <c r="E66" s="46"/>
      <c r="F66" s="80"/>
      <c r="G66" s="83"/>
    </row>
    <row r="67" spans="1:7" ht="12.75" customHeight="1">
      <c r="A67" s="24"/>
      <c r="B67" s="34"/>
      <c r="C67" s="24" t="s">
        <v>20</v>
      </c>
      <c r="D67" s="24"/>
      <c r="E67" s="45"/>
      <c r="F67" s="93">
        <f>SUM(F68:F69)</f>
        <v>2264.23701</v>
      </c>
      <c r="G67" s="83"/>
    </row>
    <row r="68" spans="1:7" ht="12.75" customHeight="1">
      <c r="A68" s="24"/>
      <c r="B68" s="34"/>
      <c r="C68" s="24"/>
      <c r="D68" s="24"/>
      <c r="E68" s="46" t="s">
        <v>78</v>
      </c>
      <c r="F68" s="98">
        <v>2032.32</v>
      </c>
      <c r="G68" s="83"/>
    </row>
    <row r="69" spans="1:7" ht="12.75" customHeight="1">
      <c r="A69" s="24"/>
      <c r="B69" s="34"/>
      <c r="C69" s="24"/>
      <c r="D69" s="24"/>
      <c r="E69" s="46" t="s">
        <v>156</v>
      </c>
      <c r="F69" s="98">
        <f>2744.58*8.45/100</f>
        <v>231.91700999999998</v>
      </c>
      <c r="G69" s="83"/>
    </row>
    <row r="70" spans="1:7" ht="12.75" customHeight="1">
      <c r="A70" s="24"/>
      <c r="B70" s="34"/>
      <c r="C70" s="24"/>
      <c r="D70" s="24"/>
      <c r="E70" s="46"/>
      <c r="F70" s="98"/>
      <c r="G70" s="83"/>
    </row>
    <row r="71" spans="1:7" ht="12.75" customHeight="1">
      <c r="A71" s="24"/>
      <c r="B71" s="34"/>
      <c r="C71" s="24" t="s">
        <v>21</v>
      </c>
      <c r="D71" s="24"/>
      <c r="E71" s="45"/>
      <c r="F71" s="91">
        <f>SUM(F72:F76)</f>
        <v>166377.32584499998</v>
      </c>
      <c r="G71" s="83"/>
    </row>
    <row r="72" spans="1:7" ht="12.75" customHeight="1">
      <c r="A72" s="24"/>
      <c r="B72" s="34"/>
      <c r="D72" s="47" t="s">
        <v>22</v>
      </c>
      <c r="E72" s="48"/>
      <c r="F72" s="98">
        <f>(98270.15+2968.72+7368.87)+((146511.24+8163.97+17733.75+66364.61)*8.45/100)</f>
        <v>128784.10666499998</v>
      </c>
      <c r="G72" s="83"/>
    </row>
    <row r="73" spans="1:7" ht="12.75" customHeight="1">
      <c r="A73" s="24"/>
      <c r="B73" s="34"/>
      <c r="D73" s="47" t="s">
        <v>23</v>
      </c>
      <c r="E73" s="48"/>
      <c r="F73" s="98">
        <f>(17716.57+757.62+1880.17)+((33776.82+2815.43+2083.45+9646.31+15927.59)*8.45/100)</f>
        <v>25783.4512</v>
      </c>
      <c r="G73" s="83"/>
    </row>
    <row r="74" spans="1:7" ht="12.75" customHeight="1">
      <c r="A74" s="24"/>
      <c r="B74" s="34"/>
      <c r="D74" s="47" t="s">
        <v>24</v>
      </c>
      <c r="E74" s="48"/>
      <c r="F74" s="98">
        <f>9647.09+((17387.4+5419.44)*8.45/100)</f>
        <v>11574.26798</v>
      </c>
      <c r="G74" s="83"/>
    </row>
    <row r="75" spans="1:7" ht="12.75" customHeight="1">
      <c r="A75" s="24"/>
      <c r="B75" s="34"/>
      <c r="D75" s="47" t="s">
        <v>25</v>
      </c>
      <c r="E75" s="48"/>
      <c r="F75" s="98">
        <v>0</v>
      </c>
      <c r="G75" s="83"/>
    </row>
    <row r="76" spans="1:7" ht="12.75" customHeight="1">
      <c r="A76" s="24"/>
      <c r="B76" s="34"/>
      <c r="D76" s="47" t="s">
        <v>111</v>
      </c>
      <c r="E76" s="48"/>
      <c r="F76" s="98">
        <v>235.5</v>
      </c>
      <c r="G76" s="83"/>
    </row>
    <row r="77" spans="1:7" ht="12.75" customHeight="1">
      <c r="A77" s="24"/>
      <c r="B77" s="34"/>
      <c r="D77" s="47"/>
      <c r="E77" s="48"/>
      <c r="F77" s="98"/>
      <c r="G77" s="83"/>
    </row>
    <row r="78" spans="1:7" ht="12.75" customHeight="1">
      <c r="A78" s="24"/>
      <c r="B78" s="34"/>
      <c r="C78" s="24" t="s">
        <v>27</v>
      </c>
      <c r="D78" s="24"/>
      <c r="E78" s="45"/>
      <c r="F78" s="91">
        <f>SUM(F79:F83)</f>
        <v>8224.8822</v>
      </c>
      <c r="G78" s="83"/>
    </row>
    <row r="79" spans="1:7" ht="12.75" customHeight="1">
      <c r="A79" s="24"/>
      <c r="B79" s="34"/>
      <c r="C79" s="24"/>
      <c r="D79" s="47" t="s">
        <v>28</v>
      </c>
      <c r="E79" s="48"/>
      <c r="F79" s="98">
        <f>2950.6+(7338.54*8.45/100)</f>
        <v>3570.7066299999997</v>
      </c>
      <c r="G79" s="83"/>
    </row>
    <row r="80" spans="1:7" ht="12.75" customHeight="1">
      <c r="A80" s="24"/>
      <c r="B80" s="34"/>
      <c r="D80" s="47" t="s">
        <v>29</v>
      </c>
      <c r="E80" s="49"/>
      <c r="F80" s="98">
        <f>2841.73+(21449.06*8.45/100)</f>
        <v>4654.17557</v>
      </c>
      <c r="G80" s="83"/>
    </row>
    <row r="81" spans="1:7" ht="12.75" customHeight="1">
      <c r="A81" s="24"/>
      <c r="B81" s="34"/>
      <c r="D81" s="47" t="s">
        <v>31</v>
      </c>
      <c r="E81" s="48"/>
      <c r="F81" s="98">
        <v>0</v>
      </c>
      <c r="G81" s="83"/>
    </row>
    <row r="82" spans="1:7" ht="12.75" customHeight="1">
      <c r="A82" s="24"/>
      <c r="B82" s="34"/>
      <c r="D82" s="47" t="s">
        <v>32</v>
      </c>
      <c r="E82" s="48"/>
      <c r="F82" s="77"/>
      <c r="G82" s="83"/>
    </row>
    <row r="83" spans="1:7" ht="12.75" customHeight="1">
      <c r="A83" s="24"/>
      <c r="B83" s="34"/>
      <c r="D83" s="47"/>
      <c r="E83" s="49" t="s">
        <v>33</v>
      </c>
      <c r="F83" s="98">
        <v>0</v>
      </c>
      <c r="G83" s="83"/>
    </row>
    <row r="84" spans="1:7" ht="12.75" customHeight="1">
      <c r="A84" s="24"/>
      <c r="B84" s="34"/>
      <c r="D84" s="47"/>
      <c r="E84" s="49"/>
      <c r="F84" s="88"/>
      <c r="G84" s="83"/>
    </row>
    <row r="85" spans="1:7" ht="12.75" customHeight="1">
      <c r="A85" s="24"/>
      <c r="B85" s="34"/>
      <c r="C85" s="24" t="s">
        <v>34</v>
      </c>
      <c r="D85" s="24"/>
      <c r="E85" s="45"/>
      <c r="F85" s="74"/>
      <c r="G85" s="83"/>
    </row>
    <row r="86" spans="1:7" ht="12.75" customHeight="1">
      <c r="A86" s="24"/>
      <c r="B86" s="34"/>
      <c r="D86" s="24"/>
      <c r="E86" s="50" t="s">
        <v>35</v>
      </c>
      <c r="F86" s="101">
        <v>0</v>
      </c>
      <c r="G86" s="83"/>
    </row>
    <row r="87" spans="1:7" ht="12.75" customHeight="1">
      <c r="A87" s="24"/>
      <c r="B87" s="34"/>
      <c r="D87" s="24"/>
      <c r="E87" s="50"/>
      <c r="F87" s="74"/>
      <c r="G87" s="83"/>
    </row>
    <row r="88" spans="1:7" ht="12.75" customHeight="1">
      <c r="A88" s="24"/>
      <c r="B88" s="34"/>
      <c r="C88" s="24" t="s">
        <v>36</v>
      </c>
      <c r="D88" s="24"/>
      <c r="E88" s="45"/>
      <c r="F88" s="101">
        <v>0</v>
      </c>
      <c r="G88" s="83"/>
    </row>
    <row r="89" spans="1:7" ht="12.75" customHeight="1">
      <c r="A89" s="24"/>
      <c r="B89" s="34"/>
      <c r="C89" s="24"/>
      <c r="D89" s="24"/>
      <c r="E89" s="45"/>
      <c r="F89" s="74"/>
      <c r="G89" s="83"/>
    </row>
    <row r="90" spans="1:7" ht="12.75" customHeight="1">
      <c r="A90" s="24"/>
      <c r="B90" s="34"/>
      <c r="C90" s="24" t="s">
        <v>37</v>
      </c>
      <c r="D90" s="24"/>
      <c r="E90" s="45"/>
      <c r="F90" s="101">
        <v>0</v>
      </c>
      <c r="G90" s="83"/>
    </row>
    <row r="91" spans="1:7" ht="12.75" customHeight="1">
      <c r="A91" s="24"/>
      <c r="B91" s="34"/>
      <c r="C91" s="24"/>
      <c r="D91" s="24"/>
      <c r="E91" s="45"/>
      <c r="F91" s="74"/>
      <c r="G91" s="83"/>
    </row>
    <row r="92" spans="1:7" ht="12.75" customHeight="1">
      <c r="A92" s="24"/>
      <c r="B92" s="34"/>
      <c r="C92" s="24" t="s">
        <v>38</v>
      </c>
      <c r="D92" s="24"/>
      <c r="E92" s="45"/>
      <c r="F92" s="101">
        <f>SUM(F93:F95)</f>
        <v>3682.8195849999997</v>
      </c>
      <c r="G92" s="83"/>
    </row>
    <row r="93" spans="1:7" ht="12.75" customHeight="1">
      <c r="A93" s="24"/>
      <c r="B93" s="34"/>
      <c r="C93" s="24"/>
      <c r="D93" s="24"/>
      <c r="E93" s="51" t="s">
        <v>114</v>
      </c>
      <c r="F93" s="80">
        <v>1060.09</v>
      </c>
      <c r="G93" s="83"/>
    </row>
    <row r="94" spans="1:7" ht="12.75" customHeight="1">
      <c r="A94" s="24"/>
      <c r="B94" s="34"/>
      <c r="C94" s="24"/>
      <c r="D94" s="24"/>
      <c r="E94" s="46" t="s">
        <v>79</v>
      </c>
      <c r="F94" s="98">
        <v>1172.8</v>
      </c>
      <c r="G94" s="83"/>
    </row>
    <row r="95" spans="1:7" ht="12.75" customHeight="1">
      <c r="A95" s="24"/>
      <c r="B95" s="34"/>
      <c r="C95" s="24"/>
      <c r="D95" s="24"/>
      <c r="E95" s="46" t="s">
        <v>156</v>
      </c>
      <c r="F95" s="115">
        <f>17158.93*8.45/100</f>
        <v>1449.9295849999999</v>
      </c>
      <c r="G95" s="83"/>
    </row>
    <row r="96" spans="1:7" ht="12.75" customHeight="1">
      <c r="A96" s="24"/>
      <c r="B96" s="34"/>
      <c r="C96" s="24"/>
      <c r="D96" s="24"/>
      <c r="E96" s="50"/>
      <c r="F96" s="74" t="s">
        <v>0</v>
      </c>
      <c r="G96" s="83"/>
    </row>
    <row r="97" spans="1:7" ht="14.25" customHeight="1">
      <c r="A97" s="52"/>
      <c r="B97" s="37" t="s">
        <v>39</v>
      </c>
      <c r="C97" s="53"/>
      <c r="D97" s="53"/>
      <c r="E97" s="46"/>
      <c r="F97" s="74" t="s">
        <v>0</v>
      </c>
      <c r="G97" s="97">
        <f>G19+G36</f>
        <v>-84131.25002000004</v>
      </c>
    </row>
    <row r="98" spans="1:7" ht="12.75" customHeight="1">
      <c r="A98" s="24"/>
      <c r="B98" s="54" t="s">
        <v>40</v>
      </c>
      <c r="C98" s="24"/>
      <c r="D98" s="24"/>
      <c r="E98" s="50"/>
      <c r="F98" s="74" t="s">
        <v>0</v>
      </c>
      <c r="G98" s="85"/>
    </row>
    <row r="99" spans="2:7" ht="12" customHeight="1">
      <c r="B99" s="56"/>
      <c r="E99" s="45"/>
      <c r="F99" s="74" t="s">
        <v>0</v>
      </c>
      <c r="G99" s="85"/>
    </row>
    <row r="100" spans="2:7" ht="15" customHeight="1">
      <c r="B100" s="37" t="s">
        <v>65</v>
      </c>
      <c r="C100" s="42"/>
      <c r="D100" s="42"/>
      <c r="E100" s="57"/>
      <c r="F100" s="75"/>
      <c r="G100" s="97">
        <f>SUM(F102:F104)</f>
        <v>16555.911234999996</v>
      </c>
    </row>
    <row r="101" spans="2:7" ht="12">
      <c r="B101" s="56"/>
      <c r="E101" s="45"/>
      <c r="F101" s="74"/>
      <c r="G101" s="85"/>
    </row>
    <row r="102" spans="2:7" ht="15">
      <c r="B102" s="34"/>
      <c r="C102" s="24" t="s">
        <v>62</v>
      </c>
      <c r="D102" s="24"/>
      <c r="E102" s="45"/>
      <c r="F102" s="94">
        <f>212506*8.45/100</f>
        <v>17956.756999999998</v>
      </c>
      <c r="G102" s="85"/>
    </row>
    <row r="103" spans="2:7" ht="14.25">
      <c r="B103" s="56"/>
      <c r="C103" s="24" t="s">
        <v>63</v>
      </c>
      <c r="E103" s="45"/>
      <c r="F103" s="101">
        <f>65.31+(9934.2*8.45/100)</f>
        <v>904.7499</v>
      </c>
      <c r="G103" s="85"/>
    </row>
    <row r="104" spans="2:7" ht="14.25">
      <c r="B104" s="56"/>
      <c r="C104" s="24" t="s">
        <v>64</v>
      </c>
      <c r="E104" s="45"/>
      <c r="F104" s="101">
        <f>-4.19+((-4005.39-23230.18)*8.45/100)</f>
        <v>-2305.595665</v>
      </c>
      <c r="G104" s="85"/>
    </row>
    <row r="105" spans="2:7" ht="12">
      <c r="B105" s="56"/>
      <c r="E105" s="45"/>
      <c r="F105" s="74"/>
      <c r="G105" s="85"/>
    </row>
    <row r="106" spans="2:7" ht="15.75">
      <c r="B106" s="37" t="s">
        <v>66</v>
      </c>
      <c r="C106" s="42"/>
      <c r="D106" s="42"/>
      <c r="E106" s="57"/>
      <c r="F106" s="103">
        <v>0</v>
      </c>
      <c r="G106" s="97">
        <v>0</v>
      </c>
    </row>
    <row r="107" spans="2:7" ht="12">
      <c r="B107" s="56"/>
      <c r="E107" s="45"/>
      <c r="F107" s="74"/>
      <c r="G107" s="85"/>
    </row>
    <row r="108" spans="2:7" ht="15.75">
      <c r="B108" s="37" t="s">
        <v>61</v>
      </c>
      <c r="C108" s="42"/>
      <c r="D108" s="42"/>
      <c r="E108" s="57"/>
      <c r="F108" s="75"/>
      <c r="G108" s="97">
        <f>SUM(F110-F112)</f>
        <v>672.5990199999999</v>
      </c>
    </row>
    <row r="109" spans="2:7" ht="12">
      <c r="B109" s="56"/>
      <c r="E109" s="45"/>
      <c r="F109" s="74"/>
      <c r="G109" s="85"/>
    </row>
    <row r="110" spans="2:7" ht="15">
      <c r="B110" s="56"/>
      <c r="C110" s="24" t="s">
        <v>67</v>
      </c>
      <c r="E110" s="45"/>
      <c r="F110" s="110">
        <f>SUM(F111:F111)</f>
        <v>1187.6559149999998</v>
      </c>
      <c r="G110" s="85"/>
    </row>
    <row r="111" spans="2:7" ht="14.25">
      <c r="B111" s="56"/>
      <c r="C111" s="24"/>
      <c r="D111" s="121" t="s">
        <v>194</v>
      </c>
      <c r="E111" s="122"/>
      <c r="F111" s="101">
        <f>68.87+(13240.07*8.45/100)</f>
        <v>1187.6559149999998</v>
      </c>
      <c r="G111" s="85"/>
    </row>
    <row r="112" spans="2:7" ht="14.25">
      <c r="B112" s="56"/>
      <c r="C112" s="24" t="s">
        <v>68</v>
      </c>
      <c r="E112" s="45"/>
      <c r="F112" s="101">
        <f>33.33+(5700.91*8.45/100)</f>
        <v>515.0568949999999</v>
      </c>
      <c r="G112" s="85"/>
    </row>
    <row r="113" spans="2:7" ht="12">
      <c r="B113" s="56"/>
      <c r="E113" s="45"/>
      <c r="F113" s="74"/>
      <c r="G113" s="85"/>
    </row>
    <row r="114" spans="2:7" ht="15.75">
      <c r="B114" s="59" t="s">
        <v>69</v>
      </c>
      <c r="C114" s="43"/>
      <c r="D114" s="43"/>
      <c r="E114" s="57"/>
      <c r="F114" s="101">
        <f>(103092*8.45/100)+28.1</f>
        <v>8739.374</v>
      </c>
      <c r="G114" s="97">
        <f>F114</f>
        <v>8739.374</v>
      </c>
    </row>
    <row r="115" spans="2:7" ht="12">
      <c r="B115" s="56"/>
      <c r="E115" s="45"/>
      <c r="F115" s="74"/>
      <c r="G115" s="85"/>
    </row>
    <row r="116" spans="2:7" ht="15.75">
      <c r="B116" s="37"/>
      <c r="E116" s="60" t="s">
        <v>70</v>
      </c>
      <c r="F116" s="74"/>
      <c r="G116" s="102">
        <f>G97+G100-G106+G108-G114</f>
        <v>-75642.11376500005</v>
      </c>
    </row>
    <row r="117" spans="2:7" ht="12">
      <c r="B117" s="61"/>
      <c r="C117" s="62"/>
      <c r="D117" s="62"/>
      <c r="E117" s="63"/>
      <c r="F117" s="86"/>
      <c r="G117" s="87"/>
    </row>
  </sheetData>
  <mergeCells count="5">
    <mergeCell ref="D111:E111"/>
    <mergeCell ref="B6:G6"/>
    <mergeCell ref="B11:G11"/>
    <mergeCell ref="B13:G13"/>
    <mergeCell ref="F16:G16"/>
  </mergeCells>
  <printOptions/>
  <pageMargins left="0.75" right="0.75" top="1" bottom="1" header="0.5" footer="0.5"/>
  <pageSetup fitToHeight="2" fitToWidth="1" horizontalDpi="300" verticalDpi="300" orientation="portrait" paperSize="9" scale="94" r:id="rId1"/>
  <rowBreaks count="1" manualBreakCount="1"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G81" sqref="G81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18.37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82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8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5" customHeight="1">
      <c r="A19" s="24"/>
      <c r="B19" s="37" t="s">
        <v>5</v>
      </c>
      <c r="C19" s="24"/>
      <c r="D19" s="24"/>
      <c r="F19" s="81"/>
      <c r="G19" s="92">
        <f>F20+F23+F24+F25+F27</f>
        <v>128180.00611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SUM(F21:F21)</f>
        <v>51875.16</v>
      </c>
      <c r="G20" s="82"/>
    </row>
    <row r="21" spans="1:7" ht="12.75" customHeight="1">
      <c r="A21" s="24"/>
      <c r="B21" s="34"/>
      <c r="C21" s="24"/>
      <c r="D21" s="24" t="s">
        <v>30</v>
      </c>
      <c r="E21" s="25" t="s">
        <v>91</v>
      </c>
      <c r="F21" s="89">
        <v>51875.16</v>
      </c>
      <c r="G21" s="82"/>
    </row>
    <row r="22" spans="1:7" ht="12.75" customHeight="1">
      <c r="A22" s="24"/>
      <c r="B22" s="34"/>
      <c r="C22" s="24" t="s">
        <v>8</v>
      </c>
      <c r="D22" s="24" t="s">
        <v>9</v>
      </c>
      <c r="F22" s="74"/>
      <c r="G22" s="82"/>
    </row>
    <row r="23" spans="1:7" ht="12.75" customHeight="1">
      <c r="A23" s="24"/>
      <c r="B23" s="34"/>
      <c r="C23" s="24"/>
      <c r="D23" s="24" t="s">
        <v>10</v>
      </c>
      <c r="F23" s="101">
        <v>0</v>
      </c>
      <c r="G23" s="82"/>
    </row>
    <row r="24" spans="1:7" ht="12.75" customHeight="1">
      <c r="A24" s="24"/>
      <c r="B24" s="34"/>
      <c r="C24" s="24" t="s">
        <v>11</v>
      </c>
      <c r="D24" s="24" t="s">
        <v>12</v>
      </c>
      <c r="F24" s="101">
        <v>0</v>
      </c>
      <c r="G24" s="82"/>
    </row>
    <row r="25" spans="1:7" ht="12.75" customHeight="1">
      <c r="A25" s="24"/>
      <c r="B25" s="34"/>
      <c r="C25" s="24" t="s">
        <v>13</v>
      </c>
      <c r="D25" s="24"/>
      <c r="F25" s="101">
        <v>0</v>
      </c>
      <c r="G25" s="82"/>
    </row>
    <row r="26" spans="1:7" ht="12.75" customHeight="1">
      <c r="A26" s="24"/>
      <c r="B26" s="34"/>
      <c r="C26" s="24" t="s">
        <v>14</v>
      </c>
      <c r="D26" s="24"/>
      <c r="F26" s="74" t="s">
        <v>0</v>
      </c>
      <c r="G26" s="83"/>
    </row>
    <row r="27" spans="1:7" ht="12.75" customHeight="1">
      <c r="A27" s="24"/>
      <c r="B27" s="34"/>
      <c r="C27" s="24"/>
      <c r="D27" s="24" t="s">
        <v>15</v>
      </c>
      <c r="F27" s="93">
        <f>SUM(F28:F30)</f>
        <v>76304.84611</v>
      </c>
      <c r="G27" s="83"/>
    </row>
    <row r="28" spans="1:7" ht="12.75" customHeight="1">
      <c r="A28" s="24"/>
      <c r="B28" s="34"/>
      <c r="C28" s="24"/>
      <c r="D28" s="40" t="s">
        <v>30</v>
      </c>
      <c r="E28" s="25" t="s">
        <v>52</v>
      </c>
      <c r="F28" s="89">
        <v>70449.07</v>
      </c>
      <c r="G28" s="84"/>
    </row>
    <row r="29" spans="1:7" ht="12.75" customHeight="1">
      <c r="A29" s="24"/>
      <c r="B29" s="34"/>
      <c r="C29" s="24"/>
      <c r="D29" s="40" t="s">
        <v>30</v>
      </c>
      <c r="E29" s="25" t="s">
        <v>53</v>
      </c>
      <c r="F29" s="89">
        <v>281.37</v>
      </c>
      <c r="G29" s="84"/>
    </row>
    <row r="30" spans="1:7" ht="12.75" customHeight="1">
      <c r="A30" s="24"/>
      <c r="B30" s="34"/>
      <c r="C30" s="24"/>
      <c r="D30" s="40" t="s">
        <v>30</v>
      </c>
      <c r="E30" s="25" t="s">
        <v>155</v>
      </c>
      <c r="F30" s="74">
        <f>265447.91*2.1/100</f>
        <v>5574.406109999999</v>
      </c>
      <c r="G30" s="84"/>
    </row>
    <row r="31" spans="1:7" ht="12.75" customHeight="1">
      <c r="A31" s="24"/>
      <c r="B31" s="34"/>
      <c r="C31" s="24"/>
      <c r="D31" s="24"/>
      <c r="E31" s="24"/>
      <c r="F31" s="74"/>
      <c r="G31" s="83"/>
    </row>
    <row r="32" spans="1:7" s="44" customFormat="1" ht="14.25" customHeight="1">
      <c r="A32" s="42"/>
      <c r="B32" s="37" t="s">
        <v>16</v>
      </c>
      <c r="C32" s="42"/>
      <c r="D32" s="42"/>
      <c r="E32" s="43"/>
      <c r="F32" s="75"/>
      <c r="G32" s="92">
        <f>-(F34+F41+F52+F55+F62+F70+F72+F74+F76)</f>
        <v>-148362.71481</v>
      </c>
    </row>
    <row r="33" spans="1:7" ht="12.75" customHeight="1">
      <c r="A33" s="24"/>
      <c r="B33" s="34"/>
      <c r="C33" s="24" t="s">
        <v>17</v>
      </c>
      <c r="D33" s="24"/>
      <c r="F33" s="74" t="s">
        <v>0</v>
      </c>
      <c r="G33" s="83"/>
    </row>
    <row r="34" spans="1:7" ht="12.75" customHeight="1">
      <c r="A34" s="24"/>
      <c r="B34" s="34"/>
      <c r="D34" s="24" t="s">
        <v>18</v>
      </c>
      <c r="E34" s="45"/>
      <c r="F34" s="91">
        <f>SUM(F35:F39)</f>
        <v>5181.236980000001</v>
      </c>
      <c r="G34" s="83"/>
    </row>
    <row r="35" spans="1:7" ht="12.75" customHeight="1">
      <c r="A35" s="24"/>
      <c r="B35" s="34"/>
      <c r="D35" s="24"/>
      <c r="E35" s="45" t="s">
        <v>214</v>
      </c>
      <c r="F35" s="76">
        <v>814.19</v>
      </c>
      <c r="G35" s="83"/>
    </row>
    <row r="36" spans="1:7" ht="12.75" customHeight="1">
      <c r="A36" s="24"/>
      <c r="B36" s="34"/>
      <c r="D36" s="24"/>
      <c r="E36" s="45" t="s">
        <v>138</v>
      </c>
      <c r="F36" s="76">
        <v>1395.25</v>
      </c>
      <c r="G36" s="83"/>
    </row>
    <row r="37" spans="1:7" ht="12.75" customHeight="1">
      <c r="A37" s="24"/>
      <c r="B37" s="34"/>
      <c r="D37" s="24"/>
      <c r="E37" s="45" t="s">
        <v>162</v>
      </c>
      <c r="F37" s="76">
        <f>397.43+35.7</f>
        <v>433.13</v>
      </c>
      <c r="G37" s="83"/>
    </row>
    <row r="38" spans="1:7" ht="12.75" customHeight="1">
      <c r="A38" s="24"/>
      <c r="B38" s="34"/>
      <c r="C38" s="24"/>
      <c r="D38" s="24"/>
      <c r="E38" s="46" t="s">
        <v>55</v>
      </c>
      <c r="F38" s="98">
        <v>2301.38</v>
      </c>
      <c r="G38" s="83"/>
    </row>
    <row r="39" spans="1:7" ht="12.75" customHeight="1">
      <c r="A39" s="24"/>
      <c r="B39" s="34"/>
      <c r="D39" s="24"/>
      <c r="E39" s="45" t="s">
        <v>156</v>
      </c>
      <c r="F39" s="74">
        <f>11299.38*2.1/100</f>
        <v>237.28698</v>
      </c>
      <c r="G39" s="83"/>
    </row>
    <row r="40" spans="1:7" ht="12.75" customHeight="1">
      <c r="A40" s="24"/>
      <c r="B40" s="34"/>
      <c r="D40" s="24"/>
      <c r="E40" s="45"/>
      <c r="F40" s="80"/>
      <c r="G40" s="83"/>
    </row>
    <row r="41" spans="1:7" ht="12.75" customHeight="1">
      <c r="A41" s="24"/>
      <c r="B41" s="34"/>
      <c r="C41" s="24" t="s">
        <v>19</v>
      </c>
      <c r="D41" s="24"/>
      <c r="E41" s="45"/>
      <c r="F41" s="91">
        <f>SUM(F42:F50)</f>
        <v>34506.12431</v>
      </c>
      <c r="G41" s="83"/>
    </row>
    <row r="42" spans="1:7" ht="12.75" customHeight="1">
      <c r="A42" s="24"/>
      <c r="B42" s="34"/>
      <c r="C42" s="24"/>
      <c r="D42" s="24"/>
      <c r="E42" s="46" t="s">
        <v>44</v>
      </c>
      <c r="F42" s="98">
        <f>1450.16+77.2</f>
        <v>1527.3600000000001</v>
      </c>
      <c r="G42" s="83"/>
    </row>
    <row r="43" spans="1:7" ht="12.75" customHeight="1">
      <c r="A43" s="24"/>
      <c r="B43" s="34"/>
      <c r="C43" s="24"/>
      <c r="D43" s="24"/>
      <c r="E43" s="46" t="s">
        <v>106</v>
      </c>
      <c r="F43" s="98">
        <v>966.05</v>
      </c>
      <c r="G43" s="83"/>
    </row>
    <row r="44" spans="1:7" ht="12.75" customHeight="1">
      <c r="A44" s="24"/>
      <c r="B44" s="34"/>
      <c r="C44" s="24"/>
      <c r="D44" s="24"/>
      <c r="E44" s="46" t="s">
        <v>46</v>
      </c>
      <c r="F44" s="98">
        <v>62.22</v>
      </c>
      <c r="G44" s="83"/>
    </row>
    <row r="45" spans="1:7" ht="12.75" customHeight="1">
      <c r="A45" s="24"/>
      <c r="B45" s="34"/>
      <c r="C45" s="24"/>
      <c r="D45" s="24"/>
      <c r="E45" s="46" t="s">
        <v>167</v>
      </c>
      <c r="F45" s="98">
        <v>1715.99</v>
      </c>
      <c r="G45" s="83"/>
    </row>
    <row r="46" spans="1:7" ht="13.5" customHeight="1">
      <c r="A46" s="24"/>
      <c r="B46" s="34"/>
      <c r="C46" s="24"/>
      <c r="D46" s="24"/>
      <c r="E46" s="46" t="s">
        <v>115</v>
      </c>
      <c r="F46" s="98">
        <v>1118.94</v>
      </c>
      <c r="G46" s="83"/>
    </row>
    <row r="47" spans="1:7" ht="13.5" customHeight="1">
      <c r="A47" s="24"/>
      <c r="B47" s="34"/>
      <c r="C47" s="24"/>
      <c r="D47" s="24"/>
      <c r="E47" s="46" t="s">
        <v>77</v>
      </c>
      <c r="F47" s="98">
        <v>3453.91</v>
      </c>
      <c r="G47" s="83"/>
    </row>
    <row r="48" spans="1:7" ht="13.5" customHeight="1">
      <c r="A48" s="24"/>
      <c r="B48" s="34"/>
      <c r="C48" s="24"/>
      <c r="D48" s="24"/>
      <c r="E48" s="46" t="s">
        <v>139</v>
      </c>
      <c r="F48" s="98">
        <v>16867.12</v>
      </c>
      <c r="G48" s="83"/>
    </row>
    <row r="49" spans="1:7" ht="13.5" customHeight="1">
      <c r="A49" s="24"/>
      <c r="B49" s="34"/>
      <c r="C49" s="24"/>
      <c r="D49" s="24"/>
      <c r="E49" s="46" t="s">
        <v>140</v>
      </c>
      <c r="F49" s="98">
        <v>1125.08</v>
      </c>
      <c r="G49" s="83"/>
    </row>
    <row r="50" spans="1:7" ht="12.75" customHeight="1">
      <c r="A50" s="24"/>
      <c r="B50" s="34"/>
      <c r="C50" s="24"/>
      <c r="D50" s="24"/>
      <c r="E50" s="46" t="s">
        <v>156</v>
      </c>
      <c r="F50" s="100">
        <f>(241778.57+127438.93-4005.39)*2.1/100</f>
        <v>7669.45431</v>
      </c>
      <c r="G50" s="83"/>
    </row>
    <row r="51" spans="1:7" ht="12.75" customHeight="1">
      <c r="A51" s="24"/>
      <c r="B51" s="34"/>
      <c r="C51" s="24"/>
      <c r="D51" s="24"/>
      <c r="E51" s="46"/>
      <c r="F51" s="80"/>
      <c r="G51" s="83"/>
    </row>
    <row r="52" spans="1:7" ht="12.75" customHeight="1">
      <c r="A52" s="24"/>
      <c r="B52" s="34"/>
      <c r="C52" s="24" t="s">
        <v>20</v>
      </c>
      <c r="D52" s="24"/>
      <c r="E52" s="45"/>
      <c r="F52" s="93">
        <f>SUM(F53)</f>
        <v>57.63618</v>
      </c>
      <c r="G52" s="83"/>
    </row>
    <row r="53" spans="1:7" ht="12.75" customHeight="1">
      <c r="A53" s="24"/>
      <c r="B53" s="34"/>
      <c r="C53" s="24"/>
      <c r="D53" s="24"/>
      <c r="E53" s="45" t="s">
        <v>156</v>
      </c>
      <c r="F53" s="98">
        <f>2744.58*2.1/100</f>
        <v>57.63618</v>
      </c>
      <c r="G53" s="83"/>
    </row>
    <row r="54" spans="1:7" ht="12.75" customHeight="1">
      <c r="A54" s="24"/>
      <c r="B54" s="34"/>
      <c r="C54" s="24"/>
      <c r="D54" s="24"/>
      <c r="E54" s="45"/>
      <c r="F54" s="78"/>
      <c r="G54" s="83"/>
    </row>
    <row r="55" spans="1:7" ht="12.75" customHeight="1">
      <c r="A55" s="24"/>
      <c r="B55" s="34"/>
      <c r="C55" s="24" t="s">
        <v>21</v>
      </c>
      <c r="D55" s="24"/>
      <c r="E55" s="45"/>
      <c r="F55" s="91">
        <f>SUM(F56:F60)</f>
        <v>106991.94021</v>
      </c>
      <c r="G55" s="83"/>
    </row>
    <row r="56" spans="1:7" ht="12.75" customHeight="1">
      <c r="A56" s="24"/>
      <c r="B56" s="34"/>
      <c r="D56" s="47" t="s">
        <v>22</v>
      </c>
      <c r="E56" s="48"/>
      <c r="F56" s="98">
        <f>(55160.94+1484.36+4393.38)+((146511.24+8163.97+17733.75+66364.61)*2.1/100)</f>
        <v>66052.92497000001</v>
      </c>
      <c r="G56" s="83"/>
    </row>
    <row r="57" spans="1:7" ht="12.75" customHeight="1">
      <c r="A57" s="24"/>
      <c r="B57" s="34"/>
      <c r="D57" s="47" t="s">
        <v>23</v>
      </c>
      <c r="E57" s="48"/>
      <c r="F57" s="98">
        <f>(25903.72+2060.24+378.81+1120.97)+((33776.82+2815.43+2083.45+9646.31+15927.59)*2.1/100)</f>
        <v>30812.981600000003</v>
      </c>
      <c r="G57" s="83"/>
    </row>
    <row r="58" spans="1:7" ht="12.75" customHeight="1">
      <c r="A58" s="24"/>
      <c r="B58" s="34"/>
      <c r="D58" s="47" t="s">
        <v>24</v>
      </c>
      <c r="E58" s="48"/>
      <c r="F58" s="98">
        <f>9647.09+((17387.4+5419.44)*2.1/100)</f>
        <v>10126.03364</v>
      </c>
      <c r="G58" s="83"/>
    </row>
    <row r="59" spans="1:7" ht="12.75" customHeight="1">
      <c r="A59" s="24"/>
      <c r="B59" s="34"/>
      <c r="D59" s="47" t="s">
        <v>25</v>
      </c>
      <c r="E59" s="48"/>
      <c r="F59" s="98">
        <v>0</v>
      </c>
      <c r="G59" s="83"/>
    </row>
    <row r="60" spans="1:7" ht="12.75" customHeight="1">
      <c r="A60" s="24"/>
      <c r="B60" s="34"/>
      <c r="D60" s="47" t="s">
        <v>116</v>
      </c>
      <c r="E60" s="48"/>
      <c r="F60" s="98">
        <v>0</v>
      </c>
      <c r="G60" s="83"/>
    </row>
    <row r="61" spans="1:7" ht="12.75" customHeight="1">
      <c r="A61" s="24"/>
      <c r="B61" s="34"/>
      <c r="D61" s="47"/>
      <c r="E61" s="48"/>
      <c r="F61" s="98"/>
      <c r="G61" s="83"/>
    </row>
    <row r="62" spans="1:7" ht="12.75" customHeight="1">
      <c r="A62" s="24"/>
      <c r="B62" s="34"/>
      <c r="C62" s="24" t="s">
        <v>27</v>
      </c>
      <c r="D62" s="24"/>
      <c r="E62" s="45"/>
      <c r="F62" s="91">
        <f>SUM(F63:F67)</f>
        <v>982.2696000000001</v>
      </c>
      <c r="G62" s="83"/>
    </row>
    <row r="63" spans="1:7" ht="12.75" customHeight="1">
      <c r="A63" s="24"/>
      <c r="B63" s="34"/>
      <c r="C63" s="24"/>
      <c r="D63" s="47" t="s">
        <v>28</v>
      </c>
      <c r="E63" s="48"/>
      <c r="F63" s="98">
        <f>7338.54*2.1/100</f>
        <v>154.10934</v>
      </c>
      <c r="G63" s="83"/>
    </row>
    <row r="64" spans="1:7" ht="12.75" customHeight="1">
      <c r="A64" s="24"/>
      <c r="B64" s="34"/>
      <c r="D64" s="47" t="s">
        <v>29</v>
      </c>
      <c r="E64" s="49"/>
      <c r="F64" s="98">
        <f>377.73+(21449.06*2.1/100)</f>
        <v>828.1602600000001</v>
      </c>
      <c r="G64" s="83"/>
    </row>
    <row r="65" spans="1:7" ht="12.75" customHeight="1">
      <c r="A65" s="24"/>
      <c r="B65" s="34"/>
      <c r="D65" s="47" t="s">
        <v>31</v>
      </c>
      <c r="E65" s="48"/>
      <c r="F65" s="98">
        <v>0</v>
      </c>
      <c r="G65" s="83"/>
    </row>
    <row r="66" spans="1:7" ht="12.75" customHeight="1">
      <c r="A66" s="24"/>
      <c r="B66" s="34"/>
      <c r="D66" s="47" t="s">
        <v>32</v>
      </c>
      <c r="E66" s="48"/>
      <c r="F66" s="98"/>
      <c r="G66" s="83"/>
    </row>
    <row r="67" spans="1:7" ht="12.75" customHeight="1">
      <c r="A67" s="24"/>
      <c r="B67" s="34"/>
      <c r="D67" s="47"/>
      <c r="E67" s="49" t="s">
        <v>33</v>
      </c>
      <c r="F67" s="98">
        <v>0</v>
      </c>
      <c r="G67" s="83"/>
    </row>
    <row r="68" spans="1:7" ht="12.75" customHeight="1">
      <c r="A68" s="24"/>
      <c r="B68" s="34"/>
      <c r="D68" s="47"/>
      <c r="E68" s="49"/>
      <c r="F68" s="80"/>
      <c r="G68" s="83"/>
    </row>
    <row r="69" spans="1:7" ht="12.75" customHeight="1">
      <c r="A69" s="24"/>
      <c r="B69" s="34"/>
      <c r="C69" s="24" t="s">
        <v>34</v>
      </c>
      <c r="D69" s="24"/>
      <c r="E69" s="45"/>
      <c r="F69" s="74"/>
      <c r="G69" s="83"/>
    </row>
    <row r="70" spans="1:7" ht="12.75" customHeight="1">
      <c r="A70" s="24"/>
      <c r="B70" s="34"/>
      <c r="D70" s="24"/>
      <c r="E70" s="50" t="s">
        <v>35</v>
      </c>
      <c r="F70" s="101">
        <v>0</v>
      </c>
      <c r="G70" s="83"/>
    </row>
    <row r="71" spans="1:7" ht="12.75" customHeight="1">
      <c r="A71" s="24"/>
      <c r="B71" s="34"/>
      <c r="D71" s="24"/>
      <c r="E71" s="50"/>
      <c r="F71" s="101"/>
      <c r="G71" s="83"/>
    </row>
    <row r="72" spans="1:7" ht="12.75" customHeight="1">
      <c r="A72" s="24"/>
      <c r="B72" s="34"/>
      <c r="C72" s="24" t="s">
        <v>36</v>
      </c>
      <c r="D72" s="24"/>
      <c r="E72" s="45"/>
      <c r="F72" s="101">
        <v>0</v>
      </c>
      <c r="G72" s="83"/>
    </row>
    <row r="73" spans="1:7" ht="12.75" customHeight="1">
      <c r="A73" s="24"/>
      <c r="B73" s="34"/>
      <c r="C73" s="24"/>
      <c r="D73" s="24"/>
      <c r="E73" s="45"/>
      <c r="F73" s="101"/>
      <c r="G73" s="83"/>
    </row>
    <row r="74" spans="1:7" ht="12.75" customHeight="1">
      <c r="A74" s="24"/>
      <c r="B74" s="34"/>
      <c r="C74" s="24" t="s">
        <v>37</v>
      </c>
      <c r="D74" s="24"/>
      <c r="E74" s="45"/>
      <c r="F74" s="101">
        <v>0</v>
      </c>
      <c r="G74" s="83"/>
    </row>
    <row r="75" spans="1:7" ht="12.75" customHeight="1">
      <c r="A75" s="24"/>
      <c r="B75" s="34"/>
      <c r="C75" s="24"/>
      <c r="D75" s="24"/>
      <c r="E75" s="45"/>
      <c r="F75" s="101"/>
      <c r="G75" s="83"/>
    </row>
    <row r="76" spans="1:7" ht="12.75" customHeight="1">
      <c r="A76" s="24"/>
      <c r="B76" s="34"/>
      <c r="C76" s="24" t="s">
        <v>38</v>
      </c>
      <c r="D76" s="24"/>
      <c r="E76" s="45"/>
      <c r="F76" s="101">
        <f>SUM(F77:F78)</f>
        <v>643.5075300000001</v>
      </c>
      <c r="G76" s="83"/>
    </row>
    <row r="77" spans="1:7" ht="12.75" customHeight="1">
      <c r="A77" s="24"/>
      <c r="B77" s="34"/>
      <c r="C77" s="24"/>
      <c r="D77" s="24"/>
      <c r="E77" s="46" t="s">
        <v>215</v>
      </c>
      <c r="F77" s="80">
        <v>283.18</v>
      </c>
      <c r="G77" s="83"/>
    </row>
    <row r="78" spans="1:7" ht="12.75" customHeight="1">
      <c r="A78" s="24"/>
      <c r="B78" s="34"/>
      <c r="C78" s="24"/>
      <c r="D78" s="24"/>
      <c r="E78" s="46" t="s">
        <v>157</v>
      </c>
      <c r="F78" s="115">
        <f>(17158.93*2.1/100)-0.01</f>
        <v>360.32753</v>
      </c>
      <c r="G78" s="83"/>
    </row>
    <row r="79" spans="1:7" ht="12.75" customHeight="1">
      <c r="A79" s="24"/>
      <c r="B79" s="34"/>
      <c r="C79" s="24"/>
      <c r="D79" s="24"/>
      <c r="E79" s="50"/>
      <c r="F79" s="74" t="s">
        <v>0</v>
      </c>
      <c r="G79" s="83"/>
    </row>
    <row r="80" spans="1:7" ht="15.75" customHeight="1">
      <c r="A80" s="52"/>
      <c r="B80" s="37" t="s">
        <v>39</v>
      </c>
      <c r="C80" s="53"/>
      <c r="D80" s="53"/>
      <c r="E80" s="46"/>
      <c r="F80" s="74" t="s">
        <v>0</v>
      </c>
      <c r="G80" s="97">
        <f>G19+G32+0.01</f>
        <v>-20182.698700000004</v>
      </c>
    </row>
    <row r="81" spans="1:7" ht="12.75" customHeight="1">
      <c r="A81" s="24"/>
      <c r="B81" s="54" t="s">
        <v>40</v>
      </c>
      <c r="C81" s="24"/>
      <c r="D81" s="24"/>
      <c r="E81" s="50"/>
      <c r="F81" s="74" t="s">
        <v>0</v>
      </c>
      <c r="G81" s="85"/>
    </row>
    <row r="82" spans="2:7" ht="12" customHeight="1">
      <c r="B82" s="56"/>
      <c r="E82" s="45"/>
      <c r="F82" s="74" t="s">
        <v>0</v>
      </c>
      <c r="G82" s="85"/>
    </row>
    <row r="83" spans="2:7" ht="15" customHeight="1">
      <c r="B83" s="37" t="s">
        <v>65</v>
      </c>
      <c r="C83" s="42"/>
      <c r="D83" s="42"/>
      <c r="E83" s="57"/>
      <c r="F83" s="75"/>
      <c r="G83" s="97">
        <f>SUM(F85:F87)</f>
        <v>4099.29723</v>
      </c>
    </row>
    <row r="84" spans="2:7" ht="12">
      <c r="B84" s="56"/>
      <c r="E84" s="45"/>
      <c r="F84" s="74"/>
      <c r="G84" s="85"/>
    </row>
    <row r="85" spans="2:7" ht="15">
      <c r="B85" s="34"/>
      <c r="C85" s="24" t="s">
        <v>62</v>
      </c>
      <c r="D85" s="24"/>
      <c r="E85" s="45"/>
      <c r="F85" s="94">
        <f>212506*2.1/100</f>
        <v>4462.626</v>
      </c>
      <c r="G85" s="85"/>
    </row>
    <row r="86" spans="2:7" ht="14.25">
      <c r="B86" s="56"/>
      <c r="C86" s="24" t="s">
        <v>63</v>
      </c>
      <c r="E86" s="45"/>
      <c r="F86" s="101">
        <f>9934.2*2.1/100</f>
        <v>208.61820000000003</v>
      </c>
      <c r="G86" s="85"/>
    </row>
    <row r="87" spans="2:7" ht="14.25">
      <c r="B87" s="56"/>
      <c r="C87" s="24" t="s">
        <v>64</v>
      </c>
      <c r="E87" s="45"/>
      <c r="F87" s="101">
        <f>(-4005.39-23230.18)*2.1/100</f>
        <v>-571.94697</v>
      </c>
      <c r="G87" s="85"/>
    </row>
    <row r="88" spans="2:7" ht="12">
      <c r="B88" s="56"/>
      <c r="E88" s="45"/>
      <c r="F88" s="74"/>
      <c r="G88" s="85"/>
    </row>
    <row r="89" spans="2:7" ht="15.75">
      <c r="B89" s="37" t="s">
        <v>66</v>
      </c>
      <c r="C89" s="42"/>
      <c r="D89" s="42"/>
      <c r="E89" s="57"/>
      <c r="F89" s="103">
        <v>0</v>
      </c>
      <c r="G89" s="97">
        <v>0</v>
      </c>
    </row>
    <row r="90" spans="2:7" ht="12">
      <c r="B90" s="56"/>
      <c r="E90" s="45"/>
      <c r="F90" s="74"/>
      <c r="G90" s="85"/>
    </row>
    <row r="91" spans="2:7" ht="15.75">
      <c r="B91" s="37" t="s">
        <v>61</v>
      </c>
      <c r="C91" s="42"/>
      <c r="D91" s="42"/>
      <c r="E91" s="57"/>
      <c r="F91" s="75"/>
      <c r="G91" s="97">
        <f>SUM(F93-F94)</f>
        <v>158.32236</v>
      </c>
    </row>
    <row r="92" spans="2:7" ht="12">
      <c r="B92" s="56"/>
      <c r="E92" s="45"/>
      <c r="F92" s="74"/>
      <c r="G92" s="85"/>
    </row>
    <row r="93" spans="2:7" ht="14.25">
      <c r="B93" s="56"/>
      <c r="C93" s="24" t="s">
        <v>67</v>
      </c>
      <c r="E93" s="45"/>
      <c r="F93" s="101">
        <f>13240.07*2.1/100</f>
        <v>278.04147</v>
      </c>
      <c r="G93" s="85"/>
    </row>
    <row r="94" spans="2:7" ht="14.25">
      <c r="B94" s="56"/>
      <c r="C94" s="24" t="s">
        <v>68</v>
      </c>
      <c r="E94" s="45"/>
      <c r="F94" s="101">
        <f>5700.91*2.1/100</f>
        <v>119.71911</v>
      </c>
      <c r="G94" s="85"/>
    </row>
    <row r="95" spans="2:7" ht="12">
      <c r="B95" s="56"/>
      <c r="E95" s="45"/>
      <c r="F95" s="74"/>
      <c r="G95" s="85"/>
    </row>
    <row r="96" spans="2:7" ht="15.75">
      <c r="B96" s="59" t="s">
        <v>69</v>
      </c>
      <c r="C96" s="43"/>
      <c r="D96" s="43"/>
      <c r="E96" s="57"/>
      <c r="F96" s="101">
        <f>(103092*2.1/100)-9.01</f>
        <v>2155.922</v>
      </c>
      <c r="G96" s="97">
        <f>F96</f>
        <v>2155.922</v>
      </c>
    </row>
    <row r="97" spans="2:7" ht="12">
      <c r="B97" s="56"/>
      <c r="E97" s="45"/>
      <c r="F97" s="74"/>
      <c r="G97" s="85"/>
    </row>
    <row r="98" spans="2:7" ht="15.75">
      <c r="B98" s="37"/>
      <c r="E98" s="60" t="s">
        <v>70</v>
      </c>
      <c r="F98" s="74"/>
      <c r="G98" s="102">
        <f>G80+G83-G89+G91-G96</f>
        <v>-18081.001110000005</v>
      </c>
    </row>
    <row r="99" spans="2:7" ht="12">
      <c r="B99" s="61"/>
      <c r="C99" s="62"/>
      <c r="D99" s="62"/>
      <c r="E99" s="63"/>
      <c r="F99" s="86"/>
      <c r="G99" s="87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1" r:id="rId1"/>
  <rowBreaks count="1" manualBreakCount="1">
    <brk id="6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workbookViewId="0" topLeftCell="A1">
      <selection activeCell="G113" sqref="G113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18.37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2" customHeight="1">
      <c r="A4" s="13"/>
      <c r="B4" s="14"/>
      <c r="C4" s="13"/>
      <c r="D4" s="13"/>
      <c r="E4" s="13"/>
      <c r="F4" s="15"/>
      <c r="G4" s="16"/>
    </row>
    <row r="5" spans="1:7" s="17" customFormat="1" ht="23.25" customHeight="1">
      <c r="A5" s="13"/>
      <c r="B5" s="130" t="s">
        <v>216</v>
      </c>
      <c r="C5" s="131"/>
      <c r="D5" s="131"/>
      <c r="E5" s="131"/>
      <c r="F5" s="131"/>
      <c r="G5" s="132"/>
    </row>
    <row r="6" spans="1:7" s="17" customFormat="1" ht="23.25">
      <c r="A6" s="13"/>
      <c r="B6" s="123" t="s">
        <v>217</v>
      </c>
      <c r="C6" s="127"/>
      <c r="D6" s="127"/>
      <c r="E6" s="127"/>
      <c r="F6" s="127"/>
      <c r="G6" s="133"/>
    </row>
    <row r="7" spans="1:7" s="17" customFormat="1" ht="23.25" customHeight="1">
      <c r="A7" s="13"/>
      <c r="B7" s="130" t="s">
        <v>218</v>
      </c>
      <c r="C7" s="134"/>
      <c r="D7" s="134"/>
      <c r="E7" s="134"/>
      <c r="F7" s="134"/>
      <c r="G7" s="135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 hidden="1">
      <c r="A11" s="2"/>
      <c r="B11" s="126" t="s">
        <v>160</v>
      </c>
      <c r="C11" s="126"/>
      <c r="D11" s="126"/>
      <c r="E11" s="126"/>
      <c r="F11" s="126"/>
      <c r="G11" s="126"/>
    </row>
    <row r="12" spans="1:7" ht="12.75" customHeight="1" hidden="1">
      <c r="A12" s="24"/>
      <c r="B12" s="24"/>
      <c r="C12" s="24"/>
      <c r="D12" s="24"/>
      <c r="F12" s="26"/>
      <c r="G12" s="27"/>
    </row>
    <row r="13" spans="1:7" ht="12.75" customHeight="1" hidden="1">
      <c r="A13" s="24"/>
      <c r="B13" s="126" t="s">
        <v>1</v>
      </c>
      <c r="C13" s="126"/>
      <c r="D13" s="126"/>
      <c r="E13" s="126"/>
      <c r="F13" s="126"/>
      <c r="G13" s="126"/>
    </row>
    <row r="14" spans="1:7" ht="15.75" customHeight="1">
      <c r="A14" s="2"/>
      <c r="B14" s="126" t="s">
        <v>196</v>
      </c>
      <c r="C14" s="127"/>
      <c r="D14" s="127"/>
      <c r="E14" s="127"/>
      <c r="F14" s="127"/>
      <c r="G14" s="127"/>
    </row>
    <row r="15" spans="1:7" ht="12.75" customHeight="1">
      <c r="A15" s="24"/>
      <c r="B15" s="24"/>
      <c r="C15" s="24"/>
      <c r="D15" s="24"/>
      <c r="F15" s="26"/>
      <c r="G15" s="27"/>
    </row>
    <row r="16" spans="1:7" ht="18" customHeight="1">
      <c r="A16" s="24"/>
      <c r="B16" s="126" t="s">
        <v>1</v>
      </c>
      <c r="C16" s="124"/>
      <c r="D16" s="124"/>
      <c r="E16" s="124"/>
      <c r="F16" s="124"/>
      <c r="G16" s="124"/>
    </row>
    <row r="17" spans="1:7" ht="12.75" customHeight="1">
      <c r="A17" s="24"/>
      <c r="B17" s="24"/>
      <c r="C17" s="24"/>
      <c r="D17" s="24"/>
      <c r="E17" s="28"/>
      <c r="F17" s="26"/>
      <c r="G17" s="27"/>
    </row>
    <row r="18" spans="1:7" ht="12.75" customHeight="1">
      <c r="A18" s="24"/>
      <c r="B18" s="24"/>
      <c r="C18" s="24"/>
      <c r="D18" s="24"/>
      <c r="F18" s="26"/>
      <c r="G18" s="27"/>
    </row>
    <row r="19" spans="1:7" ht="12.75" customHeight="1">
      <c r="A19" s="24"/>
      <c r="B19" s="24"/>
      <c r="C19" s="24"/>
      <c r="D19" s="24"/>
      <c r="F19" s="128">
        <v>2005</v>
      </c>
      <c r="G19" s="129"/>
    </row>
    <row r="20" spans="1:7" ht="12.75" customHeight="1">
      <c r="A20" s="24"/>
      <c r="B20" s="29"/>
      <c r="C20" s="30"/>
      <c r="D20" s="30"/>
      <c r="E20" s="31" t="s">
        <v>2</v>
      </c>
      <c r="F20" s="32" t="s">
        <v>3</v>
      </c>
      <c r="G20" s="33" t="s">
        <v>4</v>
      </c>
    </row>
    <row r="21" spans="1:7" ht="12.75" customHeight="1">
      <c r="A21" s="24"/>
      <c r="B21" s="34"/>
      <c r="C21" s="24"/>
      <c r="D21" s="24"/>
      <c r="E21" s="25" t="s">
        <v>0</v>
      </c>
      <c r="F21" s="35"/>
      <c r="G21" s="36"/>
    </row>
    <row r="22" spans="1:7" ht="15" customHeight="1">
      <c r="A22" s="24"/>
      <c r="B22" s="37" t="s">
        <v>5</v>
      </c>
      <c r="C22" s="24"/>
      <c r="D22" s="24"/>
      <c r="F22" s="81"/>
      <c r="G22" s="92">
        <f>F23+F27+F28+F29+F31</f>
        <v>121603.913409</v>
      </c>
    </row>
    <row r="23" spans="1:7" ht="12.75" customHeight="1">
      <c r="A23" s="24"/>
      <c r="B23" s="34"/>
      <c r="C23" s="24" t="s">
        <v>6</v>
      </c>
      <c r="D23" s="24" t="s">
        <v>7</v>
      </c>
      <c r="F23" s="93">
        <f>SUM(F24:F25)</f>
        <v>54765.08</v>
      </c>
      <c r="G23" s="82"/>
    </row>
    <row r="24" spans="1:7" ht="12.75" customHeight="1">
      <c r="A24" s="24"/>
      <c r="B24" s="34"/>
      <c r="C24" s="24"/>
      <c r="D24" s="24" t="s">
        <v>30</v>
      </c>
      <c r="E24" s="25" t="s">
        <v>219</v>
      </c>
      <c r="F24" s="89">
        <v>22034.76</v>
      </c>
      <c r="G24" s="82"/>
    </row>
    <row r="25" spans="1:7" ht="12.75" customHeight="1">
      <c r="A25" s="24"/>
      <c r="B25" s="34"/>
      <c r="C25" s="24"/>
      <c r="D25" s="24" t="s">
        <v>30</v>
      </c>
      <c r="E25" s="25" t="s">
        <v>220</v>
      </c>
      <c r="F25" s="89">
        <v>32730.32</v>
      </c>
      <c r="G25" s="82"/>
    </row>
    <row r="26" spans="1:7" ht="12.75" customHeight="1">
      <c r="A26" s="24"/>
      <c r="B26" s="34"/>
      <c r="C26" s="24" t="s">
        <v>8</v>
      </c>
      <c r="D26" s="24" t="s">
        <v>9</v>
      </c>
      <c r="F26" s="74"/>
      <c r="G26" s="82"/>
    </row>
    <row r="27" spans="1:7" ht="12.75" customHeight="1">
      <c r="A27" s="24"/>
      <c r="B27" s="34"/>
      <c r="C27" s="24"/>
      <c r="D27" s="24" t="s">
        <v>10</v>
      </c>
      <c r="F27" s="101">
        <v>0</v>
      </c>
      <c r="G27" s="82"/>
    </row>
    <row r="28" spans="1:7" ht="12.75" customHeight="1">
      <c r="A28" s="24"/>
      <c r="B28" s="34"/>
      <c r="C28" s="24" t="s">
        <v>11</v>
      </c>
      <c r="D28" s="24" t="s">
        <v>12</v>
      </c>
      <c r="F28" s="101">
        <v>0</v>
      </c>
      <c r="G28" s="82"/>
    </row>
    <row r="29" spans="1:7" ht="12.75" customHeight="1">
      <c r="A29" s="24"/>
      <c r="B29" s="34"/>
      <c r="C29" s="24" t="s">
        <v>13</v>
      </c>
      <c r="D29" s="24"/>
      <c r="F29" s="101">
        <v>0</v>
      </c>
      <c r="G29" s="82"/>
    </row>
    <row r="30" spans="1:7" ht="12.75" customHeight="1">
      <c r="A30" s="24"/>
      <c r="B30" s="34"/>
      <c r="C30" s="24" t="s">
        <v>14</v>
      </c>
      <c r="D30" s="24"/>
      <c r="F30" s="74" t="s">
        <v>0</v>
      </c>
      <c r="G30" s="83"/>
    </row>
    <row r="31" spans="1:7" ht="12.75" customHeight="1">
      <c r="A31" s="24"/>
      <c r="B31" s="34"/>
      <c r="C31" s="24"/>
      <c r="D31" s="24" t="s">
        <v>15</v>
      </c>
      <c r="F31" s="93">
        <f>SUM(F32:F35)</f>
        <v>66838.833409</v>
      </c>
      <c r="G31" s="83"/>
    </row>
    <row r="32" spans="1:7" ht="12.75" customHeight="1">
      <c r="A32" s="24"/>
      <c r="B32" s="34"/>
      <c r="C32" s="24"/>
      <c r="D32" s="24"/>
      <c r="E32" s="25" t="s">
        <v>141</v>
      </c>
      <c r="F32" s="73">
        <f>6666.67+6363.64</f>
        <v>13030.310000000001</v>
      </c>
      <c r="G32" s="83"/>
    </row>
    <row r="33" spans="1:7" ht="12.75" customHeight="1">
      <c r="A33" s="24"/>
      <c r="B33" s="34"/>
      <c r="C33" s="24"/>
      <c r="D33" s="24"/>
      <c r="E33" s="25" t="s">
        <v>163</v>
      </c>
      <c r="F33" s="73">
        <v>46481.11</v>
      </c>
      <c r="G33" s="83"/>
    </row>
    <row r="34" spans="1:7" ht="12.75" customHeight="1">
      <c r="A34" s="24"/>
      <c r="B34" s="34"/>
      <c r="C34" s="24"/>
      <c r="D34" s="24"/>
      <c r="E34" s="25" t="s">
        <v>185</v>
      </c>
      <c r="F34" s="73">
        <v>2045</v>
      </c>
      <c r="G34" s="83"/>
    </row>
    <row r="35" spans="1:7" ht="12.75" customHeight="1">
      <c r="A35" s="24"/>
      <c r="B35" s="34"/>
      <c r="C35" s="24"/>
      <c r="D35" s="24"/>
      <c r="E35" s="25" t="s">
        <v>158</v>
      </c>
      <c r="F35" s="74">
        <f>265447.91*1.99/100</f>
        <v>5282.413409</v>
      </c>
      <c r="G35" s="83"/>
    </row>
    <row r="36" spans="1:7" ht="12.75" customHeight="1">
      <c r="A36" s="24"/>
      <c r="B36" s="34"/>
      <c r="C36" s="24"/>
      <c r="D36" s="24"/>
      <c r="E36" s="24"/>
      <c r="F36" s="74"/>
      <c r="G36" s="83"/>
    </row>
    <row r="37" spans="1:7" s="44" customFormat="1" ht="14.25" customHeight="1">
      <c r="A37" s="42"/>
      <c r="B37" s="37" t="s">
        <v>16</v>
      </c>
      <c r="C37" s="42"/>
      <c r="D37" s="42"/>
      <c r="E37" s="43"/>
      <c r="F37" s="75"/>
      <c r="G37" s="92">
        <f>-(F39+F44+F59+F64+F71+F79+F81+F83+F85)</f>
        <v>-177889.778939</v>
      </c>
    </row>
    <row r="38" spans="1:7" ht="12.75" customHeight="1">
      <c r="A38" s="24"/>
      <c r="B38" s="34"/>
      <c r="C38" s="24" t="s">
        <v>17</v>
      </c>
      <c r="D38" s="24"/>
      <c r="F38" s="74" t="s">
        <v>0</v>
      </c>
      <c r="G38" s="83"/>
    </row>
    <row r="39" spans="1:7" ht="12.75" customHeight="1">
      <c r="A39" s="24"/>
      <c r="B39" s="34"/>
      <c r="D39" s="24" t="s">
        <v>18</v>
      </c>
      <c r="E39" s="45"/>
      <c r="F39" s="91">
        <f>SUM(F40:F42)</f>
        <v>20753.007661999996</v>
      </c>
      <c r="G39" s="83"/>
    </row>
    <row r="40" spans="1:7" ht="12.75" customHeight="1">
      <c r="A40" s="24"/>
      <c r="B40" s="34"/>
      <c r="D40" s="24"/>
      <c r="E40" s="45" t="s">
        <v>73</v>
      </c>
      <c r="F40" s="98">
        <v>486.35</v>
      </c>
      <c r="G40" s="83"/>
    </row>
    <row r="41" spans="1:7" ht="12.75" customHeight="1">
      <c r="A41" s="24"/>
      <c r="B41" s="34"/>
      <c r="C41" s="24"/>
      <c r="D41" s="24"/>
      <c r="E41" s="46" t="s">
        <v>55</v>
      </c>
      <c r="F41" s="98">
        <v>20041.8</v>
      </c>
      <c r="G41" s="83"/>
    </row>
    <row r="42" spans="1:7" ht="12.75" customHeight="1">
      <c r="A42" s="24"/>
      <c r="B42" s="34"/>
      <c r="D42" s="24"/>
      <c r="E42" s="45" t="s">
        <v>159</v>
      </c>
      <c r="F42" s="74">
        <f>11299.38*1.99/100</f>
        <v>224.85766199999998</v>
      </c>
      <c r="G42" s="83"/>
    </row>
    <row r="43" spans="1:7" ht="12.75" customHeight="1">
      <c r="A43" s="24"/>
      <c r="B43" s="34"/>
      <c r="D43" s="24"/>
      <c r="E43" s="45"/>
      <c r="F43" s="80"/>
      <c r="G43" s="83"/>
    </row>
    <row r="44" spans="1:7" ht="12.75" customHeight="1">
      <c r="A44" s="24"/>
      <c r="B44" s="34"/>
      <c r="C44" s="24" t="s">
        <v>19</v>
      </c>
      <c r="D44" s="24"/>
      <c r="E44" s="45"/>
      <c r="F44" s="91">
        <f>SUM(F45:F57)</f>
        <v>119682.400989</v>
      </c>
      <c r="G44" s="83"/>
    </row>
    <row r="45" spans="1:7" ht="12.75" customHeight="1">
      <c r="A45" s="24"/>
      <c r="B45" s="34"/>
      <c r="C45" s="24"/>
      <c r="D45" s="24"/>
      <c r="E45" s="46" t="s">
        <v>45</v>
      </c>
      <c r="F45" s="98">
        <v>6685.43</v>
      </c>
      <c r="G45" s="83"/>
    </row>
    <row r="46" spans="1:7" ht="12.75" customHeight="1">
      <c r="A46" s="24"/>
      <c r="B46" s="34"/>
      <c r="C46" s="24"/>
      <c r="D46" s="24"/>
      <c r="E46" s="46" t="s">
        <v>44</v>
      </c>
      <c r="F46" s="98">
        <f>5003.9+540.17</f>
        <v>5544.07</v>
      </c>
      <c r="G46" s="83"/>
    </row>
    <row r="47" spans="1:7" ht="12.75" customHeight="1">
      <c r="A47" s="24"/>
      <c r="B47" s="34"/>
      <c r="C47" s="24"/>
      <c r="D47" s="24"/>
      <c r="E47" s="46" t="s">
        <v>50</v>
      </c>
      <c r="F47" s="98">
        <v>4246.55</v>
      </c>
      <c r="G47" s="83"/>
    </row>
    <row r="48" spans="1:7" ht="13.5" customHeight="1">
      <c r="A48" s="24"/>
      <c r="B48" s="34"/>
      <c r="C48" s="24"/>
      <c r="D48" s="24"/>
      <c r="E48" s="46" t="s">
        <v>49</v>
      </c>
      <c r="F48" s="98">
        <v>294.23</v>
      </c>
      <c r="G48" s="83"/>
    </row>
    <row r="49" spans="1:7" ht="13.5" customHeight="1">
      <c r="A49" s="24"/>
      <c r="B49" s="34"/>
      <c r="C49" s="24"/>
      <c r="D49" s="24"/>
      <c r="E49" s="46" t="s">
        <v>106</v>
      </c>
      <c r="F49" s="98">
        <v>782.54</v>
      </c>
      <c r="G49" s="83"/>
    </row>
    <row r="50" spans="1:7" ht="13.5" customHeight="1">
      <c r="A50" s="24"/>
      <c r="B50" s="34"/>
      <c r="C50" s="24"/>
      <c r="D50" s="24"/>
      <c r="E50" s="46" t="s">
        <v>46</v>
      </c>
      <c r="F50" s="98">
        <v>7</v>
      </c>
      <c r="G50" s="83"/>
    </row>
    <row r="51" spans="1:7" ht="13.5" customHeight="1">
      <c r="A51" s="24"/>
      <c r="B51" s="34"/>
      <c r="C51" s="24"/>
      <c r="D51" s="24"/>
      <c r="E51" s="46" t="s">
        <v>221</v>
      </c>
      <c r="F51" s="98">
        <v>1188</v>
      </c>
      <c r="G51" s="83"/>
    </row>
    <row r="52" spans="1:7" ht="13.5" customHeight="1">
      <c r="A52" s="24"/>
      <c r="B52" s="34"/>
      <c r="C52" s="24"/>
      <c r="D52" s="24"/>
      <c r="E52" s="46" t="s">
        <v>100</v>
      </c>
      <c r="F52" s="98">
        <v>264</v>
      </c>
      <c r="G52" s="83"/>
    </row>
    <row r="53" spans="1:7" ht="12.75" customHeight="1">
      <c r="A53" s="24"/>
      <c r="B53" s="34"/>
      <c r="C53" s="24"/>
      <c r="D53" s="24"/>
      <c r="E53" s="46" t="s">
        <v>74</v>
      </c>
      <c r="F53" s="98">
        <v>1010.81</v>
      </c>
      <c r="G53" s="83"/>
    </row>
    <row r="54" spans="1:7" ht="12.75" customHeight="1">
      <c r="A54" s="24"/>
      <c r="B54" s="34"/>
      <c r="C54" s="24"/>
      <c r="D54" s="24"/>
      <c r="E54" s="46" t="s">
        <v>47</v>
      </c>
      <c r="F54" s="98">
        <v>1500</v>
      </c>
      <c r="G54" s="83"/>
    </row>
    <row r="55" spans="1:7" ht="12.75" customHeight="1">
      <c r="A55" s="24"/>
      <c r="B55" s="34"/>
      <c r="C55" s="24"/>
      <c r="D55" s="24"/>
      <c r="E55" s="46" t="s">
        <v>133</v>
      </c>
      <c r="F55" s="98">
        <v>81530.49</v>
      </c>
      <c r="G55" s="83"/>
    </row>
    <row r="56" spans="1:7" ht="12.75" customHeight="1">
      <c r="A56" s="24"/>
      <c r="B56" s="34"/>
      <c r="C56" s="24"/>
      <c r="D56" s="24"/>
      <c r="E56" s="46" t="s">
        <v>134</v>
      </c>
      <c r="F56" s="98">
        <v>9361.56</v>
      </c>
      <c r="G56" s="83"/>
    </row>
    <row r="57" spans="1:7" ht="12.75" customHeight="1">
      <c r="A57" s="24"/>
      <c r="B57" s="34"/>
      <c r="C57" s="24"/>
      <c r="D57" s="24"/>
      <c r="E57" s="46" t="s">
        <v>157</v>
      </c>
      <c r="F57" s="100">
        <f>(241778.57+127438.93-4005.39)*1.99/100</f>
        <v>7267.7209889999995</v>
      </c>
      <c r="G57" s="83"/>
    </row>
    <row r="58" spans="1:7" ht="12.75" customHeight="1">
      <c r="A58" s="24"/>
      <c r="B58" s="34"/>
      <c r="C58" s="24"/>
      <c r="D58" s="24"/>
      <c r="E58" s="46"/>
      <c r="F58" s="80"/>
      <c r="G58" s="83"/>
    </row>
    <row r="59" spans="1:7" ht="12.75" customHeight="1">
      <c r="A59" s="24"/>
      <c r="B59" s="34"/>
      <c r="C59" s="24" t="s">
        <v>20</v>
      </c>
      <c r="D59" s="24"/>
      <c r="E59" s="45"/>
      <c r="F59" s="93">
        <f>SUM(F60:F62)</f>
        <v>10559.267141999999</v>
      </c>
      <c r="G59" s="83"/>
    </row>
    <row r="60" spans="1:7" ht="12.75" customHeight="1">
      <c r="A60" s="24"/>
      <c r="B60" s="34"/>
      <c r="C60" s="24"/>
      <c r="D60" s="24"/>
      <c r="E60" s="45" t="s">
        <v>143</v>
      </c>
      <c r="F60" s="78">
        <v>8884.01</v>
      </c>
      <c r="G60" s="83"/>
    </row>
    <row r="61" spans="1:7" ht="12.75" customHeight="1">
      <c r="A61" s="24"/>
      <c r="B61" s="34"/>
      <c r="C61" s="24"/>
      <c r="D61" s="24"/>
      <c r="E61" s="45" t="s">
        <v>164</v>
      </c>
      <c r="F61" s="78">
        <v>1620.64</v>
      </c>
      <c r="G61" s="83"/>
    </row>
    <row r="62" spans="1:7" ht="12.75" customHeight="1">
      <c r="A62" s="24"/>
      <c r="B62" s="34"/>
      <c r="C62" s="24"/>
      <c r="D62" s="24"/>
      <c r="E62" s="45" t="s">
        <v>156</v>
      </c>
      <c r="F62" s="98">
        <f>2744.58*1.99/100</f>
        <v>54.617141999999994</v>
      </c>
      <c r="G62" s="83"/>
    </row>
    <row r="63" spans="1:7" ht="12.75" customHeight="1">
      <c r="A63" s="24"/>
      <c r="B63" s="34"/>
      <c r="C63" s="24"/>
      <c r="D63" s="24"/>
      <c r="E63" s="45"/>
      <c r="F63" s="79"/>
      <c r="G63" s="83"/>
    </row>
    <row r="64" spans="1:7" ht="12.75" customHeight="1">
      <c r="A64" s="24"/>
      <c r="B64" s="34"/>
      <c r="C64" s="24" t="s">
        <v>21</v>
      </c>
      <c r="D64" s="24"/>
      <c r="E64" s="45"/>
      <c r="F64" s="91">
        <f>SUM(F65:F69)</f>
        <v>6484.017199</v>
      </c>
      <c r="G64" s="83"/>
    </row>
    <row r="65" spans="1:7" ht="12.75" customHeight="1">
      <c r="A65" s="24"/>
      <c r="B65" s="34"/>
      <c r="D65" s="47" t="s">
        <v>22</v>
      </c>
      <c r="E65" s="48"/>
      <c r="F65" s="98">
        <f>(146511.24+8163.97+17733.75+66364.61)*1.99/100</f>
        <v>4751.594043</v>
      </c>
      <c r="G65" s="83"/>
    </row>
    <row r="66" spans="1:7" ht="12.75" customHeight="1">
      <c r="A66" s="24"/>
      <c r="B66" s="34"/>
      <c r="D66" s="47" t="s">
        <v>23</v>
      </c>
      <c r="E66" s="48"/>
      <c r="F66" s="98">
        <f>(33776.82+2815.43+2083.45+9646.31+15927.59)*1.99/100</f>
        <v>1278.56704</v>
      </c>
      <c r="G66" s="83"/>
    </row>
    <row r="67" spans="1:7" ht="12.75" customHeight="1">
      <c r="A67" s="24"/>
      <c r="B67" s="34"/>
      <c r="D67" s="47" t="s">
        <v>24</v>
      </c>
      <c r="E67" s="48"/>
      <c r="F67" s="98">
        <f>(17387.4+5419.44)*1.99/100</f>
        <v>453.856116</v>
      </c>
      <c r="G67" s="83"/>
    </row>
    <row r="68" spans="1:7" ht="12.75" customHeight="1">
      <c r="A68" s="24"/>
      <c r="B68" s="34"/>
      <c r="D68" s="47" t="s">
        <v>25</v>
      </c>
      <c r="E68" s="48"/>
      <c r="F68" s="98">
        <v>0</v>
      </c>
      <c r="G68" s="83"/>
    </row>
    <row r="69" spans="1:7" ht="12.75" customHeight="1">
      <c r="A69" s="24"/>
      <c r="B69" s="34"/>
      <c r="D69" s="47" t="s">
        <v>111</v>
      </c>
      <c r="E69" s="48"/>
      <c r="F69" s="98">
        <v>0</v>
      </c>
      <c r="G69" s="83"/>
    </row>
    <row r="70" spans="1:7" ht="12.75" customHeight="1">
      <c r="A70" s="24"/>
      <c r="B70" s="34"/>
      <c r="D70" s="47"/>
      <c r="E70" s="48"/>
      <c r="F70" s="98"/>
      <c r="G70" s="83"/>
    </row>
    <row r="71" spans="1:7" ht="12.75" customHeight="1">
      <c r="A71" s="24"/>
      <c r="B71" s="34"/>
      <c r="C71" s="24" t="s">
        <v>27</v>
      </c>
      <c r="D71" s="24"/>
      <c r="E71" s="45"/>
      <c r="F71" s="91">
        <f>SUM(F72:F76)</f>
        <v>16086.08324</v>
      </c>
      <c r="G71" s="83"/>
    </row>
    <row r="72" spans="1:7" ht="12.75" customHeight="1">
      <c r="A72" s="24"/>
      <c r="B72" s="34"/>
      <c r="C72" s="24"/>
      <c r="D72" s="47" t="s">
        <v>28</v>
      </c>
      <c r="E72" s="48"/>
      <c r="F72" s="98">
        <f>7338.54*1.99/100</f>
        <v>146.036946</v>
      </c>
      <c r="G72" s="83"/>
    </row>
    <row r="73" spans="1:7" ht="12.75" customHeight="1">
      <c r="A73" s="24"/>
      <c r="B73" s="34"/>
      <c r="D73" s="47" t="s">
        <v>29</v>
      </c>
      <c r="E73" s="49"/>
      <c r="F73" s="98">
        <f>15513.21+(21449.06*1.99/100)</f>
        <v>15940.046294</v>
      </c>
      <c r="G73" s="83"/>
    </row>
    <row r="74" spans="1:7" ht="12.75" customHeight="1">
      <c r="A74" s="24"/>
      <c r="B74" s="34"/>
      <c r="D74" s="47" t="s">
        <v>31</v>
      </c>
      <c r="E74" s="48"/>
      <c r="F74" s="98">
        <v>0</v>
      </c>
      <c r="G74" s="83"/>
    </row>
    <row r="75" spans="1:7" ht="12.75" customHeight="1">
      <c r="A75" s="24"/>
      <c r="B75" s="34"/>
      <c r="D75" s="47" t="s">
        <v>32</v>
      </c>
      <c r="E75" s="48"/>
      <c r="F75" s="98"/>
      <c r="G75" s="83"/>
    </row>
    <row r="76" spans="1:7" ht="12.75" customHeight="1">
      <c r="A76" s="24"/>
      <c r="B76" s="34"/>
      <c r="D76" s="47"/>
      <c r="E76" s="49" t="s">
        <v>33</v>
      </c>
      <c r="F76" s="98">
        <v>0</v>
      </c>
      <c r="G76" s="83"/>
    </row>
    <row r="77" spans="1:7" ht="12.75" customHeight="1">
      <c r="A77" s="24"/>
      <c r="B77" s="34"/>
      <c r="D77" s="47"/>
      <c r="E77" s="49"/>
      <c r="F77" s="80"/>
      <c r="G77" s="83"/>
    </row>
    <row r="78" spans="1:7" ht="12.75" customHeight="1">
      <c r="A78" s="24"/>
      <c r="B78" s="34"/>
      <c r="C78" s="24" t="s">
        <v>34</v>
      </c>
      <c r="D78" s="24"/>
      <c r="E78" s="45"/>
      <c r="F78" s="74"/>
      <c r="G78" s="83"/>
    </row>
    <row r="79" spans="1:7" ht="12.75" customHeight="1">
      <c r="A79" s="24"/>
      <c r="B79" s="34"/>
      <c r="D79" s="24"/>
      <c r="E79" s="50" t="s">
        <v>35</v>
      </c>
      <c r="F79" s="101">
        <v>0</v>
      </c>
      <c r="G79" s="83"/>
    </row>
    <row r="80" spans="1:7" ht="12.75" customHeight="1">
      <c r="A80" s="24"/>
      <c r="B80" s="34"/>
      <c r="D80" s="24"/>
      <c r="E80" s="50"/>
      <c r="F80" s="101"/>
      <c r="G80" s="83"/>
    </row>
    <row r="81" spans="1:7" ht="12.75" customHeight="1">
      <c r="A81" s="24"/>
      <c r="B81" s="34"/>
      <c r="C81" s="24" t="s">
        <v>36</v>
      </c>
      <c r="D81" s="24"/>
      <c r="E81" s="45"/>
      <c r="F81" s="101">
        <v>0</v>
      </c>
      <c r="G81" s="83"/>
    </row>
    <row r="82" spans="1:7" ht="12.75" customHeight="1">
      <c r="A82" s="24"/>
      <c r="B82" s="34"/>
      <c r="C82" s="24"/>
      <c r="D82" s="24"/>
      <c r="E82" s="45"/>
      <c r="F82" s="101"/>
      <c r="G82" s="83"/>
    </row>
    <row r="83" spans="1:7" ht="12.75" customHeight="1">
      <c r="A83" s="24"/>
      <c r="B83" s="34"/>
      <c r="C83" s="24" t="s">
        <v>37</v>
      </c>
      <c r="D83" s="24"/>
      <c r="E83" s="45"/>
      <c r="F83" s="101">
        <v>0</v>
      </c>
      <c r="G83" s="83"/>
    </row>
    <row r="84" spans="1:7" ht="12.75" customHeight="1">
      <c r="A84" s="24"/>
      <c r="B84" s="34"/>
      <c r="C84" s="24"/>
      <c r="D84" s="24"/>
      <c r="E84" s="45"/>
      <c r="F84" s="74"/>
      <c r="G84" s="83"/>
    </row>
    <row r="85" spans="1:7" ht="12.75" customHeight="1">
      <c r="A85" s="24"/>
      <c r="B85" s="34"/>
      <c r="C85" s="24" t="s">
        <v>38</v>
      </c>
      <c r="D85" s="24"/>
      <c r="E85" s="45"/>
      <c r="F85" s="101">
        <f>SUM(F86:F91)</f>
        <v>4325.002707</v>
      </c>
      <c r="G85" s="83"/>
    </row>
    <row r="86" spans="1:7" ht="12.75" customHeight="1">
      <c r="A86" s="24"/>
      <c r="B86" s="34"/>
      <c r="C86" s="24"/>
      <c r="D86" s="24"/>
      <c r="E86" s="45" t="s">
        <v>108</v>
      </c>
      <c r="F86" s="80">
        <v>329.44</v>
      </c>
      <c r="G86" s="83"/>
    </row>
    <row r="87" spans="1:7" ht="12.75" customHeight="1">
      <c r="A87" s="24"/>
      <c r="B87" s="34"/>
      <c r="C87" s="24"/>
      <c r="D87" s="24"/>
      <c r="E87" s="45" t="s">
        <v>166</v>
      </c>
      <c r="F87" s="80">
        <v>587.01</v>
      </c>
      <c r="G87" s="83"/>
    </row>
    <row r="88" spans="1:7" ht="12.75" customHeight="1">
      <c r="A88" s="24"/>
      <c r="B88" s="34"/>
      <c r="C88" s="24"/>
      <c r="D88" s="24"/>
      <c r="E88" s="51" t="s">
        <v>222</v>
      </c>
      <c r="F88" s="98">
        <v>2703.79</v>
      </c>
      <c r="G88" s="83"/>
    </row>
    <row r="89" spans="1:7" ht="12.75" customHeight="1">
      <c r="A89" s="24"/>
      <c r="B89" s="34"/>
      <c r="C89" s="24"/>
      <c r="D89" s="24"/>
      <c r="E89" s="46" t="s">
        <v>142</v>
      </c>
      <c r="F89" s="98">
        <v>177.8</v>
      </c>
      <c r="G89" s="83"/>
    </row>
    <row r="90" spans="1:7" ht="12.75" customHeight="1">
      <c r="A90" s="24"/>
      <c r="B90" s="34"/>
      <c r="C90" s="24"/>
      <c r="D90" s="24"/>
      <c r="E90" s="46" t="s">
        <v>110</v>
      </c>
      <c r="F90" s="80">
        <v>185.5</v>
      </c>
      <c r="G90" s="83"/>
    </row>
    <row r="91" spans="1:7" ht="12.75" customHeight="1">
      <c r="A91" s="24"/>
      <c r="B91" s="34"/>
      <c r="C91" s="24"/>
      <c r="D91" s="24"/>
      <c r="E91" s="46" t="s">
        <v>156</v>
      </c>
      <c r="F91" s="115">
        <f>17158.93*1.99/100</f>
        <v>341.462707</v>
      </c>
      <c r="G91" s="83"/>
    </row>
    <row r="92" spans="1:7" ht="12.75" customHeight="1">
      <c r="A92" s="24"/>
      <c r="B92" s="34"/>
      <c r="C92" s="24"/>
      <c r="D92" s="24"/>
      <c r="E92" s="50"/>
      <c r="F92" s="74" t="s">
        <v>0</v>
      </c>
      <c r="G92" s="83"/>
    </row>
    <row r="93" spans="1:7" ht="15" customHeight="1">
      <c r="A93" s="52"/>
      <c r="B93" s="37" t="s">
        <v>39</v>
      </c>
      <c r="C93" s="53"/>
      <c r="D93" s="53"/>
      <c r="E93" s="46"/>
      <c r="F93" s="74" t="s">
        <v>0</v>
      </c>
      <c r="G93" s="97">
        <f>G22+G37</f>
        <v>-56285.86553000001</v>
      </c>
    </row>
    <row r="94" spans="1:7" ht="12.75" customHeight="1">
      <c r="A94" s="24"/>
      <c r="B94" s="54" t="s">
        <v>40</v>
      </c>
      <c r="C94" s="24"/>
      <c r="D94" s="24"/>
      <c r="E94" s="50"/>
      <c r="F94" s="74" t="s">
        <v>0</v>
      </c>
      <c r="G94" s="85"/>
    </row>
    <row r="95" spans="2:7" ht="12" customHeight="1">
      <c r="B95" s="56"/>
      <c r="E95" s="45"/>
      <c r="F95" s="74" t="s">
        <v>0</v>
      </c>
      <c r="G95" s="85"/>
    </row>
    <row r="96" spans="2:7" ht="14.25" customHeight="1">
      <c r="B96" s="37" t="s">
        <v>65</v>
      </c>
      <c r="C96" s="42"/>
      <c r="D96" s="42"/>
      <c r="E96" s="57"/>
      <c r="F96" s="75"/>
      <c r="G96" s="97">
        <f>SUM(F98:F100)</f>
        <v>3884.572137</v>
      </c>
    </row>
    <row r="97" spans="2:7" ht="12">
      <c r="B97" s="56"/>
      <c r="E97" s="45"/>
      <c r="F97" s="74"/>
      <c r="G97" s="85"/>
    </row>
    <row r="98" spans="2:7" ht="15">
      <c r="B98" s="34"/>
      <c r="C98" s="24" t="s">
        <v>62</v>
      </c>
      <c r="D98" s="24"/>
      <c r="E98" s="45"/>
      <c r="F98" s="94">
        <f>212506*1.99/100</f>
        <v>4228.8694</v>
      </c>
      <c r="G98" s="85"/>
    </row>
    <row r="99" spans="2:7" ht="14.25">
      <c r="B99" s="56"/>
      <c r="C99" s="24" t="s">
        <v>63</v>
      </c>
      <c r="E99" s="45"/>
      <c r="F99" s="101">
        <f>9934.2*1.99/100</f>
        <v>197.69058</v>
      </c>
      <c r="G99" s="85"/>
    </row>
    <row r="100" spans="2:7" ht="14.25">
      <c r="B100" s="56"/>
      <c r="C100" s="24" t="s">
        <v>64</v>
      </c>
      <c r="E100" s="45"/>
      <c r="F100" s="101">
        <f>(-4005.39-23230.18)*1.99/100</f>
        <v>-541.987843</v>
      </c>
      <c r="G100" s="85"/>
    </row>
    <row r="101" spans="2:7" ht="12">
      <c r="B101" s="56"/>
      <c r="E101" s="45"/>
      <c r="F101" s="74"/>
      <c r="G101" s="85"/>
    </row>
    <row r="102" spans="2:7" ht="15.75">
      <c r="B102" s="37" t="s">
        <v>66</v>
      </c>
      <c r="C102" s="42"/>
      <c r="D102" s="42"/>
      <c r="E102" s="57"/>
      <c r="F102" s="103">
        <v>0</v>
      </c>
      <c r="G102" s="97">
        <v>0</v>
      </c>
    </row>
    <row r="103" spans="2:7" ht="12">
      <c r="B103" s="56"/>
      <c r="E103" s="45"/>
      <c r="F103" s="74"/>
      <c r="G103" s="85"/>
    </row>
    <row r="104" spans="2:7" ht="15.75">
      <c r="B104" s="37" t="s">
        <v>61</v>
      </c>
      <c r="C104" s="42"/>
      <c r="D104" s="42"/>
      <c r="E104" s="57"/>
      <c r="F104" s="75"/>
      <c r="G104" s="97">
        <f>SUM(F106-F108)</f>
        <v>-1947.6307159999997</v>
      </c>
    </row>
    <row r="105" spans="2:7" ht="12">
      <c r="B105" s="56"/>
      <c r="E105" s="45"/>
      <c r="F105" s="74"/>
      <c r="G105" s="85"/>
    </row>
    <row r="106" spans="2:7" ht="14.25">
      <c r="B106" s="56"/>
      <c r="C106" s="24" t="s">
        <v>67</v>
      </c>
      <c r="E106" s="45"/>
      <c r="F106" s="101">
        <f>SUM(F107:F107)</f>
        <v>263.477393</v>
      </c>
      <c r="G106" s="85"/>
    </row>
    <row r="107" spans="2:7" ht="12">
      <c r="B107" s="56"/>
      <c r="C107" s="24"/>
      <c r="D107" s="121" t="s">
        <v>194</v>
      </c>
      <c r="E107" s="122"/>
      <c r="F107" s="74">
        <f>13240.07*1.99/100</f>
        <v>263.477393</v>
      </c>
      <c r="G107" s="85"/>
    </row>
    <row r="108" spans="2:7" ht="14.25">
      <c r="B108" s="56"/>
      <c r="C108" s="24" t="s">
        <v>68</v>
      </c>
      <c r="E108" s="45"/>
      <c r="F108" s="101">
        <f>2097.66+(5700.91*1.99/100)</f>
        <v>2211.108109</v>
      </c>
      <c r="G108" s="85"/>
    </row>
    <row r="109" spans="2:7" ht="12">
      <c r="B109" s="56"/>
      <c r="E109" s="45"/>
      <c r="F109" s="74"/>
      <c r="G109" s="85"/>
    </row>
    <row r="110" spans="2:7" ht="15.75">
      <c r="B110" s="59" t="s">
        <v>69</v>
      </c>
      <c r="C110" s="43"/>
      <c r="D110" s="43"/>
      <c r="E110" s="57"/>
      <c r="F110" s="101">
        <f>(103092*1.99/100)+11.41</f>
        <v>2062.9408</v>
      </c>
      <c r="G110" s="97">
        <f>F110</f>
        <v>2062.9408</v>
      </c>
    </row>
    <row r="111" spans="2:7" ht="12">
      <c r="B111" s="56"/>
      <c r="E111" s="45"/>
      <c r="F111" s="74"/>
      <c r="G111" s="85"/>
    </row>
    <row r="112" spans="2:9" ht="15.75">
      <c r="B112" s="37"/>
      <c r="E112" s="60" t="s">
        <v>70</v>
      </c>
      <c r="F112" s="74"/>
      <c r="G112" s="102">
        <f>G93+G96+G104-G110-0.01</f>
        <v>-56411.874909000006</v>
      </c>
      <c r="I112" s="112"/>
    </row>
    <row r="113" spans="2:7" ht="12">
      <c r="B113" s="61"/>
      <c r="C113" s="62"/>
      <c r="D113" s="62"/>
      <c r="E113" s="63"/>
      <c r="F113" s="64"/>
      <c r="G113" s="65"/>
    </row>
  </sheetData>
  <mergeCells count="9">
    <mergeCell ref="D107:E107"/>
    <mergeCell ref="B16:G16"/>
    <mergeCell ref="B13:G13"/>
    <mergeCell ref="F19:G19"/>
    <mergeCell ref="B14:G14"/>
    <mergeCell ref="B5:G5"/>
    <mergeCell ref="B6:G6"/>
    <mergeCell ref="B7:G7"/>
    <mergeCell ref="B11:G11"/>
  </mergeCells>
  <printOptions/>
  <pageMargins left="0.75" right="0.75" top="1" bottom="1" header="0.5" footer="0.5"/>
  <pageSetup fitToHeight="0" fitToWidth="1" horizontalDpi="300" verticalDpi="300" orientation="portrait" paperSize="9" scale="96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G85" sqref="G85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18.37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83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5.7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5" customHeight="1">
      <c r="A19" s="24"/>
      <c r="B19" s="37" t="s">
        <v>5</v>
      </c>
      <c r="C19" s="24"/>
      <c r="D19" s="24"/>
      <c r="F19" s="81"/>
      <c r="G19" s="92">
        <f>F20+F24+F25+F26+F28</f>
        <v>177508.276785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SUM(F21:F22)</f>
        <v>173924.72999999998</v>
      </c>
      <c r="G20" s="82"/>
    </row>
    <row r="21" spans="1:7" ht="12.75" customHeight="1">
      <c r="A21" s="24"/>
      <c r="B21" s="34"/>
      <c r="C21" s="24"/>
      <c r="D21" s="24" t="s">
        <v>30</v>
      </c>
      <c r="E21" s="25" t="s">
        <v>93</v>
      </c>
      <c r="F21" s="89">
        <v>173258.11</v>
      </c>
      <c r="G21" s="82"/>
    </row>
    <row r="22" spans="1:7" ht="12.75" customHeight="1">
      <c r="A22" s="24"/>
      <c r="B22" s="34"/>
      <c r="C22" s="24"/>
      <c r="D22" s="24" t="s">
        <v>30</v>
      </c>
      <c r="E22" s="25" t="s">
        <v>94</v>
      </c>
      <c r="F22" s="89">
        <v>666.62</v>
      </c>
      <c r="G22" s="82"/>
    </row>
    <row r="23" spans="1:7" ht="12.75" customHeight="1">
      <c r="A23" s="24"/>
      <c r="B23" s="34"/>
      <c r="C23" s="24" t="s">
        <v>8</v>
      </c>
      <c r="D23" s="24" t="s">
        <v>9</v>
      </c>
      <c r="F23" s="74"/>
      <c r="G23" s="82"/>
    </row>
    <row r="24" spans="1:7" ht="12.75" customHeight="1">
      <c r="A24" s="24"/>
      <c r="B24" s="34"/>
      <c r="C24" s="24"/>
      <c r="D24" s="24" t="s">
        <v>10</v>
      </c>
      <c r="F24" s="101">
        <v>0</v>
      </c>
      <c r="G24" s="82"/>
    </row>
    <row r="25" spans="1:7" ht="12.75" customHeight="1">
      <c r="A25" s="24"/>
      <c r="B25" s="34"/>
      <c r="C25" s="24" t="s">
        <v>11</v>
      </c>
      <c r="D25" s="24" t="s">
        <v>12</v>
      </c>
      <c r="F25" s="101">
        <v>0</v>
      </c>
      <c r="G25" s="82"/>
    </row>
    <row r="26" spans="1:7" ht="12.75" customHeight="1">
      <c r="A26" s="24"/>
      <c r="B26" s="34"/>
      <c r="C26" s="24" t="s">
        <v>13</v>
      </c>
      <c r="D26" s="24"/>
      <c r="F26" s="101">
        <v>0</v>
      </c>
      <c r="G26" s="82"/>
    </row>
    <row r="27" spans="1:7" ht="12.75" customHeight="1">
      <c r="A27" s="24"/>
      <c r="B27" s="34"/>
      <c r="C27" s="24" t="s">
        <v>14</v>
      </c>
      <c r="D27" s="24"/>
      <c r="F27" s="74" t="s">
        <v>0</v>
      </c>
      <c r="G27" s="83"/>
    </row>
    <row r="28" spans="1:7" ht="12.75" customHeight="1">
      <c r="A28" s="24"/>
      <c r="B28" s="34"/>
      <c r="C28" s="24"/>
      <c r="D28" s="24" t="s">
        <v>15</v>
      </c>
      <c r="F28" s="93">
        <f>SUM(F29:F31)</f>
        <v>3583.546785</v>
      </c>
      <c r="G28" s="83"/>
    </row>
    <row r="29" spans="1:7" ht="12.75" customHeight="1">
      <c r="A29" s="24"/>
      <c r="B29" s="34"/>
      <c r="C29" s="24"/>
      <c r="D29" s="40" t="s">
        <v>30</v>
      </c>
      <c r="E29" s="25" t="s">
        <v>95</v>
      </c>
      <c r="F29" s="89">
        <v>0</v>
      </c>
      <c r="G29" s="84"/>
    </row>
    <row r="30" spans="1:7" ht="12.75" customHeight="1">
      <c r="A30" s="24"/>
      <c r="B30" s="34"/>
      <c r="C30" s="24"/>
      <c r="D30" s="40" t="s">
        <v>30</v>
      </c>
      <c r="E30" s="25" t="s">
        <v>53</v>
      </c>
      <c r="F30" s="89">
        <v>0</v>
      </c>
      <c r="G30" s="84"/>
    </row>
    <row r="31" spans="1:7" ht="12.75" customHeight="1">
      <c r="A31" s="24"/>
      <c r="B31" s="34"/>
      <c r="C31" s="24"/>
      <c r="D31" s="40" t="s">
        <v>30</v>
      </c>
      <c r="E31" s="25" t="s">
        <v>155</v>
      </c>
      <c r="F31" s="74">
        <f>265447.91*1.35/100</f>
        <v>3583.546785</v>
      </c>
      <c r="G31" s="84"/>
    </row>
    <row r="32" spans="1:7" ht="12.75" customHeight="1">
      <c r="A32" s="24"/>
      <c r="B32" s="34"/>
      <c r="C32" s="24"/>
      <c r="D32" s="24"/>
      <c r="E32" s="24"/>
      <c r="F32" s="74"/>
      <c r="G32" s="83"/>
    </row>
    <row r="33" spans="1:7" s="44" customFormat="1" ht="15.75" customHeight="1">
      <c r="A33" s="42"/>
      <c r="B33" s="37" t="s">
        <v>16</v>
      </c>
      <c r="C33" s="42"/>
      <c r="D33" s="42"/>
      <c r="E33" s="43"/>
      <c r="F33" s="75"/>
      <c r="G33" s="92">
        <f>-(F35+F40+F52+F56+F63+F71+F73+F75+F77)</f>
        <v>-173282.22023500004</v>
      </c>
    </row>
    <row r="34" spans="1:7" ht="12.75" customHeight="1">
      <c r="A34" s="24"/>
      <c r="B34" s="34"/>
      <c r="C34" s="24" t="s">
        <v>17</v>
      </c>
      <c r="D34" s="24"/>
      <c r="F34" s="74" t="s">
        <v>0</v>
      </c>
      <c r="G34" s="83"/>
    </row>
    <row r="35" spans="1:7" ht="12.75" customHeight="1">
      <c r="A35" s="24"/>
      <c r="B35" s="34"/>
      <c r="D35" s="24" t="s">
        <v>18</v>
      </c>
      <c r="E35" s="45"/>
      <c r="F35" s="91">
        <f>SUM(F36:F38)</f>
        <v>139755.88163</v>
      </c>
      <c r="G35" s="83"/>
    </row>
    <row r="36" spans="1:7" ht="12.75" customHeight="1">
      <c r="A36" s="24"/>
      <c r="B36" s="34"/>
      <c r="D36" s="24"/>
      <c r="E36" s="45" t="s">
        <v>42</v>
      </c>
      <c r="F36" s="98">
        <v>139534.34</v>
      </c>
      <c r="G36" s="83"/>
    </row>
    <row r="37" spans="1:7" ht="12.75" customHeight="1">
      <c r="A37" s="24"/>
      <c r="B37" s="34"/>
      <c r="D37" s="24"/>
      <c r="E37" s="46" t="s">
        <v>43</v>
      </c>
      <c r="F37" s="98">
        <v>69</v>
      </c>
      <c r="G37" s="83"/>
    </row>
    <row r="38" spans="1:7" ht="12.75" customHeight="1">
      <c r="A38" s="24"/>
      <c r="B38" s="34"/>
      <c r="D38" s="24"/>
      <c r="E38" s="45" t="s">
        <v>156</v>
      </c>
      <c r="F38" s="74">
        <f>11299.38*1.35/100</f>
        <v>152.54163</v>
      </c>
      <c r="G38" s="83"/>
    </row>
    <row r="39" spans="1:7" ht="12.75" customHeight="1">
      <c r="A39" s="24"/>
      <c r="B39" s="34"/>
      <c r="D39" s="24"/>
      <c r="E39" s="45"/>
      <c r="F39" s="80"/>
      <c r="G39" s="83"/>
    </row>
    <row r="40" spans="1:7" ht="12.75" customHeight="1">
      <c r="A40" s="24"/>
      <c r="B40" s="34"/>
      <c r="C40" s="24" t="s">
        <v>19</v>
      </c>
      <c r="D40" s="24"/>
      <c r="E40" s="45"/>
      <c r="F40" s="91">
        <f>SUM(F41:F50)</f>
        <v>15893.013485</v>
      </c>
      <c r="G40" s="83"/>
    </row>
    <row r="41" spans="1:7" ht="12.75" customHeight="1">
      <c r="A41" s="24"/>
      <c r="B41" s="34"/>
      <c r="C41" s="24"/>
      <c r="D41" s="24"/>
      <c r="E41" s="46" t="s">
        <v>45</v>
      </c>
      <c r="F41" s="98">
        <v>1545.31</v>
      </c>
      <c r="G41" s="83"/>
    </row>
    <row r="42" spans="1:7" ht="12.75" customHeight="1">
      <c r="A42" s="24"/>
      <c r="B42" s="34"/>
      <c r="C42" s="24"/>
      <c r="D42" s="24"/>
      <c r="E42" s="46" t="s">
        <v>44</v>
      </c>
      <c r="F42" s="98">
        <v>2645.35</v>
      </c>
      <c r="G42" s="83"/>
    </row>
    <row r="43" spans="1:7" ht="13.5" customHeight="1">
      <c r="A43" s="24"/>
      <c r="B43" s="34"/>
      <c r="C43" s="24"/>
      <c r="D43" s="24"/>
      <c r="E43" s="46" t="s">
        <v>49</v>
      </c>
      <c r="F43" s="98">
        <v>5</v>
      </c>
      <c r="G43" s="83"/>
    </row>
    <row r="44" spans="1:7" ht="12.75" customHeight="1">
      <c r="A44" s="24"/>
      <c r="B44" s="34"/>
      <c r="C44" s="24"/>
      <c r="D44" s="24"/>
      <c r="E44" s="46" t="s">
        <v>106</v>
      </c>
      <c r="F44" s="98">
        <v>185.41</v>
      </c>
      <c r="G44" s="83"/>
    </row>
    <row r="45" spans="1:7" ht="12.75" customHeight="1">
      <c r="A45" s="24"/>
      <c r="B45" s="34"/>
      <c r="C45" s="24"/>
      <c r="D45" s="24"/>
      <c r="E45" s="46" t="s">
        <v>46</v>
      </c>
      <c r="F45" s="98">
        <v>46.4</v>
      </c>
      <c r="G45" s="83"/>
    </row>
    <row r="46" spans="1:7" ht="12.75" customHeight="1">
      <c r="A46" s="24"/>
      <c r="B46" s="34"/>
      <c r="C46" s="24"/>
      <c r="D46" s="24"/>
      <c r="E46" s="46" t="s">
        <v>221</v>
      </c>
      <c r="F46" s="98">
        <v>1318</v>
      </c>
      <c r="G46" s="83"/>
    </row>
    <row r="47" spans="1:7" ht="12.75" customHeight="1">
      <c r="A47" s="24"/>
      <c r="B47" s="34"/>
      <c r="C47" s="24"/>
      <c r="D47" s="24"/>
      <c r="E47" s="46" t="s">
        <v>118</v>
      </c>
      <c r="F47" s="98">
        <v>285</v>
      </c>
      <c r="G47" s="83"/>
    </row>
    <row r="48" spans="1:7" ht="12.75" customHeight="1">
      <c r="A48" s="24"/>
      <c r="B48" s="34"/>
      <c r="C48" s="24"/>
      <c r="D48" s="24"/>
      <c r="E48" s="46" t="s">
        <v>186</v>
      </c>
      <c r="F48" s="98">
        <v>3860.6</v>
      </c>
      <c r="G48" s="83"/>
    </row>
    <row r="49" spans="1:7" ht="12.75" customHeight="1">
      <c r="A49" s="24"/>
      <c r="B49" s="34"/>
      <c r="C49" s="24"/>
      <c r="D49" s="24"/>
      <c r="E49" s="46" t="s">
        <v>117</v>
      </c>
      <c r="F49" s="98">
        <v>1071.58</v>
      </c>
      <c r="G49" s="83"/>
    </row>
    <row r="50" spans="1:7" ht="12.75" customHeight="1">
      <c r="A50" s="24"/>
      <c r="B50" s="34"/>
      <c r="C50" s="24"/>
      <c r="D50" s="24"/>
      <c r="E50" s="46" t="s">
        <v>157</v>
      </c>
      <c r="F50" s="100">
        <f>(241778.57+127438.93-4005.39)*1.35/100</f>
        <v>4930.363485</v>
      </c>
      <c r="G50" s="83"/>
    </row>
    <row r="51" spans="1:7" ht="12.75" customHeight="1">
      <c r="A51" s="24"/>
      <c r="B51" s="34"/>
      <c r="C51" s="24"/>
      <c r="D51" s="24"/>
      <c r="E51" s="46"/>
      <c r="F51" s="88"/>
      <c r="G51" s="83"/>
    </row>
    <row r="52" spans="1:7" ht="12.75" customHeight="1">
      <c r="A52" s="24"/>
      <c r="B52" s="34"/>
      <c r="C52" s="24" t="s">
        <v>20</v>
      </c>
      <c r="D52" s="24"/>
      <c r="E52" s="45"/>
      <c r="F52" s="93">
        <f>SUM(F53:F54)</f>
        <v>2458.05183</v>
      </c>
      <c r="G52" s="83"/>
    </row>
    <row r="53" spans="1:7" ht="12.75" customHeight="1">
      <c r="A53" s="24"/>
      <c r="B53" s="34"/>
      <c r="C53" s="24"/>
      <c r="D53" s="24"/>
      <c r="E53" s="46" t="s">
        <v>96</v>
      </c>
      <c r="F53" s="78">
        <v>2421</v>
      </c>
      <c r="G53" s="83"/>
    </row>
    <row r="54" spans="1:7" ht="12.75" customHeight="1">
      <c r="A54" s="24"/>
      <c r="B54" s="34"/>
      <c r="C54" s="24"/>
      <c r="D54" s="24"/>
      <c r="E54" s="46" t="s">
        <v>156</v>
      </c>
      <c r="F54" s="98">
        <f>2744.58*1.35/100</f>
        <v>37.05183</v>
      </c>
      <c r="G54" s="83"/>
    </row>
    <row r="55" spans="1:7" ht="12.75" customHeight="1">
      <c r="A55" s="24"/>
      <c r="B55" s="34"/>
      <c r="C55" s="24"/>
      <c r="D55" s="24"/>
      <c r="E55" s="46"/>
      <c r="F55" s="80"/>
      <c r="G55" s="83"/>
    </row>
    <row r="56" spans="1:7" ht="12.75" customHeight="1">
      <c r="A56" s="24"/>
      <c r="B56" s="34"/>
      <c r="C56" s="24" t="s">
        <v>21</v>
      </c>
      <c r="D56" s="24"/>
      <c r="E56" s="45"/>
      <c r="F56" s="91">
        <f>SUM(F57:F61)</f>
        <v>32121.185135000003</v>
      </c>
      <c r="G56" s="83"/>
    </row>
    <row r="57" spans="1:7" ht="12.75" customHeight="1">
      <c r="A57" s="24"/>
      <c r="B57" s="34"/>
      <c r="D57" s="47" t="s">
        <v>22</v>
      </c>
      <c r="E57" s="48"/>
      <c r="F57" s="98">
        <f>(19791.13+490.47)+(146511.24+8163.97+17733.75+66364.61)*1.35/100</f>
        <v>23505.043195000002</v>
      </c>
      <c r="G57" s="83"/>
    </row>
    <row r="58" spans="1:7" ht="12.75" customHeight="1">
      <c r="A58" s="24"/>
      <c r="B58" s="34"/>
      <c r="D58" s="47" t="s">
        <v>23</v>
      </c>
      <c r="E58" s="48"/>
      <c r="F58" s="98">
        <f>(5949.89+515.06+125.14)+(33776.82+2815.43+2083.45+9646.31+15927.59)*1.35/100</f>
        <v>7457.459600000001</v>
      </c>
      <c r="G58" s="83"/>
    </row>
    <row r="59" spans="1:7" ht="12.75" customHeight="1">
      <c r="A59" s="24"/>
      <c r="B59" s="34"/>
      <c r="D59" s="47" t="s">
        <v>24</v>
      </c>
      <c r="E59" s="48"/>
      <c r="F59" s="98">
        <f>850.79+((17387.4+5419.44)*1.35/100)</f>
        <v>1158.68234</v>
      </c>
      <c r="G59" s="83"/>
    </row>
    <row r="60" spans="1:7" ht="12.75" customHeight="1">
      <c r="A60" s="24"/>
      <c r="B60" s="34"/>
      <c r="D60" s="47" t="s">
        <v>25</v>
      </c>
      <c r="E60" s="48"/>
      <c r="F60" s="98">
        <v>0</v>
      </c>
      <c r="G60" s="83"/>
    </row>
    <row r="61" spans="1:7" ht="12.75" customHeight="1">
      <c r="A61" s="24"/>
      <c r="B61" s="34"/>
      <c r="D61" s="47" t="s">
        <v>111</v>
      </c>
      <c r="E61" s="48"/>
      <c r="F61" s="98">
        <v>0</v>
      </c>
      <c r="G61" s="83"/>
    </row>
    <row r="62" spans="1:7" ht="12.75" customHeight="1">
      <c r="A62" s="24"/>
      <c r="B62" s="34"/>
      <c r="D62" s="47"/>
      <c r="E62" s="48"/>
      <c r="F62" s="98"/>
      <c r="G62" s="83"/>
    </row>
    <row r="63" spans="1:7" ht="12.75" customHeight="1">
      <c r="A63" s="24"/>
      <c r="B63" s="34"/>
      <c r="C63" s="24" t="s">
        <v>27</v>
      </c>
      <c r="D63" s="24"/>
      <c r="E63" s="45"/>
      <c r="F63" s="91">
        <f>SUM(F64:F68)</f>
        <v>388.6326</v>
      </c>
      <c r="G63" s="83"/>
    </row>
    <row r="64" spans="1:7" ht="12.75" customHeight="1">
      <c r="A64" s="24"/>
      <c r="B64" s="34"/>
      <c r="C64" s="24"/>
      <c r="D64" s="47" t="s">
        <v>28</v>
      </c>
      <c r="E64" s="48"/>
      <c r="F64" s="98">
        <f>7338.54*1.35/100</f>
        <v>99.07029</v>
      </c>
      <c r="G64" s="83"/>
    </row>
    <row r="65" spans="1:7" ht="12.75" customHeight="1">
      <c r="A65" s="24"/>
      <c r="B65" s="34"/>
      <c r="D65" s="47" t="s">
        <v>29</v>
      </c>
      <c r="E65" s="49"/>
      <c r="F65" s="98">
        <f>21449.06*1.35/100</f>
        <v>289.56231</v>
      </c>
      <c r="G65" s="83"/>
    </row>
    <row r="66" spans="1:7" ht="12.75" customHeight="1">
      <c r="A66" s="24"/>
      <c r="B66" s="34"/>
      <c r="D66" s="47" t="s">
        <v>31</v>
      </c>
      <c r="E66" s="48"/>
      <c r="F66" s="98">
        <v>0</v>
      </c>
      <c r="G66" s="83"/>
    </row>
    <row r="67" spans="1:7" ht="12.75" customHeight="1">
      <c r="A67" s="24"/>
      <c r="B67" s="34"/>
      <c r="D67" s="47" t="s">
        <v>32</v>
      </c>
      <c r="E67" s="48"/>
      <c r="F67" s="98"/>
      <c r="G67" s="83"/>
    </row>
    <row r="68" spans="1:7" ht="12.75" customHeight="1">
      <c r="A68" s="24"/>
      <c r="B68" s="34"/>
      <c r="D68" s="47"/>
      <c r="E68" s="49" t="s">
        <v>33</v>
      </c>
      <c r="F68" s="98">
        <v>0</v>
      </c>
      <c r="G68" s="83"/>
    </row>
    <row r="69" spans="1:7" ht="12.75" customHeight="1">
      <c r="A69" s="24"/>
      <c r="B69" s="34"/>
      <c r="D69" s="47"/>
      <c r="E69" s="49"/>
      <c r="F69" s="80"/>
      <c r="G69" s="83"/>
    </row>
    <row r="70" spans="1:7" ht="12.75" customHeight="1">
      <c r="A70" s="24"/>
      <c r="B70" s="34"/>
      <c r="C70" s="24" t="s">
        <v>34</v>
      </c>
      <c r="D70" s="24"/>
      <c r="E70" s="45"/>
      <c r="F70" s="74"/>
      <c r="G70" s="83"/>
    </row>
    <row r="71" spans="1:7" ht="12.75" customHeight="1">
      <c r="A71" s="24"/>
      <c r="B71" s="34"/>
      <c r="D71" s="24"/>
      <c r="E71" s="50" t="s">
        <v>35</v>
      </c>
      <c r="F71" s="101">
        <f>96767.84-115473.7</f>
        <v>-18705.86</v>
      </c>
      <c r="G71" s="83"/>
    </row>
    <row r="72" spans="1:7" ht="12.75" customHeight="1">
      <c r="A72" s="24"/>
      <c r="B72" s="34"/>
      <c r="D72" s="24"/>
      <c r="E72" s="50"/>
      <c r="F72" s="101"/>
      <c r="G72" s="83"/>
    </row>
    <row r="73" spans="1:7" ht="12.75" customHeight="1">
      <c r="A73" s="24"/>
      <c r="B73" s="34"/>
      <c r="C73" s="24" t="s">
        <v>36</v>
      </c>
      <c r="D73" s="24"/>
      <c r="E73" s="45"/>
      <c r="F73" s="101">
        <v>0</v>
      </c>
      <c r="G73" s="83"/>
    </row>
    <row r="74" spans="1:7" ht="12.75" customHeight="1">
      <c r="A74" s="24"/>
      <c r="B74" s="34"/>
      <c r="C74" s="24"/>
      <c r="D74" s="24"/>
      <c r="E74" s="45"/>
      <c r="F74" s="101"/>
      <c r="G74" s="83"/>
    </row>
    <row r="75" spans="1:7" ht="12.75" customHeight="1">
      <c r="A75" s="24"/>
      <c r="B75" s="34"/>
      <c r="C75" s="24" t="s">
        <v>37</v>
      </c>
      <c r="D75" s="24"/>
      <c r="E75" s="45"/>
      <c r="F75" s="101">
        <v>0</v>
      </c>
      <c r="G75" s="83"/>
    </row>
    <row r="76" spans="1:7" ht="12.75" customHeight="1">
      <c r="A76" s="24"/>
      <c r="B76" s="34"/>
      <c r="C76" s="24"/>
      <c r="D76" s="24"/>
      <c r="E76" s="45"/>
      <c r="F76" s="101"/>
      <c r="G76" s="83"/>
    </row>
    <row r="77" spans="1:7" ht="12.75" customHeight="1">
      <c r="A77" s="24"/>
      <c r="B77" s="34"/>
      <c r="C77" s="24" t="s">
        <v>38</v>
      </c>
      <c r="D77" s="24"/>
      <c r="E77" s="45"/>
      <c r="F77" s="101">
        <f>SUM(F78:F82)</f>
        <v>1371.315555</v>
      </c>
      <c r="G77" s="83"/>
    </row>
    <row r="78" spans="1:7" ht="12.75" customHeight="1">
      <c r="A78" s="24"/>
      <c r="B78" s="34"/>
      <c r="C78" s="24"/>
      <c r="D78" s="24"/>
      <c r="E78" s="45" t="s">
        <v>108</v>
      </c>
      <c r="F78" s="80">
        <v>34.81</v>
      </c>
      <c r="G78" s="83"/>
    </row>
    <row r="79" spans="1:7" ht="12.75" customHeight="1">
      <c r="A79" s="24"/>
      <c r="B79" s="34"/>
      <c r="C79" s="24"/>
      <c r="D79" s="24"/>
      <c r="E79" s="45" t="s">
        <v>119</v>
      </c>
      <c r="F79" s="80">
        <v>558.29</v>
      </c>
      <c r="G79" s="83"/>
    </row>
    <row r="80" spans="1:7" ht="12.75" customHeight="1">
      <c r="A80" s="24"/>
      <c r="B80" s="34"/>
      <c r="C80" s="24"/>
      <c r="D80" s="24"/>
      <c r="E80" s="45" t="s">
        <v>166</v>
      </c>
      <c r="F80" s="80">
        <v>504.05</v>
      </c>
      <c r="G80" s="83"/>
    </row>
    <row r="81" spans="1:7" ht="12.75" customHeight="1">
      <c r="A81" s="24"/>
      <c r="B81" s="34"/>
      <c r="C81" s="24"/>
      <c r="D81" s="24"/>
      <c r="E81" s="46" t="s">
        <v>110</v>
      </c>
      <c r="F81" s="98">
        <v>42.52</v>
      </c>
      <c r="G81" s="83"/>
    </row>
    <row r="82" spans="1:7" ht="12.75" customHeight="1">
      <c r="A82" s="24"/>
      <c r="B82" s="34"/>
      <c r="C82" s="24"/>
      <c r="D82" s="24"/>
      <c r="E82" s="46" t="s">
        <v>156</v>
      </c>
      <c r="F82" s="78">
        <f>17158.93*1.35/100</f>
        <v>231.64555500000003</v>
      </c>
      <c r="G82" s="83"/>
    </row>
    <row r="83" spans="1:7" ht="12.75" customHeight="1">
      <c r="A83" s="24"/>
      <c r="B83" s="34"/>
      <c r="C83" s="24"/>
      <c r="D83" s="24"/>
      <c r="E83" s="50"/>
      <c r="F83" s="74" t="s">
        <v>0</v>
      </c>
      <c r="G83" s="83"/>
    </row>
    <row r="84" spans="1:7" ht="15.75" customHeight="1">
      <c r="A84" s="52"/>
      <c r="B84" s="37" t="s">
        <v>39</v>
      </c>
      <c r="C84" s="53"/>
      <c r="D84" s="53"/>
      <c r="E84" s="46"/>
      <c r="F84" s="74" t="s">
        <v>0</v>
      </c>
      <c r="G84" s="97">
        <f>G19+G33</f>
        <v>4226.05654999995</v>
      </c>
    </row>
    <row r="85" spans="1:7" ht="12.75" customHeight="1">
      <c r="A85" s="24"/>
      <c r="B85" s="54" t="s">
        <v>40</v>
      </c>
      <c r="C85" s="24"/>
      <c r="D85" s="24"/>
      <c r="E85" s="50"/>
      <c r="F85" s="74" t="s">
        <v>0</v>
      </c>
      <c r="G85" s="85"/>
    </row>
    <row r="86" spans="2:7" ht="12" customHeight="1">
      <c r="B86" s="56"/>
      <c r="E86" s="45"/>
      <c r="F86" s="74" t="s">
        <v>0</v>
      </c>
      <c r="G86" s="85"/>
    </row>
    <row r="87" spans="2:7" ht="15" customHeight="1">
      <c r="B87" s="37" t="s">
        <v>65</v>
      </c>
      <c r="C87" s="42"/>
      <c r="D87" s="42"/>
      <c r="E87" s="57"/>
      <c r="F87" s="75"/>
      <c r="G87" s="97">
        <f>SUM(F89:F91)</f>
        <v>2463.342505</v>
      </c>
    </row>
    <row r="88" spans="2:7" ht="12">
      <c r="B88" s="56"/>
      <c r="E88" s="45"/>
      <c r="F88" s="74"/>
      <c r="G88" s="85"/>
    </row>
    <row r="89" spans="2:7" ht="15">
      <c r="B89" s="34"/>
      <c r="C89" s="24" t="s">
        <v>62</v>
      </c>
      <c r="D89" s="24"/>
      <c r="E89" s="45"/>
      <c r="F89" s="94">
        <f>212506*1.35/100</f>
        <v>2868.831</v>
      </c>
      <c r="G89" s="85"/>
    </row>
    <row r="90" spans="2:7" ht="14.25">
      <c r="B90" s="56"/>
      <c r="C90" s="24" t="s">
        <v>63</v>
      </c>
      <c r="E90" s="45"/>
      <c r="F90" s="101">
        <f>43.27+(9934.2*1.35/100)</f>
        <v>177.38170000000002</v>
      </c>
      <c r="G90" s="85"/>
    </row>
    <row r="91" spans="2:7" ht="14.25">
      <c r="B91" s="56"/>
      <c r="C91" s="24" t="s">
        <v>64</v>
      </c>
      <c r="E91" s="45"/>
      <c r="F91" s="101">
        <f>-215.19+((-4005.39-23230.18)*1.35/100)</f>
        <v>-582.870195</v>
      </c>
      <c r="G91" s="85"/>
    </row>
    <row r="92" spans="2:7" ht="12">
      <c r="B92" s="56"/>
      <c r="E92" s="45"/>
      <c r="F92" s="74"/>
      <c r="G92" s="85"/>
    </row>
    <row r="93" spans="2:7" ht="15.75">
      <c r="B93" s="37" t="s">
        <v>66</v>
      </c>
      <c r="C93" s="42"/>
      <c r="D93" s="42"/>
      <c r="E93" s="57"/>
      <c r="F93" s="105">
        <v>0</v>
      </c>
      <c r="G93" s="97">
        <v>0</v>
      </c>
    </row>
    <row r="94" spans="2:7" ht="12">
      <c r="B94" s="56"/>
      <c r="E94" s="45"/>
      <c r="F94" s="74"/>
      <c r="G94" s="85"/>
    </row>
    <row r="95" spans="2:7" ht="15.75">
      <c r="B95" s="37" t="s">
        <v>61</v>
      </c>
      <c r="C95" s="42"/>
      <c r="D95" s="42"/>
      <c r="E95" s="57"/>
      <c r="F95" s="75"/>
      <c r="G95" s="97">
        <f>SUM(F97-F99)</f>
        <v>-399.76134</v>
      </c>
    </row>
    <row r="96" spans="2:7" ht="12">
      <c r="B96" s="56"/>
      <c r="E96" s="45"/>
      <c r="F96" s="74"/>
      <c r="G96" s="85"/>
    </row>
    <row r="97" spans="2:7" ht="14.25">
      <c r="B97" s="56"/>
      <c r="C97" s="24" t="s">
        <v>67</v>
      </c>
      <c r="E97" s="45"/>
      <c r="F97" s="101">
        <f>SUM(F98:F98)</f>
        <v>239.74094499999998</v>
      </c>
      <c r="G97" s="85"/>
    </row>
    <row r="98" spans="2:7" ht="12">
      <c r="B98" s="56"/>
      <c r="C98" s="24"/>
      <c r="D98" s="121" t="s">
        <v>194</v>
      </c>
      <c r="E98" s="122"/>
      <c r="F98" s="74">
        <f>61+(13240.07*1.35/100)</f>
        <v>239.74094499999998</v>
      </c>
      <c r="G98" s="85"/>
    </row>
    <row r="99" spans="2:7" ht="14.25">
      <c r="B99" s="56"/>
      <c r="C99" s="24" t="s">
        <v>68</v>
      </c>
      <c r="E99" s="45"/>
      <c r="F99" s="101">
        <f>562.54+(5700.91*1.35/100)</f>
        <v>639.502285</v>
      </c>
      <c r="G99" s="85"/>
    </row>
    <row r="100" spans="2:7" ht="14.25">
      <c r="B100" s="56"/>
      <c r="E100" s="45"/>
      <c r="F100" s="101"/>
      <c r="G100" s="85"/>
    </row>
    <row r="101" spans="2:7" ht="15.75">
      <c r="B101" s="59" t="s">
        <v>69</v>
      </c>
      <c r="C101" s="43"/>
      <c r="D101" s="43"/>
      <c r="E101" s="57"/>
      <c r="F101" s="101">
        <f>(103092*1.35/100)+10.35</f>
        <v>1402.092</v>
      </c>
      <c r="G101" s="97">
        <f>F101</f>
        <v>1402.092</v>
      </c>
    </row>
    <row r="102" spans="2:7" ht="12">
      <c r="B102" s="56"/>
      <c r="E102" s="45"/>
      <c r="F102" s="74"/>
      <c r="G102" s="85"/>
    </row>
    <row r="103" spans="2:7" ht="15.75">
      <c r="B103" s="37"/>
      <c r="E103" s="60" t="s">
        <v>70</v>
      </c>
      <c r="F103" s="74"/>
      <c r="G103" s="102">
        <f>G84+G87+G95-G101</f>
        <v>4887.545714999951</v>
      </c>
    </row>
    <row r="104" spans="2:7" ht="12">
      <c r="B104" s="61"/>
      <c r="C104" s="62"/>
      <c r="D104" s="62"/>
      <c r="E104" s="63"/>
      <c r="F104" s="86"/>
      <c r="G104" s="87"/>
    </row>
  </sheetData>
  <mergeCells count="5">
    <mergeCell ref="D98:E98"/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5" r:id="rId1"/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G84" sqref="G84"/>
    </sheetView>
  </sheetViews>
  <sheetFormatPr defaultColWidth="9.00390625" defaultRowHeight="12"/>
  <cols>
    <col min="1" max="1" width="6.00390625" style="25" customWidth="1"/>
    <col min="2" max="2" width="2.75390625" style="25" customWidth="1"/>
    <col min="3" max="3" width="2.00390625" style="25" customWidth="1"/>
    <col min="4" max="4" width="2.25390625" style="25" customWidth="1"/>
    <col min="5" max="5" width="35.875" style="25" customWidth="1"/>
    <col min="6" max="6" width="16.375" style="66" customWidth="1"/>
    <col min="7" max="7" width="18.375" style="67" customWidth="1"/>
    <col min="8" max="8" width="2.875" style="6" customWidth="1"/>
    <col min="9" max="251" width="11.875" style="6" customWidth="1"/>
    <col min="252" max="16384" width="10.875" style="6" customWidth="1"/>
  </cols>
  <sheetData>
    <row r="1" spans="1:7" ht="13.5" customHeight="1">
      <c r="A1" s="2"/>
      <c r="B1" s="3"/>
      <c r="C1" s="3"/>
      <c r="D1" s="3"/>
      <c r="E1" s="3"/>
      <c r="F1" s="4"/>
      <c r="G1" s="5"/>
    </row>
    <row r="2" spans="1:7" ht="13.5" customHeight="1" thickBot="1">
      <c r="A2" s="2"/>
      <c r="B2" s="2"/>
      <c r="C2" s="2"/>
      <c r="D2" s="2"/>
      <c r="E2" s="2"/>
      <c r="F2" s="7"/>
      <c r="G2" s="8"/>
    </row>
    <row r="3" spans="1:7" ht="13.5" customHeight="1">
      <c r="A3" s="2"/>
      <c r="B3" s="9"/>
      <c r="C3" s="10"/>
      <c r="D3" s="10"/>
      <c r="E3" s="10"/>
      <c r="F3" s="11"/>
      <c r="G3" s="12"/>
    </row>
    <row r="4" spans="1:7" s="17" customFormat="1" ht="13.5" customHeight="1">
      <c r="A4" s="13"/>
      <c r="B4" s="14"/>
      <c r="C4" s="13"/>
      <c r="D4" s="13"/>
      <c r="E4" s="13"/>
      <c r="F4" s="15"/>
      <c r="G4" s="16"/>
    </row>
    <row r="5" spans="1:7" s="17" customFormat="1" ht="13.5" customHeight="1">
      <c r="A5" s="13"/>
      <c r="B5" s="14"/>
      <c r="C5" s="13"/>
      <c r="D5" s="13"/>
      <c r="E5" s="13"/>
      <c r="F5" s="15"/>
      <c r="G5" s="16"/>
    </row>
    <row r="6" spans="1:7" s="17" customFormat="1" ht="23.25">
      <c r="A6" s="13"/>
      <c r="B6" s="123" t="s">
        <v>84</v>
      </c>
      <c r="C6" s="124"/>
      <c r="D6" s="124"/>
      <c r="E6" s="124"/>
      <c r="F6" s="124"/>
      <c r="G6" s="125"/>
    </row>
    <row r="7" spans="1:7" s="17" customFormat="1" ht="13.5" customHeight="1">
      <c r="A7" s="13"/>
      <c r="B7" s="14"/>
      <c r="C7" s="13"/>
      <c r="D7" s="13"/>
      <c r="E7" s="13"/>
      <c r="F7" s="15"/>
      <c r="G7" s="16"/>
    </row>
    <row r="8" spans="1:7" ht="13.5" customHeight="1">
      <c r="A8" s="2"/>
      <c r="B8" s="18"/>
      <c r="C8" s="2"/>
      <c r="D8" s="2"/>
      <c r="E8" s="2"/>
      <c r="F8" s="7"/>
      <c r="G8" s="19"/>
    </row>
    <row r="9" spans="1:7" ht="13.5" customHeight="1" thickBot="1">
      <c r="A9" s="2"/>
      <c r="B9" s="20"/>
      <c r="C9" s="21"/>
      <c r="D9" s="21"/>
      <c r="E9" s="21"/>
      <c r="F9" s="22"/>
      <c r="G9" s="23"/>
    </row>
    <row r="10" spans="1:7" ht="13.5" customHeight="1">
      <c r="A10" s="2"/>
      <c r="B10" s="2"/>
      <c r="C10" s="2"/>
      <c r="D10" s="2"/>
      <c r="E10" s="2"/>
      <c r="F10" s="7"/>
      <c r="G10" s="8"/>
    </row>
    <row r="11" spans="1:7" ht="15.75" customHeight="1">
      <c r="A11" s="2"/>
      <c r="B11" s="126" t="s">
        <v>196</v>
      </c>
      <c r="C11" s="127"/>
      <c r="D11" s="127"/>
      <c r="E11" s="127"/>
      <c r="F11" s="127"/>
      <c r="G11" s="127"/>
    </row>
    <row r="12" spans="1:7" ht="12.75" customHeight="1">
      <c r="A12" s="24"/>
      <c r="B12" s="24"/>
      <c r="C12" s="24"/>
      <c r="D12" s="24"/>
      <c r="F12" s="26"/>
      <c r="G12" s="27"/>
    </row>
    <row r="13" spans="1:7" ht="12.75" customHeight="1">
      <c r="A13" s="2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24"/>
      <c r="B14" s="24"/>
      <c r="C14" s="24"/>
      <c r="D14" s="24"/>
      <c r="E14" s="28"/>
      <c r="F14" s="26"/>
      <c r="G14" s="27"/>
    </row>
    <row r="15" spans="1:7" ht="12.75" customHeight="1">
      <c r="A15" s="24"/>
      <c r="B15" s="24"/>
      <c r="C15" s="24"/>
      <c r="D15" s="24"/>
      <c r="F15" s="26"/>
      <c r="G15" s="27"/>
    </row>
    <row r="16" spans="1:7" ht="12.75" customHeight="1">
      <c r="A16" s="24"/>
      <c r="B16" s="24"/>
      <c r="C16" s="24"/>
      <c r="D16" s="24"/>
      <c r="F16" s="128">
        <v>2005</v>
      </c>
      <c r="G16" s="129"/>
    </row>
    <row r="17" spans="1:7" ht="12.75" customHeight="1">
      <c r="A17" s="24"/>
      <c r="B17" s="29"/>
      <c r="C17" s="30"/>
      <c r="D17" s="30"/>
      <c r="E17" s="31" t="s">
        <v>2</v>
      </c>
      <c r="F17" s="32" t="s">
        <v>3</v>
      </c>
      <c r="G17" s="33" t="s">
        <v>4</v>
      </c>
    </row>
    <row r="18" spans="1:7" ht="12.75" customHeight="1">
      <c r="A18" s="24"/>
      <c r="B18" s="34"/>
      <c r="C18" s="24"/>
      <c r="D18" s="24"/>
      <c r="E18" s="25" t="s">
        <v>0</v>
      </c>
      <c r="F18" s="35"/>
      <c r="G18" s="36"/>
    </row>
    <row r="19" spans="1:7" ht="14.25" customHeight="1">
      <c r="A19" s="24"/>
      <c r="B19" s="37" t="s">
        <v>5</v>
      </c>
      <c r="C19" s="24"/>
      <c r="D19" s="24"/>
      <c r="F19" s="81"/>
      <c r="G19" s="92">
        <f>F20+F24+F25+F26+F28</f>
        <v>262560.398843</v>
      </c>
    </row>
    <row r="20" spans="1:7" ht="12.75" customHeight="1">
      <c r="A20" s="24"/>
      <c r="B20" s="34"/>
      <c r="C20" s="24" t="s">
        <v>6</v>
      </c>
      <c r="D20" s="24" t="s">
        <v>7</v>
      </c>
      <c r="F20" s="93">
        <f>SUM(F21:F22)</f>
        <v>257968.15</v>
      </c>
      <c r="G20" s="82"/>
    </row>
    <row r="21" spans="1:7" ht="12.75" customHeight="1">
      <c r="A21" s="24"/>
      <c r="B21" s="34"/>
      <c r="C21" s="24"/>
      <c r="D21" s="24" t="s">
        <v>30</v>
      </c>
      <c r="E21" s="25" t="s">
        <v>93</v>
      </c>
      <c r="F21" s="89">
        <v>257302.12</v>
      </c>
      <c r="G21" s="82"/>
    </row>
    <row r="22" spans="1:7" ht="12.75" customHeight="1">
      <c r="A22" s="24"/>
      <c r="B22" s="34"/>
      <c r="C22" s="24"/>
      <c r="D22" s="24" t="s">
        <v>30</v>
      </c>
      <c r="E22" s="25" t="s">
        <v>94</v>
      </c>
      <c r="F22" s="89">
        <v>666.03</v>
      </c>
      <c r="G22" s="82"/>
    </row>
    <row r="23" spans="1:7" ht="12.75" customHeight="1">
      <c r="A23" s="24"/>
      <c r="B23" s="34"/>
      <c r="C23" s="24" t="s">
        <v>8</v>
      </c>
      <c r="D23" s="24" t="s">
        <v>9</v>
      </c>
      <c r="F23" s="74"/>
      <c r="G23" s="82"/>
    </row>
    <row r="24" spans="1:7" ht="12.75" customHeight="1">
      <c r="A24" s="24"/>
      <c r="B24" s="34"/>
      <c r="C24" s="24"/>
      <c r="D24" s="24" t="s">
        <v>10</v>
      </c>
      <c r="F24" s="101">
        <v>0</v>
      </c>
      <c r="G24" s="82"/>
    </row>
    <row r="25" spans="1:7" ht="12.75" customHeight="1">
      <c r="A25" s="24"/>
      <c r="B25" s="34"/>
      <c r="C25" s="24" t="s">
        <v>11</v>
      </c>
      <c r="D25" s="24" t="s">
        <v>12</v>
      </c>
      <c r="F25" s="101">
        <v>0</v>
      </c>
      <c r="G25" s="82"/>
    </row>
    <row r="26" spans="1:7" ht="12.75" customHeight="1">
      <c r="A26" s="24"/>
      <c r="B26" s="34"/>
      <c r="C26" s="24" t="s">
        <v>13</v>
      </c>
      <c r="D26" s="24"/>
      <c r="F26" s="101">
        <v>0</v>
      </c>
      <c r="G26" s="82"/>
    </row>
    <row r="27" spans="1:7" ht="12.75" customHeight="1">
      <c r="A27" s="24"/>
      <c r="B27" s="34"/>
      <c r="C27" s="24" t="s">
        <v>14</v>
      </c>
      <c r="D27" s="24"/>
      <c r="F27" s="74" t="s">
        <v>0</v>
      </c>
      <c r="G27" s="83"/>
    </row>
    <row r="28" spans="1:7" ht="12.75" customHeight="1">
      <c r="A28" s="24"/>
      <c r="B28" s="34"/>
      <c r="C28" s="24"/>
      <c r="D28" s="24" t="s">
        <v>15</v>
      </c>
      <c r="F28" s="93">
        <f>SUM(F29:F31)</f>
        <v>4592.248842999999</v>
      </c>
      <c r="G28" s="83"/>
    </row>
    <row r="29" spans="1:7" ht="12.75" customHeight="1">
      <c r="A29" s="24"/>
      <c r="B29" s="34"/>
      <c r="C29" s="24"/>
      <c r="D29" s="40" t="s">
        <v>30</v>
      </c>
      <c r="E29" s="25" t="s">
        <v>97</v>
      </c>
      <c r="F29" s="89">
        <v>0</v>
      </c>
      <c r="G29" s="84"/>
    </row>
    <row r="30" spans="1:7" ht="12.75" customHeight="1">
      <c r="A30" s="24"/>
      <c r="B30" s="34"/>
      <c r="C30" s="24"/>
      <c r="D30" s="24" t="s">
        <v>30</v>
      </c>
      <c r="E30" s="24" t="s">
        <v>53</v>
      </c>
      <c r="F30" s="74">
        <v>0</v>
      </c>
      <c r="G30" s="83"/>
    </row>
    <row r="31" spans="1:7" ht="12.75" customHeight="1">
      <c r="A31" s="24"/>
      <c r="B31" s="34"/>
      <c r="C31" s="24"/>
      <c r="D31" s="24" t="s">
        <v>30</v>
      </c>
      <c r="E31" s="24" t="s">
        <v>155</v>
      </c>
      <c r="F31" s="74">
        <f>265447.91*1.73/100</f>
        <v>4592.248842999999</v>
      </c>
      <c r="G31" s="83"/>
    </row>
    <row r="32" spans="1:7" ht="12.75" customHeight="1">
      <c r="A32" s="24"/>
      <c r="B32" s="34"/>
      <c r="C32" s="24"/>
      <c r="D32" s="24"/>
      <c r="E32" s="24"/>
      <c r="F32" s="74"/>
      <c r="G32" s="83"/>
    </row>
    <row r="33" spans="1:7" s="44" customFormat="1" ht="14.25" customHeight="1">
      <c r="A33" s="42"/>
      <c r="B33" s="37" t="s">
        <v>16</v>
      </c>
      <c r="C33" s="42"/>
      <c r="D33" s="42"/>
      <c r="E33" s="43"/>
      <c r="F33" s="75"/>
      <c r="G33" s="92">
        <f>-(F35+F41+F51+F55+F62+F70+F72+F74+F76)</f>
        <v>-229227.154153</v>
      </c>
    </row>
    <row r="34" spans="1:7" ht="12.75" customHeight="1">
      <c r="A34" s="24"/>
      <c r="B34" s="34"/>
      <c r="C34" s="24" t="s">
        <v>17</v>
      </c>
      <c r="D34" s="24"/>
      <c r="F34" s="74" t="s">
        <v>0</v>
      </c>
      <c r="G34" s="83"/>
    </row>
    <row r="35" spans="1:7" ht="12.75" customHeight="1">
      <c r="A35" s="24"/>
      <c r="B35" s="34"/>
      <c r="D35" s="24" t="s">
        <v>18</v>
      </c>
      <c r="E35" s="45"/>
      <c r="F35" s="91">
        <f>SUM(F36:F39)</f>
        <v>207104.569274</v>
      </c>
      <c r="G35" s="83"/>
    </row>
    <row r="36" spans="1:7" ht="12.75" customHeight="1">
      <c r="A36" s="24"/>
      <c r="B36" s="34"/>
      <c r="D36" s="24"/>
      <c r="E36" s="45" t="s">
        <v>42</v>
      </c>
      <c r="F36" s="98">
        <v>206219.81</v>
      </c>
      <c r="G36" s="83"/>
    </row>
    <row r="37" spans="1:7" ht="12.75" customHeight="1">
      <c r="A37" s="24"/>
      <c r="B37" s="34"/>
      <c r="D37" s="24"/>
      <c r="E37" s="45" t="s">
        <v>73</v>
      </c>
      <c r="F37" s="98">
        <v>689.28</v>
      </c>
      <c r="G37" s="83"/>
    </row>
    <row r="38" spans="1:7" ht="12.75" customHeight="1">
      <c r="A38" s="24"/>
      <c r="B38" s="34"/>
      <c r="D38" s="24"/>
      <c r="E38" s="46" t="s">
        <v>43</v>
      </c>
      <c r="F38" s="98">
        <v>0</v>
      </c>
      <c r="G38" s="83"/>
    </row>
    <row r="39" spans="1:7" ht="12.75" customHeight="1">
      <c r="A39" s="24"/>
      <c r="B39" s="34"/>
      <c r="D39" s="24"/>
      <c r="E39" s="45" t="s">
        <v>156</v>
      </c>
      <c r="F39" s="74">
        <f>11299.38*1.73/100</f>
        <v>195.47927399999998</v>
      </c>
      <c r="G39" s="83"/>
    </row>
    <row r="40" spans="1:7" ht="12.75" customHeight="1">
      <c r="A40" s="24"/>
      <c r="B40" s="34"/>
      <c r="D40" s="24"/>
      <c r="E40" s="45"/>
      <c r="F40" s="80"/>
      <c r="G40" s="83"/>
    </row>
    <row r="41" spans="1:7" ht="12.75" customHeight="1">
      <c r="A41" s="24"/>
      <c r="B41" s="34"/>
      <c r="C41" s="24" t="s">
        <v>19</v>
      </c>
      <c r="D41" s="24"/>
      <c r="E41" s="45"/>
      <c r="F41" s="91">
        <f>SUM(F42:F49)</f>
        <v>12186.649503</v>
      </c>
      <c r="G41" s="83"/>
    </row>
    <row r="42" spans="1:7" ht="12.75" customHeight="1">
      <c r="A42" s="24"/>
      <c r="B42" s="34"/>
      <c r="C42" s="24"/>
      <c r="D42" s="24"/>
      <c r="E42" s="46" t="s">
        <v>45</v>
      </c>
      <c r="F42" s="98">
        <v>48.15</v>
      </c>
      <c r="G42" s="83"/>
    </row>
    <row r="43" spans="1:7" ht="12.75" customHeight="1">
      <c r="A43" s="24"/>
      <c r="B43" s="34"/>
      <c r="C43" s="24"/>
      <c r="D43" s="24"/>
      <c r="E43" s="46" t="s">
        <v>44</v>
      </c>
      <c r="F43" s="98">
        <v>16.05</v>
      </c>
      <c r="G43" s="83"/>
    </row>
    <row r="44" spans="1:7" ht="12.75" customHeight="1">
      <c r="A44" s="24"/>
      <c r="B44" s="34"/>
      <c r="C44" s="24"/>
      <c r="D44" s="24"/>
      <c r="E44" s="46" t="s">
        <v>50</v>
      </c>
      <c r="F44" s="98">
        <v>169</v>
      </c>
      <c r="G44" s="83"/>
    </row>
    <row r="45" spans="1:7" ht="12.75" customHeight="1">
      <c r="A45" s="24"/>
      <c r="B45" s="34"/>
      <c r="C45" s="24"/>
      <c r="D45" s="24"/>
      <c r="E45" s="46" t="s">
        <v>106</v>
      </c>
      <c r="F45" s="98">
        <v>170.6</v>
      </c>
      <c r="G45" s="83"/>
    </row>
    <row r="46" spans="1:7" ht="12.75" customHeight="1">
      <c r="A46" s="24"/>
      <c r="B46" s="34"/>
      <c r="C46" s="24"/>
      <c r="D46" s="24"/>
      <c r="E46" s="46" t="s">
        <v>118</v>
      </c>
      <c r="F46" s="98">
        <v>300</v>
      </c>
      <c r="G46" s="83"/>
    </row>
    <row r="47" spans="1:7" ht="12.75" customHeight="1">
      <c r="A47" s="24"/>
      <c r="B47" s="34"/>
      <c r="C47" s="24"/>
      <c r="D47" s="24"/>
      <c r="E47" s="46" t="s">
        <v>186</v>
      </c>
      <c r="F47" s="98">
        <v>3748.71</v>
      </c>
      <c r="G47" s="83"/>
    </row>
    <row r="48" spans="1:7" ht="12.75" customHeight="1">
      <c r="A48" s="24"/>
      <c r="B48" s="34"/>
      <c r="C48" s="24"/>
      <c r="D48" s="24"/>
      <c r="E48" s="46" t="s">
        <v>121</v>
      </c>
      <c r="F48" s="98">
        <v>1415.97</v>
      </c>
      <c r="G48" s="83"/>
    </row>
    <row r="49" spans="1:7" ht="12.75" customHeight="1">
      <c r="A49" s="24"/>
      <c r="B49" s="34"/>
      <c r="C49" s="24"/>
      <c r="D49" s="24"/>
      <c r="E49" s="46" t="s">
        <v>157</v>
      </c>
      <c r="F49" s="100">
        <f>(241778.57+127438.93-4005.39)*1.73/100</f>
        <v>6318.169503</v>
      </c>
      <c r="G49" s="83"/>
    </row>
    <row r="50" spans="1:7" ht="12.75" customHeight="1">
      <c r="A50" s="24"/>
      <c r="B50" s="34"/>
      <c r="C50" s="24"/>
      <c r="D50" s="24"/>
      <c r="E50" s="46"/>
      <c r="F50" s="80"/>
      <c r="G50" s="83"/>
    </row>
    <row r="51" spans="1:7" ht="12.75" customHeight="1">
      <c r="A51" s="24"/>
      <c r="B51" s="34"/>
      <c r="C51" s="24" t="s">
        <v>20</v>
      </c>
      <c r="D51" s="24"/>
      <c r="E51" s="45"/>
      <c r="F51" s="93">
        <f>SUM(F52:F53)</f>
        <v>3826.041234</v>
      </c>
      <c r="G51" s="83"/>
    </row>
    <row r="52" spans="1:7" ht="12.75" customHeight="1">
      <c r="A52" s="24"/>
      <c r="B52" s="34"/>
      <c r="C52" s="24"/>
      <c r="D52" s="24"/>
      <c r="E52" s="46" t="s">
        <v>96</v>
      </c>
      <c r="F52" s="98">
        <v>3778.56</v>
      </c>
      <c r="G52" s="83"/>
    </row>
    <row r="53" spans="1:7" ht="12.75" customHeight="1">
      <c r="A53" s="24"/>
      <c r="B53" s="34"/>
      <c r="C53" s="24"/>
      <c r="D53" s="24"/>
      <c r="E53" s="46" t="s">
        <v>156</v>
      </c>
      <c r="F53" s="98">
        <f>2744.58*1.73/100</f>
        <v>47.48123399999999</v>
      </c>
      <c r="G53" s="83"/>
    </row>
    <row r="54" spans="1:7" ht="12.75" customHeight="1">
      <c r="A54" s="24"/>
      <c r="B54" s="34"/>
      <c r="C54" s="24"/>
      <c r="D54" s="24"/>
      <c r="E54" s="46"/>
      <c r="F54" s="78"/>
      <c r="G54" s="83"/>
    </row>
    <row r="55" spans="1:7" ht="12.75" customHeight="1">
      <c r="A55" s="24"/>
      <c r="B55" s="34"/>
      <c r="C55" s="24" t="s">
        <v>21</v>
      </c>
      <c r="D55" s="24"/>
      <c r="E55" s="45"/>
      <c r="F55" s="91">
        <f>SUM(F56:F60)</f>
        <v>38146.829173000006</v>
      </c>
      <c r="G55" s="83"/>
    </row>
    <row r="56" spans="1:7" ht="12.75" customHeight="1">
      <c r="A56" s="24"/>
      <c r="B56" s="34"/>
      <c r="D56" s="47" t="s">
        <v>22</v>
      </c>
      <c r="E56" s="48"/>
      <c r="F56" s="98">
        <f>20744.33+(146511.24+8163.97+17733.75+66364.61)*1.73/100</f>
        <v>24875.112761000004</v>
      </c>
      <c r="G56" s="83"/>
    </row>
    <row r="57" spans="1:7" ht="12.75" customHeight="1">
      <c r="A57" s="24"/>
      <c r="B57" s="34"/>
      <c r="D57" s="47" t="s">
        <v>23</v>
      </c>
      <c r="E57" s="48"/>
      <c r="F57" s="98">
        <f>(9693.05+772.59)+(33776.82+2815.43+2083.45+9646.31+15927.59)*1.73/100</f>
        <v>11577.15808</v>
      </c>
      <c r="G57" s="83"/>
    </row>
    <row r="58" spans="1:7" ht="12.75" customHeight="1">
      <c r="A58" s="24"/>
      <c r="B58" s="34"/>
      <c r="D58" s="47" t="s">
        <v>24</v>
      </c>
      <c r="E58" s="48"/>
      <c r="F58" s="98">
        <f>1300+((17387.4+5419.44)*1.73/100)</f>
        <v>1694.558332</v>
      </c>
      <c r="G58" s="83"/>
    </row>
    <row r="59" spans="1:7" ht="12.75" customHeight="1">
      <c r="A59" s="24"/>
      <c r="B59" s="34"/>
      <c r="D59" s="47" t="s">
        <v>25</v>
      </c>
      <c r="E59" s="48"/>
      <c r="F59" s="98">
        <v>0</v>
      </c>
      <c r="G59" s="83"/>
    </row>
    <row r="60" spans="1:7" ht="12.75" customHeight="1">
      <c r="A60" s="24"/>
      <c r="B60" s="34"/>
      <c r="D60" s="47" t="s">
        <v>111</v>
      </c>
      <c r="E60" s="48"/>
      <c r="F60" s="98">
        <v>0</v>
      </c>
      <c r="G60" s="83"/>
    </row>
    <row r="61" spans="1:7" ht="12.75" customHeight="1">
      <c r="A61" s="24"/>
      <c r="B61" s="34"/>
      <c r="D61" s="47"/>
      <c r="E61" s="48"/>
      <c r="F61" s="98"/>
      <c r="G61" s="83"/>
    </row>
    <row r="62" spans="1:7" ht="12.75" customHeight="1">
      <c r="A62" s="24"/>
      <c r="B62" s="34"/>
      <c r="C62" s="24" t="s">
        <v>27</v>
      </c>
      <c r="D62" s="24"/>
      <c r="E62" s="45"/>
      <c r="F62" s="91">
        <f>SUM(F63:F67)</f>
        <v>498.02548</v>
      </c>
      <c r="G62" s="83"/>
    </row>
    <row r="63" spans="1:7" ht="12.75" customHeight="1">
      <c r="A63" s="24"/>
      <c r="B63" s="34"/>
      <c r="C63" s="24"/>
      <c r="D63" s="47" t="s">
        <v>28</v>
      </c>
      <c r="E63" s="48"/>
      <c r="F63" s="98">
        <f>7338.54*1.73/100</f>
        <v>126.95674199999999</v>
      </c>
      <c r="G63" s="83"/>
    </row>
    <row r="64" spans="1:7" ht="12.75" customHeight="1">
      <c r="A64" s="24"/>
      <c r="B64" s="34"/>
      <c r="D64" s="47" t="s">
        <v>29</v>
      </c>
      <c r="E64" s="49"/>
      <c r="F64" s="98">
        <f>21449.06*1.73/100</f>
        <v>371.068738</v>
      </c>
      <c r="G64" s="83"/>
    </row>
    <row r="65" spans="1:7" ht="12.75" customHeight="1">
      <c r="A65" s="24"/>
      <c r="B65" s="34"/>
      <c r="D65" s="47" t="s">
        <v>31</v>
      </c>
      <c r="E65" s="48"/>
      <c r="F65" s="98">
        <v>0</v>
      </c>
      <c r="G65" s="83"/>
    </row>
    <row r="66" spans="1:7" ht="12.75" customHeight="1">
      <c r="A66" s="24"/>
      <c r="B66" s="34"/>
      <c r="D66" s="47" t="s">
        <v>32</v>
      </c>
      <c r="E66" s="48"/>
      <c r="F66" s="98"/>
      <c r="G66" s="83"/>
    </row>
    <row r="67" spans="1:7" ht="12.75" customHeight="1">
      <c r="A67" s="24"/>
      <c r="B67" s="34"/>
      <c r="D67" s="47"/>
      <c r="E67" s="49" t="s">
        <v>33</v>
      </c>
      <c r="F67" s="98">
        <v>0</v>
      </c>
      <c r="G67" s="83"/>
    </row>
    <row r="68" spans="1:7" ht="12.75" customHeight="1">
      <c r="A68" s="24"/>
      <c r="B68" s="34"/>
      <c r="D68" s="47"/>
      <c r="E68" s="49"/>
      <c r="F68" s="80"/>
      <c r="G68" s="83"/>
    </row>
    <row r="69" spans="1:7" ht="12.75" customHeight="1">
      <c r="A69" s="24"/>
      <c r="B69" s="34"/>
      <c r="C69" s="24" t="s">
        <v>34</v>
      </c>
      <c r="D69" s="24"/>
      <c r="E69" s="45"/>
      <c r="F69" s="74"/>
      <c r="G69" s="83"/>
    </row>
    <row r="70" spans="1:7" ht="12.75" customHeight="1">
      <c r="A70" s="24"/>
      <c r="B70" s="34"/>
      <c r="D70" s="24"/>
      <c r="E70" s="50" t="s">
        <v>35</v>
      </c>
      <c r="F70" s="101">
        <f>188257.03-221730.22</f>
        <v>-33473.19</v>
      </c>
      <c r="G70" s="83"/>
    </row>
    <row r="71" spans="1:7" ht="12.75" customHeight="1">
      <c r="A71" s="24"/>
      <c r="B71" s="34"/>
      <c r="D71" s="24"/>
      <c r="E71" s="50"/>
      <c r="F71" s="74"/>
      <c r="G71" s="83"/>
    </row>
    <row r="72" spans="1:7" ht="12.75" customHeight="1">
      <c r="A72" s="24"/>
      <c r="B72" s="34"/>
      <c r="C72" s="24" t="s">
        <v>36</v>
      </c>
      <c r="D72" s="24"/>
      <c r="E72" s="45"/>
      <c r="F72" s="101">
        <v>0</v>
      </c>
      <c r="G72" s="83"/>
    </row>
    <row r="73" spans="1:7" ht="12.75" customHeight="1">
      <c r="A73" s="24"/>
      <c r="B73" s="34"/>
      <c r="C73" s="24"/>
      <c r="D73" s="24"/>
      <c r="E73" s="45"/>
      <c r="F73" s="101"/>
      <c r="G73" s="83"/>
    </row>
    <row r="74" spans="1:7" ht="12.75" customHeight="1">
      <c r="A74" s="24"/>
      <c r="B74" s="34"/>
      <c r="C74" s="24" t="s">
        <v>37</v>
      </c>
      <c r="D74" s="24"/>
      <c r="E74" s="45"/>
      <c r="F74" s="101">
        <v>0</v>
      </c>
      <c r="G74" s="83"/>
    </row>
    <row r="75" spans="1:7" ht="12.75" customHeight="1">
      <c r="A75" s="24"/>
      <c r="B75" s="34"/>
      <c r="C75" s="24"/>
      <c r="D75" s="24"/>
      <c r="E75" s="45"/>
      <c r="F75" s="101"/>
      <c r="G75" s="83"/>
    </row>
    <row r="76" spans="1:7" ht="12.75" customHeight="1">
      <c r="A76" s="24"/>
      <c r="B76" s="34"/>
      <c r="C76" s="24" t="s">
        <v>38</v>
      </c>
      <c r="D76" s="24"/>
      <c r="E76" s="45"/>
      <c r="F76" s="101">
        <f>SUM(F77:F81)</f>
        <v>938.2294889999998</v>
      </c>
      <c r="G76" s="83"/>
    </row>
    <row r="77" spans="1:7" ht="12.75" customHeight="1">
      <c r="A77" s="24"/>
      <c r="B77" s="34"/>
      <c r="C77" s="24"/>
      <c r="D77" s="24"/>
      <c r="E77" s="45" t="s">
        <v>108</v>
      </c>
      <c r="F77" s="80">
        <v>0</v>
      </c>
      <c r="G77" s="83"/>
    </row>
    <row r="78" spans="1:7" ht="13.5" customHeight="1">
      <c r="A78" s="24"/>
      <c r="B78" s="34"/>
      <c r="C78" s="24"/>
      <c r="D78" s="24" t="s">
        <v>0</v>
      </c>
      <c r="E78" s="46" t="s">
        <v>122</v>
      </c>
      <c r="F78" s="98">
        <v>558.29</v>
      </c>
      <c r="G78" s="83"/>
    </row>
    <row r="79" spans="1:7" ht="13.5" customHeight="1">
      <c r="A79" s="24"/>
      <c r="B79" s="34"/>
      <c r="C79" s="24"/>
      <c r="D79" s="24"/>
      <c r="E79" s="46" t="s">
        <v>165</v>
      </c>
      <c r="F79" s="98">
        <v>52.67</v>
      </c>
      <c r="G79" s="83"/>
    </row>
    <row r="80" spans="1:7" ht="12.75" customHeight="1">
      <c r="A80" s="24"/>
      <c r="B80" s="34"/>
      <c r="C80" s="24"/>
      <c r="D80" s="24"/>
      <c r="E80" s="46" t="s">
        <v>110</v>
      </c>
      <c r="F80" s="80">
        <v>30.42</v>
      </c>
      <c r="G80" s="83"/>
    </row>
    <row r="81" spans="1:7" ht="12.75" customHeight="1">
      <c r="A81" s="24"/>
      <c r="B81" s="34"/>
      <c r="C81" s="24"/>
      <c r="D81" s="24"/>
      <c r="E81" s="46" t="s">
        <v>157</v>
      </c>
      <c r="F81" s="78">
        <f>17158.93*1.73/100</f>
        <v>296.849489</v>
      </c>
      <c r="G81" s="83"/>
    </row>
    <row r="82" spans="1:7" ht="12.75" customHeight="1">
      <c r="A82" s="24"/>
      <c r="B82" s="34"/>
      <c r="C82" s="24"/>
      <c r="D82" s="24"/>
      <c r="E82" s="50"/>
      <c r="F82" s="74" t="s">
        <v>0</v>
      </c>
      <c r="G82" s="83"/>
    </row>
    <row r="83" spans="1:9" ht="14.25" customHeight="1">
      <c r="A83" s="52"/>
      <c r="B83" s="37" t="s">
        <v>39</v>
      </c>
      <c r="C83" s="53"/>
      <c r="D83" s="53"/>
      <c r="E83" s="46"/>
      <c r="F83" s="74" t="s">
        <v>0</v>
      </c>
      <c r="G83" s="97">
        <f>G19+G33+0.01</f>
        <v>33333.254689999994</v>
      </c>
      <c r="I83" s="112"/>
    </row>
    <row r="84" spans="1:7" ht="12.75" customHeight="1">
      <c r="A84" s="24"/>
      <c r="B84" s="54" t="s">
        <v>40</v>
      </c>
      <c r="C84" s="24"/>
      <c r="D84" s="24"/>
      <c r="E84" s="50"/>
      <c r="F84" s="74" t="s">
        <v>0</v>
      </c>
      <c r="G84" s="85"/>
    </row>
    <row r="85" spans="2:7" ht="12" customHeight="1">
      <c r="B85" s="56"/>
      <c r="E85" s="45"/>
      <c r="F85" s="74" t="s">
        <v>0</v>
      </c>
      <c r="G85" s="85"/>
    </row>
    <row r="86" spans="2:7" ht="14.25" customHeight="1">
      <c r="B86" s="37" t="s">
        <v>65</v>
      </c>
      <c r="C86" s="42"/>
      <c r="D86" s="42"/>
      <c r="E86" s="57"/>
      <c r="F86" s="75"/>
      <c r="G86" s="97">
        <f>SUM(F88:F90)</f>
        <v>3238.780099</v>
      </c>
    </row>
    <row r="87" spans="2:7" ht="12">
      <c r="B87" s="56"/>
      <c r="E87" s="45"/>
      <c r="F87" s="74"/>
      <c r="G87" s="85"/>
    </row>
    <row r="88" spans="2:7" ht="15">
      <c r="B88" s="34"/>
      <c r="C88" s="24" t="s">
        <v>62</v>
      </c>
      <c r="D88" s="24"/>
      <c r="E88" s="45"/>
      <c r="F88" s="94">
        <f>212506*1.73/100</f>
        <v>3676.3538</v>
      </c>
      <c r="G88" s="85"/>
    </row>
    <row r="89" spans="2:7" ht="14.25">
      <c r="B89" s="56"/>
      <c r="C89" s="24" t="s">
        <v>63</v>
      </c>
      <c r="E89" s="45"/>
      <c r="F89" s="101">
        <f>107.23+(9934.2*1.73/100)</f>
        <v>279.09166</v>
      </c>
      <c r="G89" s="85"/>
    </row>
    <row r="90" spans="2:7" ht="14.25">
      <c r="B90" s="56"/>
      <c r="C90" s="24" t="s">
        <v>64</v>
      </c>
      <c r="E90" s="45"/>
      <c r="F90" s="101">
        <f>-245.49+((-4005.39-23230.18)*1.73/100)</f>
        <v>-716.665361</v>
      </c>
      <c r="G90" s="85"/>
    </row>
    <row r="91" spans="2:7" ht="12">
      <c r="B91" s="56"/>
      <c r="E91" s="45"/>
      <c r="F91" s="74"/>
      <c r="G91" s="85"/>
    </row>
    <row r="92" spans="2:7" ht="15.75">
      <c r="B92" s="37" t="s">
        <v>66</v>
      </c>
      <c r="C92" s="42"/>
      <c r="D92" s="42"/>
      <c r="E92" s="57"/>
      <c r="F92" s="105">
        <v>0</v>
      </c>
      <c r="G92" s="97">
        <v>0</v>
      </c>
    </row>
    <row r="93" spans="2:7" ht="12">
      <c r="B93" s="56"/>
      <c r="E93" s="45"/>
      <c r="F93" s="74"/>
      <c r="G93" s="85"/>
    </row>
    <row r="94" spans="2:7" ht="15.75">
      <c r="B94" s="37" t="s">
        <v>61</v>
      </c>
      <c r="C94" s="42"/>
      <c r="D94" s="42"/>
      <c r="E94" s="57"/>
      <c r="F94" s="75"/>
      <c r="G94" s="97">
        <f>SUM(F96-F98)</f>
        <v>-305.89253199999996</v>
      </c>
    </row>
    <row r="95" spans="2:7" ht="12">
      <c r="B95" s="56"/>
      <c r="E95" s="45"/>
      <c r="F95" s="74"/>
      <c r="G95" s="85"/>
    </row>
    <row r="96" spans="2:7" ht="14.25">
      <c r="B96" s="56"/>
      <c r="C96" s="24" t="s">
        <v>67</v>
      </c>
      <c r="E96" s="45"/>
      <c r="F96" s="101">
        <f>SUM(F97:F97)</f>
        <v>229.053211</v>
      </c>
      <c r="G96" s="85"/>
    </row>
    <row r="97" spans="2:7" ht="12">
      <c r="B97" s="56"/>
      <c r="C97" s="24"/>
      <c r="D97" s="121" t="s">
        <v>194</v>
      </c>
      <c r="E97" s="122"/>
      <c r="F97" s="74">
        <f>13240.07*1.73/100</f>
        <v>229.053211</v>
      </c>
      <c r="G97" s="85"/>
    </row>
    <row r="98" spans="2:7" ht="14.25">
      <c r="B98" s="56"/>
      <c r="C98" s="24" t="s">
        <v>68</v>
      </c>
      <c r="E98" s="45"/>
      <c r="F98" s="101">
        <f>436.32+(5700.91*1.73/100)</f>
        <v>534.945743</v>
      </c>
      <c r="G98" s="85"/>
    </row>
    <row r="99" spans="2:7" ht="12">
      <c r="B99" s="56"/>
      <c r="E99" s="45"/>
      <c r="F99" s="74"/>
      <c r="G99" s="85"/>
    </row>
    <row r="100" spans="2:7" ht="15.75">
      <c r="B100" s="59" t="s">
        <v>69</v>
      </c>
      <c r="C100" s="43"/>
      <c r="D100" s="43"/>
      <c r="E100" s="57"/>
      <c r="F100" s="101">
        <f>(103092*1.73/100)+9.69</f>
        <v>1793.1816000000001</v>
      </c>
      <c r="G100" s="97">
        <f>F100</f>
        <v>1793.1816000000001</v>
      </c>
    </row>
    <row r="101" spans="2:7" ht="12">
      <c r="B101" s="56"/>
      <c r="E101" s="45"/>
      <c r="F101" s="74"/>
      <c r="G101" s="85"/>
    </row>
    <row r="102" spans="2:7" ht="15.75">
      <c r="B102" s="37"/>
      <c r="E102" s="60" t="s">
        <v>70</v>
      </c>
      <c r="F102" s="74"/>
      <c r="G102" s="102">
        <f>G83+G86+G94-G100</f>
        <v>34472.960656999996</v>
      </c>
    </row>
    <row r="103" spans="2:7" ht="12">
      <c r="B103" s="61"/>
      <c r="C103" s="62"/>
      <c r="D103" s="62"/>
      <c r="E103" s="63"/>
      <c r="F103" s="86"/>
      <c r="G103" s="87"/>
    </row>
  </sheetData>
  <mergeCells count="5">
    <mergeCell ref="D97:E97"/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6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2006-05-19T13:32:32Z</cp:lastPrinted>
  <dcterms:created xsi:type="dcterms:W3CDTF">1997-08-28T16:58:31Z</dcterms:created>
  <dcterms:modified xsi:type="dcterms:W3CDTF">2009-09-28T14:13:18Z</dcterms:modified>
  <cp:category/>
  <cp:version/>
  <cp:contentType/>
  <cp:contentStatus/>
</cp:coreProperties>
</file>