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0" windowWidth="9420" windowHeight="9120" tabRatio="601" firstSheet="2" activeTab="3"/>
  </bookViews>
  <sheets>
    <sheet name="Automezzi e autovett." sheetId="1" r:id="rId1"/>
    <sheet name="Beni mobili e fabbricati" sheetId="2" r:id="rId2"/>
    <sheet name="Altri beni  materiali " sheetId="3" r:id="rId3"/>
    <sheet name="Immobilizzazioni immateriali" sheetId="4" r:id="rId4"/>
  </sheets>
  <definedNames>
    <definedName name="_xlnm.Print_Area" localSheetId="2">'Altri beni  materiali '!$A$1:$K$340</definedName>
    <definedName name="_xlnm.Print_Area" localSheetId="0">'Automezzi e autovett.'!$2:$40</definedName>
    <definedName name="_xlnm.Print_Area" localSheetId="1">'Beni mobili e fabbricati'!$A$1:$K$99</definedName>
    <definedName name="_xlnm.Print_Area" localSheetId="3">'Immobilizzazioni immateriali'!$A$1:$K$56</definedName>
    <definedName name="_xlnm.Print_Titles" localSheetId="2">'Altri beni  materiali '!$1:$1</definedName>
    <definedName name="_xlnm.Print_Titles" localSheetId="0">'Automezzi e autovett.'!$1:$2</definedName>
    <definedName name="_xlnm.Print_Titles" localSheetId="1">'Beni mobili e fabbricati'!$1:$2</definedName>
    <definedName name="_xlnm.Print_Titles" localSheetId="3">'Immobilizzazioni immateriali'!$1:$1</definedName>
  </definedNames>
  <calcPr fullCalcOnLoad="1"/>
</workbook>
</file>

<file path=xl/sharedStrings.xml><?xml version="1.0" encoding="utf-8"?>
<sst xmlns="http://schemas.openxmlformats.org/spreadsheetml/2006/main" count="925" uniqueCount="508">
  <si>
    <t>A.S.P.E.F.</t>
  </si>
  <si>
    <t>FIAT UNO</t>
  </si>
  <si>
    <t>TARGA</t>
  </si>
  <si>
    <t>ANNO</t>
  </si>
  <si>
    <t>AC505MF</t>
  </si>
  <si>
    <t>AC503MF</t>
  </si>
  <si>
    <t>MN574668</t>
  </si>
  <si>
    <t>MN574667</t>
  </si>
  <si>
    <t>MN493455</t>
  </si>
  <si>
    <t>MN493454</t>
  </si>
  <si>
    <t>AJ792ER</t>
  </si>
  <si>
    <t>AJ791ER</t>
  </si>
  <si>
    <t>FIAT PANDA</t>
  </si>
  <si>
    <t>FIAT PUNTO</t>
  </si>
  <si>
    <t>FIAT 500</t>
  </si>
  <si>
    <t>AC884MK</t>
  </si>
  <si>
    <t>AC883MK</t>
  </si>
  <si>
    <t>AC882MK</t>
  </si>
  <si>
    <t>AC881MK</t>
  </si>
  <si>
    <t>AR748RZ</t>
  </si>
  <si>
    <t>AR195RX</t>
  </si>
  <si>
    <t>%</t>
  </si>
  <si>
    <t>TOTALE COMPLESSIVO AUTOMEZZI</t>
  </si>
  <si>
    <t>CARRELLO 2 PIANI</t>
  </si>
  <si>
    <t xml:space="preserve">  </t>
  </si>
  <si>
    <t>ARMADIO 4 ANTE</t>
  </si>
  <si>
    <t>MENSOLE</t>
  </si>
  <si>
    <t>LAVELLO ACC.C/TRITARIF</t>
  </si>
  <si>
    <t>LAVANDINO STERIL</t>
  </si>
  <si>
    <t>LAVELLO 2 VASCHE</t>
  </si>
  <si>
    <t>TAVOLO PER TRITARIFIUTI</t>
  </si>
  <si>
    <t>MENSOLA ACCIAIO</t>
  </si>
  <si>
    <t>ABBATTITORE CARNI</t>
  </si>
  <si>
    <t>IMPASTATRICE</t>
  </si>
  <si>
    <t>LETTO BOBATH ELETTR</t>
  </si>
  <si>
    <t>LETTO BOBATH FISSO</t>
  </si>
  <si>
    <t>PARALLELE PLASTICA</t>
  </si>
  <si>
    <t>PEDANA LEGNO</t>
  </si>
  <si>
    <t>LETTINO ELETTRICO</t>
  </si>
  <si>
    <t>LAVASTOVIGLIE PER BAR</t>
  </si>
  <si>
    <t>LAMPADA TAVOLO</t>
  </si>
  <si>
    <t>TASTIERA MACINTOSH</t>
  </si>
  <si>
    <t xml:space="preserve">PC MACINTOSH </t>
  </si>
  <si>
    <t>MONITOR MACINTOSH</t>
  </si>
  <si>
    <t>UNITA' OP.MACINTOSH</t>
  </si>
  <si>
    <t>STAMPANTE LASER</t>
  </si>
  <si>
    <t>VIDEOPROIETTORE</t>
  </si>
  <si>
    <t>STAMPANTE MACINTOSH</t>
  </si>
  <si>
    <t>UNITA' OP.MEGABYTE</t>
  </si>
  <si>
    <t>MOUSE MACINTOSH</t>
  </si>
  <si>
    <t>TV SONY</t>
  </si>
  <si>
    <t>VIDEOREGISTRAT.SONY</t>
  </si>
  <si>
    <t>CASSETTIERA ACCIAIO</t>
  </si>
  <si>
    <t>DISPENSA PENSILE ACCIAIO</t>
  </si>
  <si>
    <t>INCREM.DECR.</t>
  </si>
  <si>
    <t>VAL.RESIDUO</t>
  </si>
  <si>
    <t xml:space="preserve"> QUOTA AMM.TO</t>
  </si>
  <si>
    <t>VALORE ACQ.</t>
  </si>
  <si>
    <t>AUTOMEZZI SAD</t>
  </si>
  <si>
    <t>TOTALE</t>
  </si>
  <si>
    <t>AUTOMEZZI RSA</t>
  </si>
  <si>
    <t>CASA RIPOSO - S.A.D.</t>
  </si>
  <si>
    <t xml:space="preserve">TOTALE </t>
  </si>
  <si>
    <t xml:space="preserve">totale     </t>
  </si>
  <si>
    <t>Fondo iniziale</t>
  </si>
  <si>
    <t>Fondo finale</t>
  </si>
  <si>
    <t>FGR</t>
  </si>
  <si>
    <t>Tagliaverdure Mod. Celme Chef 400</t>
  </si>
  <si>
    <t>RSA</t>
  </si>
  <si>
    <t>Bilancia poltrona Wunder Arimar</t>
  </si>
  <si>
    <t>Servoscala Vimec</t>
  </si>
  <si>
    <t>RSA-CPHI</t>
  </si>
  <si>
    <t>n° 6 Proiettori Palate Forapani</t>
  </si>
  <si>
    <t>Megafono Palate Forapani</t>
  </si>
  <si>
    <t>Fotocopiatore Minolta (Sistemcopy)</t>
  </si>
  <si>
    <t>SAD-CD</t>
  </si>
  <si>
    <t>n° 4 tende veneziane (De Biasi)</t>
  </si>
  <si>
    <t>n° 6 tende arricciate (De Biasi)</t>
  </si>
  <si>
    <t>n° 120 poltrone Club Marine (teatro)</t>
  </si>
  <si>
    <t>Arredamento Cucina (Manerba)</t>
  </si>
  <si>
    <t>Microregistratore Sony</t>
  </si>
  <si>
    <t>Gazebo per esterni</t>
  </si>
  <si>
    <t>Cucina Lido mod.5052 (Lanfredini)</t>
  </si>
  <si>
    <t>* Tel. Cell. Samsung SGH600 (%50 inded.)</t>
  </si>
  <si>
    <t>* Tel. Cell. Nokia 6150 con auric. (%50 inded.)</t>
  </si>
  <si>
    <t>* Tel. Cell. Nokia WIND (%50 inded.)</t>
  </si>
  <si>
    <t>n° 3 carrelli biancheria inox (Exper)</t>
  </si>
  <si>
    <t>Porta a soffietto PVC</t>
  </si>
  <si>
    <t>Condizionatore CAG</t>
  </si>
  <si>
    <t>Condizionatore Cucina</t>
  </si>
  <si>
    <t>Software e applicativi</t>
  </si>
  <si>
    <t>CAG</t>
  </si>
  <si>
    <t>Aggiornamento Hardware Cpu Cag</t>
  </si>
  <si>
    <t>TOTALE COMPLESSIVO FABBRICATI</t>
  </si>
  <si>
    <t>ALLOGGIO PROTETTO V.LE GORIZIA</t>
  </si>
  <si>
    <t>ALLOGGIO PROTETTO V.LE JUVARA</t>
  </si>
  <si>
    <t>C.A.G. V.LE CALABRIA</t>
  </si>
  <si>
    <t>DORMITORIO VIA ARIOSTO</t>
  </si>
  <si>
    <t>MAGAZZINO F.CIA GRAMSCI</t>
  </si>
  <si>
    <t>DOR</t>
  </si>
  <si>
    <t>Asi Hub-rete ft.17F</t>
  </si>
  <si>
    <t>Asi rete ft.18F</t>
  </si>
  <si>
    <t>Asi colleg. ISDN ft.22F</t>
  </si>
  <si>
    <t>Asi varie rete ft.29F</t>
  </si>
  <si>
    <t>Asi varie rete ft.30F</t>
  </si>
  <si>
    <t>Ft. Papotti 1296A attrezz. Cucina varia</t>
  </si>
  <si>
    <t>Ft. Marini Paolo 387A 2 carrelli INOX</t>
  </si>
  <si>
    <t>Ft. Thermocup 579A cofanetti pasti</t>
  </si>
  <si>
    <t>Ft. Thermocup 244A cofanetti pasti</t>
  </si>
  <si>
    <t>Ft. Thermocup 377A cofanetti pasti</t>
  </si>
  <si>
    <t>Ft. Medea 1180A termometro Genius</t>
  </si>
  <si>
    <t>Ft. Taddei 383A 2 estintori con cartelli</t>
  </si>
  <si>
    <t>Ft. Taddei 840A materiale vario sicurezza</t>
  </si>
  <si>
    <t>Ft. Rizzi S. 1303A sgorbie ortopediche</t>
  </si>
  <si>
    <t>Ft. Grandimpianti 1292A motocompressore</t>
  </si>
  <si>
    <t>TERRENI</t>
  </si>
  <si>
    <t>TOTALE COMPLESSIVO TERRENI</t>
  </si>
  <si>
    <t>Ft. Bertolucci 1134A donazione</t>
  </si>
  <si>
    <t>Ft. Biaggi 36F pratihe catastali</t>
  </si>
  <si>
    <t>Ft. Mastercold 123A manut. frigo</t>
  </si>
  <si>
    <t>Ft. Mastercold 791A manut. frigo</t>
  </si>
  <si>
    <t>Ft. CEM 790A manut. elettroterapia</t>
  </si>
  <si>
    <t>Ft. Pasini 436A manut Rsa</t>
  </si>
  <si>
    <t>Ft. Mazzocchi 688A manut Rsa</t>
  </si>
  <si>
    <t>Ft. Varie sicurezza 626</t>
  </si>
  <si>
    <t>MOBILI E MACCHINE UFFICIO</t>
  </si>
  <si>
    <t>TOTALE COMPLESSIVO MOBILI E MACCH. UFFICIO</t>
  </si>
  <si>
    <t xml:space="preserve">FABBRICATI </t>
  </si>
  <si>
    <t>Terreno RSA Bianchi (valore catastale)</t>
  </si>
  <si>
    <t>ATTREZZATURE E STRUMENTI VARI</t>
  </si>
  <si>
    <t>MACCHINE ELETTRONICHE</t>
  </si>
  <si>
    <t>ARREDAMENTO</t>
  </si>
  <si>
    <t>IMPIANTI SPECIFICI</t>
  </si>
  <si>
    <t xml:space="preserve">totale altri beni   </t>
  </si>
  <si>
    <t>Immobilizzazioni immateriali</t>
  </si>
  <si>
    <t>Altri oneri pluriennali</t>
  </si>
  <si>
    <t xml:space="preserve">Manutenzioni su beni di terzi </t>
  </si>
  <si>
    <t>totale</t>
  </si>
  <si>
    <t>Arred. Direttore Generale (Manerba)</t>
  </si>
  <si>
    <t>n° 2 porte ingresso CAG (Pedrioli P.)</t>
  </si>
  <si>
    <t>Banco bar (usato) CAG (Sat arred.)</t>
  </si>
  <si>
    <t>Citofono e cavi infermeria RSA</t>
  </si>
  <si>
    <t>Impianto chiamata e plafoniera RSA</t>
  </si>
  <si>
    <t>Ft. MB 76A Affettatrice Celme</t>
  </si>
  <si>
    <t>Ft. Newair 1022A Pompa calore Aermec</t>
  </si>
  <si>
    <t>Cassaforte a muro ragioneria (Manerba)</t>
  </si>
  <si>
    <t>TVC Mivar 14'' Rsa (Uber)</t>
  </si>
  <si>
    <t>n.30 cofanetti monopasto (Thermocup)</t>
  </si>
  <si>
    <t>n.3 Gazebo n.2 tavoli CDI (Centro Casalinghi)</t>
  </si>
  <si>
    <t>CDI</t>
  </si>
  <si>
    <t>n.1 tavolo n.2 portariviste (Paola Rossi)</t>
  </si>
  <si>
    <t>n.1 tel. cordless CDI</t>
  </si>
  <si>
    <t>Asi n.4 PC usati ft.75F</t>
  </si>
  <si>
    <t>Olitech n.1 PC (Enaip)</t>
  </si>
  <si>
    <t>Software Presenze TF50 ft 20A</t>
  </si>
  <si>
    <t>Software Qualità Logos ft 679A</t>
  </si>
  <si>
    <t>ASI  Office 2000 ft 74F</t>
  </si>
  <si>
    <t>Arredamento Dormitorio (Mercatone)</t>
  </si>
  <si>
    <t>MN539164</t>
  </si>
  <si>
    <t>CAH</t>
  </si>
  <si>
    <t>SEAT MARBELLA (demolite 05-09-2001 - nessuna rilevazione)</t>
  </si>
  <si>
    <t>Ft. ASI 400A Realizz. Pagine Web</t>
  </si>
  <si>
    <t>CBA Software presenze W95 ft.79F</t>
  </si>
  <si>
    <t>AZIENDA</t>
  </si>
  <si>
    <t>CBA timbratore ft.79F</t>
  </si>
  <si>
    <t>Sidera ft. 81f Moduli Ram n.8</t>
  </si>
  <si>
    <t>ASI  ft. 14F n° 7 PC + stampante (riscatto)</t>
  </si>
  <si>
    <t>n. 1 Tv 28'' (Topvision)</t>
  </si>
  <si>
    <t>Attrezzi vari per legno (Stanghellini)</t>
  </si>
  <si>
    <t>n.1 scaffale cucina 4 piani (Marini P.)</t>
  </si>
  <si>
    <t>RISTO</t>
  </si>
  <si>
    <t>n.1 lettore Cd (Uber)</t>
  </si>
  <si>
    <t>n.1 asciugatrice elettr. (Global Trade)</t>
  </si>
  <si>
    <t>Citofono pulsantiera esterno  RSA (Gabbioli)</t>
  </si>
  <si>
    <t>PENS</t>
  </si>
  <si>
    <t>Armadio metallo (Talassi S.r.l.)</t>
  </si>
  <si>
    <t>Armadio spogliatoio (Talassi S.r.l.)</t>
  </si>
  <si>
    <t>Arredamento cucina (Marini Paolo)</t>
  </si>
  <si>
    <t>Scaffale da cucina (Marini Paolo)</t>
  </si>
  <si>
    <t>Arredamento Pensionato (Millenium S.r.l.)</t>
  </si>
  <si>
    <t>PENS.SOCIALE</t>
  </si>
  <si>
    <t>Arredi sala da pranzo (Snell spa)</t>
  </si>
  <si>
    <t>Finestre in alluminio (Mantua Alluminio)</t>
  </si>
  <si>
    <t>Ft. Grandimpianti 418/A Frigorifero+prod.ghiacc</t>
  </si>
  <si>
    <t>Ft. MB 417/A Lavastoviglie Elframo</t>
  </si>
  <si>
    <t>Ft. Kent Srl 747/A Lavacentrifuga Topline 7500</t>
  </si>
  <si>
    <t>Ft. Molinari Roberto Elettrocardiografo Delta 60</t>
  </si>
  <si>
    <t>Ft. Kent Srl 1559/A Attrezzatura Lavanderia</t>
  </si>
  <si>
    <t>DORM./PENS.SOCIALE 1° LOTTO</t>
  </si>
  <si>
    <t>DORM./PENS.SOCIALE 2° LOTTO</t>
  </si>
  <si>
    <t>C.A.G.  BAR</t>
  </si>
  <si>
    <t>DORMITORIO SISTEM. STRAORDINARIA</t>
  </si>
  <si>
    <t>FIAT PANDA (data al comune da qualche anno - nessuna rilevazione)</t>
  </si>
  <si>
    <t>Armadio frigorifero (Manerba Spa)</t>
  </si>
  <si>
    <t>Letti e materassi (Manerba Spa)</t>
  </si>
  <si>
    <t>Letto + armadio + comodino (Manerba Spa)</t>
  </si>
  <si>
    <t>Cucina completa di tavoli,sedie,armadi (Milleniu)</t>
  </si>
  <si>
    <t>Bagno (Pasini Impianti)</t>
  </si>
  <si>
    <t>N.8 teli tende ignifughe (Rizzioli Raffaele)</t>
  </si>
  <si>
    <t>N.3 armadio spogliatoio (Piemme srl)</t>
  </si>
  <si>
    <t>Poltrona + parete + tende (Manerba) - Nota accr.</t>
  </si>
  <si>
    <t>Arredamento 5° e 6° piano (Manerba Spa)</t>
  </si>
  <si>
    <t>N.5 tende veneziane (Danesi Fabio)</t>
  </si>
  <si>
    <t>RISTORAZ.</t>
  </si>
  <si>
    <t>Ft. N.329/A Carrello hupper (Arimar)</t>
  </si>
  <si>
    <t>Ft. N.402/A refrigeratore di acqua (Climat srl)</t>
  </si>
  <si>
    <t>Ft. N. 403/A testata+cartuccia (Climat srl)</t>
  </si>
  <si>
    <t>Ft. N. 653/A sollevatore+guanciale (Demarta)</t>
  </si>
  <si>
    <t>Ft. N. 702/A n.4 container biancheria (Karrel)</t>
  </si>
  <si>
    <t>Ft. N. 736/A n.3 refrigeratori di acqua (Climat)</t>
  </si>
  <si>
    <t>Ft. N. 737/A testate+cartucce (Climat)</t>
  </si>
  <si>
    <t>Ft. N. 776/A n.3 carrelli (Karrel srl)</t>
  </si>
  <si>
    <t>Ft. N. 851/A n.1 carrello (Karrel srl)</t>
  </si>
  <si>
    <t>Ft. N. 860/A n.120 coperte (Demarta Virginio)</t>
  </si>
  <si>
    <t>Ft. N. 884/A n.2 elettrocardiografi (Molinari)</t>
  </si>
  <si>
    <t xml:space="preserve">Ft. N. 912/A n.3 carrelli di emergenza piani </t>
  </si>
  <si>
    <t>Ft. N. 988/A ferro (Bat sas)</t>
  </si>
  <si>
    <t>Ft. N. 987/A tela+telo+mollettone (Bat sas)</t>
  </si>
  <si>
    <t>Ft. N. 1042/A n.3 sollevatori (Demarta Virginio)</t>
  </si>
  <si>
    <t>N.4 climatizzatori RSA (Guido Perondini)</t>
  </si>
  <si>
    <t>Fornitura e posa imp.raffrescamento (Perond.)</t>
  </si>
  <si>
    <t>Installaz.impianto porta sicurezza (Gabbioli)</t>
  </si>
  <si>
    <t>Stampante "HP" Deskjet 1220C (Systemcopy)</t>
  </si>
  <si>
    <t>COMUNI</t>
  </si>
  <si>
    <t>Stampante "HP" Ink-jet 990 cxi (Systemcopy)</t>
  </si>
  <si>
    <t>Fax Panasonic Kx 501 (Systemcopy)</t>
  </si>
  <si>
    <t>Stampante "HP" 2200 (Aglietta)</t>
  </si>
  <si>
    <t>Ft. N. 1168/A Transpallet clarex cx2 (Veral Lift)</t>
  </si>
  <si>
    <t>Passaggio Pollicino</t>
  </si>
  <si>
    <t>n.1 Tv 28" (Dalmaschio)</t>
  </si>
  <si>
    <t>N.5 telefoni cordless siemens (Systemcopy)</t>
  </si>
  <si>
    <t>COSTI COMUNI</t>
  </si>
  <si>
    <t>Attrezzatura per cucina (Coop.)</t>
  </si>
  <si>
    <t>Attrezzatura per cucina (Papotti)</t>
  </si>
  <si>
    <t>RISTORAZIONE</t>
  </si>
  <si>
    <t>Attrezzatura per cucina (Sibar srl)</t>
  </si>
  <si>
    <t>CBA Software stipendi W95 ft.50 F</t>
  </si>
  <si>
    <t>Dott.Giuffrè Editore Dvd Juris ft.105 f</t>
  </si>
  <si>
    <t>Spg Consulting snc Software antivirus ft. 157f</t>
  </si>
  <si>
    <t>DORM./PENS.SOCILAE 1° LOTTO</t>
  </si>
  <si>
    <t>DORM./PENS. SOCIALE 2° LOTTO</t>
  </si>
  <si>
    <t>ASI posta elettronica ft.82F</t>
  </si>
  <si>
    <t>Red Telematica Snc server ft. 148 f</t>
  </si>
  <si>
    <t>N.20 poltrone 900 impil. (Grand Soleil S.p.A.)</t>
  </si>
  <si>
    <t>N.2 Porte antipanico (Salmistraro Antonio)</t>
  </si>
  <si>
    <t>N.4 tende veneziane (Ganda arredamenti)</t>
  </si>
  <si>
    <t>Vasca da bagno (Arjo Italia S.p.A.)</t>
  </si>
  <si>
    <t>N.52 materassi (Centro del Materasso)</t>
  </si>
  <si>
    <t>N.3 mobile scaldapiatti acciaio(Manerba)</t>
  </si>
  <si>
    <t>RSA - L.BIANCHI</t>
  </si>
  <si>
    <t>N.55 guanciali (Demarta Virginio)</t>
  </si>
  <si>
    <t>Tavolo da ping-pong (Toys-Holding dei Giochi)</t>
  </si>
  <si>
    <t>Sportello copricontatore (Salmistraro Antonio)</t>
  </si>
  <si>
    <t>Ft. N. 205/A testate+cartucce (Climat)</t>
  </si>
  <si>
    <t>Ft. N. 347/A ciclocamera (Maccari Farmaceutici)</t>
  </si>
  <si>
    <t>Ft. N. 384/A attrezzatura a pressione (Maccari)</t>
  </si>
  <si>
    <t>Ft. N. 52-53/E lavatrice (Unieuro)</t>
  </si>
  <si>
    <t>AGENZIA LOCAZ.</t>
  </si>
  <si>
    <t>Ft. N. 459/A letto ambul. Valigia pieghevole (Maccari)</t>
  </si>
  <si>
    <t>N.1 cordless siemens (IDM Snc)</t>
  </si>
  <si>
    <t>N.1 ventilatore da tavolo (Ferramenta Padana)</t>
  </si>
  <si>
    <t>Ft. N. 597/A Frullatore completo (Sibar srl)</t>
  </si>
  <si>
    <t>Ft. N.696/A n.2 ombrelloni (Ferramenta Padana)</t>
  </si>
  <si>
    <t>Ft. N. 126/E lavatrice (Unieuro)</t>
  </si>
  <si>
    <t>N.1 Televisione Smsung (Unieuro)</t>
  </si>
  <si>
    <t>Ft. N. 989/A N.3 carrelli termici per cucina (Fimi Srl)</t>
  </si>
  <si>
    <t>RIST.L.BIANCHI</t>
  </si>
  <si>
    <t>Ft. N. 1036/A n.1 lavatrice (Unieuro)</t>
  </si>
  <si>
    <t>C.A.H.</t>
  </si>
  <si>
    <t>Ft. N. 1167/A n.15 carrelli medicazione (Karrel Srl)</t>
  </si>
  <si>
    <t>RSA L.BIANCHI</t>
  </si>
  <si>
    <t>N.11Telefoni Bca+cordless (IDM Snc)</t>
  </si>
  <si>
    <t>N.21climatizzatori RSA (Guido Perondini)</t>
  </si>
  <si>
    <t>Installaz.impianto lampade di emergenza (Gabbioli)</t>
  </si>
  <si>
    <t>Rivestimento montavivande (Shindler S.p.a.)</t>
  </si>
  <si>
    <t>N. 1 climatizzatore RSA (Guido Perondini)</t>
  </si>
  <si>
    <t>N. 4 climatizzatori RSA (Guido Perondini)</t>
  </si>
  <si>
    <t>N. 1 montalettighe antincendio RSA (AireLift)</t>
  </si>
  <si>
    <t>Interventi straord.imp.condiz.RSA (Sauber Snc)</t>
  </si>
  <si>
    <t>N.6 personal computer + N.6 monitor (Solution S.r.l.)</t>
  </si>
  <si>
    <t>N 1 stampante Epson stylus cx 5002 (Net solutions)</t>
  </si>
  <si>
    <t>N 1 stampante HP Officejet PSC 2210 (Net solutions)</t>
  </si>
  <si>
    <t>Modem averycom (SPG Consulting)</t>
  </si>
  <si>
    <t xml:space="preserve">N 1 Personal computer MORPC (Net Solutions) </t>
  </si>
  <si>
    <t>N 1 Notebook (EXEA s.r.l )</t>
  </si>
  <si>
    <t>N 1 fotocopiatore digitale kyocera (Sistemcopy)</t>
  </si>
  <si>
    <t>Calcolatrice Casio (Gem)</t>
  </si>
  <si>
    <t>DORM./PENS. SOCIALE 1° LOTTO</t>
  </si>
  <si>
    <t>C.A.G. ALLACIAMENTO TELERISCALDAMENTO</t>
  </si>
  <si>
    <t>C.AG. SDOPPIAMENTO IMPIANTO TELERISC.</t>
  </si>
  <si>
    <t>C.A.G. LAVORI IMPIANTO TELERISCALDAM.</t>
  </si>
  <si>
    <t>Programma SOSIA (CBA) Ft.774/A</t>
  </si>
  <si>
    <t>Modem (Vega Spa)</t>
  </si>
  <si>
    <t>Dott.Giuffrè Editore Dvd Maior ft.68 F</t>
  </si>
  <si>
    <t>C.A.H. V.LE GORIZIA SOSTITUZ.INFISSI</t>
  </si>
  <si>
    <t xml:space="preserve">POLLICINO </t>
  </si>
  <si>
    <t>N.1 Fioriera (Bonini Fiori)</t>
  </si>
  <si>
    <t>SCRIVANIA+CASSETTIERA UFF.RAG.(Manerba)</t>
  </si>
  <si>
    <t>Ft. N. 1/E attrezzatura cucina (Il Mercatone)</t>
  </si>
  <si>
    <t>Ft. N. 2/E attrezzatura cucina (Ferri Srl)</t>
  </si>
  <si>
    <t>Ft. N. 3/E attrezzatura varia (Zanoni)</t>
  </si>
  <si>
    <t>Ft. N. 6/A Lavagna adesivo ( Ica Srl)</t>
  </si>
  <si>
    <t>Calcolatrice Casio (Ica)</t>
  </si>
  <si>
    <t>NUOVA PANDA DYNAMIC 4P</t>
  </si>
  <si>
    <t>DOBLO' DYNAMIC</t>
  </si>
  <si>
    <t>CASSETTIERA PER CARTELLE IN SOSPESO</t>
  </si>
  <si>
    <t>LUIGI BIANCHI</t>
  </si>
  <si>
    <t>C.A.G. POSA PARETI CARTONGESSO</t>
  </si>
  <si>
    <t>C.A.G.</t>
  </si>
  <si>
    <t>FARMACIA DUE PINI VIALE POMPILIO,30</t>
  </si>
  <si>
    <t>L.BIANCHI</t>
  </si>
  <si>
    <t>Ft.N.21/H N.1 apparecchio ECG DELTA (Molinari Snc)</t>
  </si>
  <si>
    <t>Ft.n.25/H n.4 comoda grazia 777 basuc - carrozzine</t>
  </si>
  <si>
    <t>Ft.n.26/H n.1 barella portasalme completa carrello</t>
  </si>
  <si>
    <t>Ft.n.33/H n.1aspiratore+n.1 aerosol+n.4 otoscopio</t>
  </si>
  <si>
    <t>Ft.n.35/H n.1 container trasp.biancheria (Karrel srl)</t>
  </si>
  <si>
    <t>I.D'ESTE</t>
  </si>
  <si>
    <t>Ft.n.35/H n.1 porta sacco inox (Karrel srl)</t>
  </si>
  <si>
    <t>Ft.n.420/A attrezzatura I.D'Este (Puliart)</t>
  </si>
  <si>
    <t>Ft.n.65/E n.1 lavatrice + n.1 stufa cucina (Unieuro)</t>
  </si>
  <si>
    <t>Ft.n.469/A n.1 lavastoviglie (Unieuro)</t>
  </si>
  <si>
    <t>Ft.n.522/A n.2 frigorifero porta medicinale (Piardi Srl)</t>
  </si>
  <si>
    <t>Ft.n.83/E n.4 frigoriferi (Unieuro)</t>
  </si>
  <si>
    <t>DORMITORIO</t>
  </si>
  <si>
    <t>Ft.n.570/A n.1 lavastoviglie (Cirelli Snc)</t>
  </si>
  <si>
    <t>Ft.n.67/H bacinelle+attrezzatura cucina (Cirelli)</t>
  </si>
  <si>
    <t>Ft.n.80/H n.2 aspiratori portatili+aerosol (Maho Srl)</t>
  </si>
  <si>
    <t>Ft.103/E n.1 estintore (TVL)</t>
  </si>
  <si>
    <t>Ft.n.754/A-Nota accr.779/A compressore (Maccari)</t>
  </si>
  <si>
    <t>Ft.n.104/H parallela 3 mt. (Elba elettromedicali Srl)</t>
  </si>
  <si>
    <t xml:space="preserve">Ft.n.135/H n.5 carrozzine + cuscini (Maccari) </t>
  </si>
  <si>
    <t>Ft.n.945/A cuocipasta a gas (Grandimpianti Snc)</t>
  </si>
  <si>
    <t>Ft.n.945/A brasiera ribaltabile (Grandimpianti Snc)</t>
  </si>
  <si>
    <t>Ft.n.990/A n.5 carrelli + porta sacco (Karrel Srl)</t>
  </si>
  <si>
    <t xml:space="preserve">Ft.n.148/H n.6 estintori </t>
  </si>
  <si>
    <t>Ft.n.1050/A n.2 tavola da stiro lavanderia (Kent Srl)</t>
  </si>
  <si>
    <t>Ft.n.1102/A n.2 sfigmo + n.2 aerosol (Maccari)</t>
  </si>
  <si>
    <t xml:space="preserve">Ft.n.1142/A n.1 frullatore </t>
  </si>
  <si>
    <t>Ft.n.1154/A n.2 bidoni aspirapolvere (Ferram.Padana</t>
  </si>
  <si>
    <t>Ft.n.166/H n. carrello bombole (Ferramenta Padana)</t>
  </si>
  <si>
    <t>Ft.n.178/H n.1 bilancia a poltrona pesapersona (Arim)</t>
  </si>
  <si>
    <t>Ft.n.1296/A n.5 carrozzine (Maccari Srl)</t>
  </si>
  <si>
    <t>N.1 Telefax brother 8070 (Systemcopy)</t>
  </si>
  <si>
    <t>L.Bianchi</t>
  </si>
  <si>
    <t>N.1 Fotocopiatore Sharp ARM205 (Art Copy)</t>
  </si>
  <si>
    <t>Fioriere cm.100 in resina (Bonini Fiori)</t>
  </si>
  <si>
    <t>Armadio spogliatoio (Manerba Spa)</t>
  </si>
  <si>
    <t>Lavello+tavolo+cucina (Paolo Marini)</t>
  </si>
  <si>
    <t>N.1 armadio 4 piano (Manerba Spa)</t>
  </si>
  <si>
    <t>Cassettiere+armadio+armadietto (Manerba Spa)</t>
  </si>
  <si>
    <t>Fornitura serramenti in alluminio (Salmistraro Antonio)</t>
  </si>
  <si>
    <t>Carrello+scarpiera+poltroncina (Manerba Spa)</t>
  </si>
  <si>
    <t>N.1 cassettiera (GEM snc)</t>
  </si>
  <si>
    <t>Interventi elettrici RSA (Gabbioli Snc)</t>
  </si>
  <si>
    <t>Lavori impianto elettrico (Gabbioli)</t>
  </si>
  <si>
    <t>N.15 climatizzatori Olimpia (Guido Perondini)</t>
  </si>
  <si>
    <t>Sollevatore piscina (Elba elettromedicali)</t>
  </si>
  <si>
    <t>Flussometri (Sapio lifa Srl)</t>
  </si>
  <si>
    <t>N.2 telefoni + collegamento cavi (IDM Snc)</t>
  </si>
  <si>
    <t>N.2 cordless Siemens (Systemcopy S.a.s.)</t>
  </si>
  <si>
    <t xml:space="preserve">Disco per attrezzatura </t>
  </si>
  <si>
    <t>N.2 Cordless Siemens (I.D.M. Snc)</t>
  </si>
  <si>
    <t>Tavolo pc</t>
  </si>
  <si>
    <t>Radioregistratore Philips (Unieuro)</t>
  </si>
  <si>
    <t>Tavolo per televisione (Unieuro)</t>
  </si>
  <si>
    <t>N.3 zanzariere fisse (Salmistraro Antonio)</t>
  </si>
  <si>
    <t>N.4 compressori e materassi (Maccari Farmaceutici)</t>
  </si>
  <si>
    <t>Coprimaterasso (La Regginflex Snc)</t>
  </si>
  <si>
    <t>Cuscini ignifughi (Perferman Snc)</t>
  </si>
  <si>
    <t>Celle d'aria antidecubito (Demarta Snc)</t>
  </si>
  <si>
    <t>N.1 appendiabiti (Manerba Spa)</t>
  </si>
  <si>
    <t>N.2 computer (Exea Srl)</t>
  </si>
  <si>
    <t>N.5 personal computer MORPC (Net Solutions)</t>
  </si>
  <si>
    <t>Gruppo di continuità UPS ELSIST ONDA (Net Solution)</t>
  </si>
  <si>
    <t>N.2 workstation (Vestasoft S.r.l.)</t>
  </si>
  <si>
    <t>N.1 server Maestra dual xeon 742 (Vestasoft S.r.l.)</t>
  </si>
  <si>
    <t>N.1 monitor PGE GNR 17" CRT (Vestasoft S.r.l.)</t>
  </si>
  <si>
    <t>N.1 Hard disk maxtor 40MB (Attitude Srl)</t>
  </si>
  <si>
    <t>N.1 computer + monitor ATX MIDI TOWER (Vestasoft)</t>
  </si>
  <si>
    <t>Dott.Giuffrè Editore Dvd Major ft.54 F</t>
  </si>
  <si>
    <t>SCUDO COMBI JTD 8P (VERIFICARE IVA)</t>
  </si>
  <si>
    <t>Sito web caglunetta.org (attitude srl)</t>
  </si>
  <si>
    <t>Software inventario (CBA)</t>
  </si>
  <si>
    <t>N.1 telefono Alcatel (I.D.M. Snc)</t>
  </si>
  <si>
    <t>Ft.n.27/e fornitura e posa nuova antenna Tv (Gabbiol</t>
  </si>
  <si>
    <t>PENSIONATO</t>
  </si>
  <si>
    <t>Ft.n.415/a sostituz.motore pelapatate (Cat-Grim)</t>
  </si>
  <si>
    <t>N.6 collegamenti elettrici in stanze (Gabbioli)</t>
  </si>
  <si>
    <t>ALLOGGIO VIA JUVARA DEMOLIZIONE BAGNO</t>
  </si>
  <si>
    <t>Sostituzione scheda elettronica elevatore (Otis)</t>
  </si>
  <si>
    <t>ALLOGGIO VUA JUVARA RICERCA PERDITA</t>
  </si>
  <si>
    <t>N.2 punti rete + n.1 punto telefonico ( IDM snc)</t>
  </si>
  <si>
    <t>Ft.n.1412/a n.7 citofoni (ILMA Snc)</t>
  </si>
  <si>
    <t>Costi pluriennali Farmacie Mantovane Srl</t>
  </si>
  <si>
    <t>Ft.consulente perizia per Farmacie</t>
  </si>
  <si>
    <t>Ft.avvocato gara per Farmacie</t>
  </si>
  <si>
    <t>Ft.Consulente tecnico per L.Bianchi</t>
  </si>
  <si>
    <t>Ft.assistenza informatica per L.Bianchi</t>
  </si>
  <si>
    <t>Ft.Sicurezza e adempimenti 626 L.Bianchi</t>
  </si>
  <si>
    <t>VALORE 31/12/05</t>
  </si>
  <si>
    <t xml:space="preserve">Furgone Mercedes </t>
  </si>
  <si>
    <t>AY573AZ</t>
  </si>
  <si>
    <t>FARMACIA DUE PINI INSEGNA E CITOFONO</t>
  </si>
  <si>
    <t>FARMACIA DUE PINI IMPIANTO POSTAZ.LAV.</t>
  </si>
  <si>
    <t>FARMACIA DUE PINI IMPIANTO ALLARME</t>
  </si>
  <si>
    <t>PROGETTAZIONE FARMACIA DUE PINI</t>
  </si>
  <si>
    <t>PROGETTAZ. IMP.ELETTR.FARMACIA DUE PINI</t>
  </si>
  <si>
    <t>LAVORI DI ADEGUAMENTO FARMACIA 2 PINI</t>
  </si>
  <si>
    <t>LAVORI EDILI PER INSEGNA FARMACIA 2 PINI</t>
  </si>
  <si>
    <t>ONORARIO ELABORAZ.COMPUTO METRICO</t>
  </si>
  <si>
    <t>LAVORI SPORTELLO PASSA MEDICINALI F2P</t>
  </si>
  <si>
    <t>LAVORI INFERRIATE FINESTRE FARM.DUE PINI</t>
  </si>
  <si>
    <t>LAVORI IMPIANTI ELETTRICI C.A.G.</t>
  </si>
  <si>
    <t>OPERE TRASFORM. UFFICIO - APPARTAM. F2P</t>
  </si>
  <si>
    <t>LAVORI MODIFICA IMP.ELETTR.APPART.F2P</t>
  </si>
  <si>
    <t>Ft.n.93/a carrello termico (Fimi Srl)</t>
  </si>
  <si>
    <t>Ft.n.106/a penna ottica Chiperlab farmacia I.D'Este</t>
  </si>
  <si>
    <t>Ft.n.317/a n.2 carrelli cromati (Firma Srl)</t>
  </si>
  <si>
    <t>Ft.n.343/a box fisioterapia (Manerba)</t>
  </si>
  <si>
    <t>Ft.n.364/a lettini e attrezzi per palestra (Elba)</t>
  </si>
  <si>
    <t>Ft.n.18/e n.2 frigoriferi ( Unieuro )</t>
  </si>
  <si>
    <t>AGENZ.LOCAZ.</t>
  </si>
  <si>
    <t>Ft.n.448/a forno elettrico (Euronics)</t>
  </si>
  <si>
    <t>Ft.n.456/a Cyclette + strumenti fisioterapia (Molinari)</t>
  </si>
  <si>
    <t>Ft.n.465/a strumenti elettrom.fisioterapia (Elettromed.)</t>
  </si>
  <si>
    <t>Ft.n.565/a n.5 vassoi colazione (Givigomma)</t>
  </si>
  <si>
    <t>Ft.n.585/a porta rotolo carta fisioterapia (Elba)</t>
  </si>
  <si>
    <t>FISIOTERAPIA</t>
  </si>
  <si>
    <t>Ft.n.604/a n.3 compressori (Demarta)</t>
  </si>
  <si>
    <t>Ft.n.665/a defibrillatore x fisioterapia (Medea)</t>
  </si>
  <si>
    <t>Ft.n.678/a scala deambulazione,podoscopio (Elba)</t>
  </si>
  <si>
    <t>Ft.n.713/a carrello emergenza (Exper)</t>
  </si>
  <si>
    <t>Ft.n.716/a frigorifero per farmaci (Piardi Srl)</t>
  </si>
  <si>
    <t>Ft.n.736/a serbatoio rete idrante (Perondini)</t>
  </si>
  <si>
    <t>Ft.n.753/a carrello per sala pranzo (Karrel)</t>
  </si>
  <si>
    <t>Ft.n.783/a n.2 lavapadelle (Sanix Spa)</t>
  </si>
  <si>
    <t>Ft.n.803/a caldaia Eurotherm Mea (Perondini)</t>
  </si>
  <si>
    <t>Ft.n.837/a frigorifero per farmaci (Piardi)</t>
  </si>
  <si>
    <t>Ft.n.1102/a carrello scaldapiatti (Adige Grandimpianti)</t>
  </si>
  <si>
    <t>Ft.n.1106/a armadio frigorifero (Paolo Marini)</t>
  </si>
  <si>
    <t>Ft.n.254/b vetrata in alluminio con porta trasporto prot</t>
  </si>
  <si>
    <t>Ft.n.1245/a carrello termico (Fimi Srl)</t>
  </si>
  <si>
    <t>Ft.n.1250/a frigorifero (Climat Srl)</t>
  </si>
  <si>
    <t>Ft.n.1285/a n.5 tavoli servitori termoformato (Karrel)</t>
  </si>
  <si>
    <t>Ft.n.1286/a n.2 carrelli + n.1 armadio (Karrel)</t>
  </si>
  <si>
    <t>Ft.n.14/h cassaforte mobile fiosioterapia (Ferram.Pad)</t>
  </si>
  <si>
    <t>Ft.n.1433/a lavastoviglie (Paolo Marini)</t>
  </si>
  <si>
    <t>Ft.n.1595/a portabombole (Oper fer )</t>
  </si>
  <si>
    <t>Ft.n.1642/a casco asciugacapelli (Coop.Parrucch.)</t>
  </si>
  <si>
    <t>Ft.393/b copritermo (Top Film Srl)</t>
  </si>
  <si>
    <t>Ft.n.401/b batteria+casse+amplificatori (Centro Music</t>
  </si>
  <si>
    <t>Ft.n.1704/a cassaforte ragioneria (Ferramenta Pada)</t>
  </si>
  <si>
    <t>N.1 PC + N.2 monitor (Vestasoft)</t>
  </si>
  <si>
    <t>N.1 tastiera telefonino Qtek (Computercity Srl)</t>
  </si>
  <si>
    <t>N.1 computer + stampante + monitor (Vestasoft)</t>
  </si>
  <si>
    <t>N.1 televisione + registratore DVD (Unieuro)</t>
  </si>
  <si>
    <t>N.1 tastiera Samsung (Vestasoft)</t>
  </si>
  <si>
    <t>N.1 stampante HP deskjet (Vestasoft)</t>
  </si>
  <si>
    <t>N.1 forocamera digitale Canon (Unieuro)</t>
  </si>
  <si>
    <t>N.1 pc + n.2 stampanti + n.1 monitor (Vestasoft)</t>
  </si>
  <si>
    <t>N.3 telefoni Alcatel (IDM)</t>
  </si>
  <si>
    <t>Riscatto telefoni in leasing (Teleleasing)</t>
  </si>
  <si>
    <t>N.1 televisione Roadstar (Unieuro)</t>
  </si>
  <si>
    <t>N.2 cordless (Systemcopy)</t>
  </si>
  <si>
    <t>N.1 cordless (Systemcopy)</t>
  </si>
  <si>
    <t>N.2 armadi (Manerba Spa)</t>
  </si>
  <si>
    <t>N.2 scrivanie+ carter e appendiabiti (Manerba)</t>
  </si>
  <si>
    <t>N.10 materassi (Dermata Virginio)</t>
  </si>
  <si>
    <t>Armadio presidenza (Manerba)</t>
  </si>
  <si>
    <t>N.2 poltrone Farmacia due Pini (Manerba)</t>
  </si>
  <si>
    <t xml:space="preserve">Arredamento TH.KOHL per Farmacia Due Pini </t>
  </si>
  <si>
    <t>N.10 cuscini (Perferman)</t>
  </si>
  <si>
    <t>Mensole per mobili (Brico center Spa)</t>
  </si>
  <si>
    <t>N.3 armadi (Manerba)</t>
  </si>
  <si>
    <t>N.1 armadio 4 ante ( Salmistraro)</t>
  </si>
  <si>
    <t>N.10 sedie (Manerba)</t>
  </si>
  <si>
    <t>N.10 aste solleva malati (Givas Srl)</t>
  </si>
  <si>
    <t>N.10 tavoli in legno (C.L.A. Spa )</t>
  </si>
  <si>
    <t>N.1 portabiti (Gem)</t>
  </si>
  <si>
    <t>Mobili Perla Office Srl</t>
  </si>
  <si>
    <t>Cassettiera + pensile + tavolo (Cirelli Snc)</t>
  </si>
  <si>
    <t>N.1 scrivania + cassettiera (Manerba)</t>
  </si>
  <si>
    <t>Vetrata in alluminio + serramento (Salmistraro)</t>
  </si>
  <si>
    <t>N.4 armadi per archivi (Talassi Srl)</t>
  </si>
  <si>
    <t>N.30 sedie con braccioli (C.L.A. Spa)</t>
  </si>
  <si>
    <t>N.1 impianto controllo accessi con lettori (Centro Mat)</t>
  </si>
  <si>
    <t>N.1 climatizzatore settore farmacia (Perondini)</t>
  </si>
  <si>
    <t>N.7 climatizzatori (Perondini)</t>
  </si>
  <si>
    <t>N.1 climatizzatore  (Perondini)</t>
  </si>
  <si>
    <t>Installazione videocitofoni ingresso (Gabbioli)</t>
  </si>
  <si>
    <t>Ft.n.9/h Bilancia orologio + statimetro (Elba)</t>
  </si>
  <si>
    <t>Software (Abax)</t>
  </si>
  <si>
    <t>Sofware rilevaz.presenze + ammortam.(CBA)</t>
  </si>
  <si>
    <t>DVD Major Dott.Giuffrè Editore</t>
  </si>
  <si>
    <t xml:space="preserve">Software SAD + analisi (Attitude) </t>
  </si>
  <si>
    <t>SAD</t>
  </si>
  <si>
    <t>Programma gestionale convenz.ASL (Microsil)</t>
  </si>
  <si>
    <t>Firewall (Attitude)</t>
  </si>
  <si>
    <t>Aggiornamento software (Elettroservice Snc)</t>
  </si>
  <si>
    <t>Sviluppo sofware SOSIA (Attitude)</t>
  </si>
  <si>
    <t>RSA - I.D'ESTE</t>
  </si>
  <si>
    <t>FIAT PUNTO (TRASPORTO)</t>
  </si>
  <si>
    <t>CN305WS</t>
  </si>
  <si>
    <t>CN374WS</t>
  </si>
  <si>
    <t>CN656WS</t>
  </si>
  <si>
    <t>CN877WS</t>
  </si>
  <si>
    <t>CL527PF</t>
  </si>
  <si>
    <t>AREA MINORI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</si>
</sst>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;[Red]#,##0"/>
    <numFmt numFmtId="172" formatCode="#,##0_ ;\-#,##0\ "/>
    <numFmt numFmtId="173" formatCode="#,##0.00_ ;\-#,##0.00\ "/>
    <numFmt numFmtId="174" formatCode="#,##0.0_ ;\-#,##0.0\ "/>
    <numFmt numFmtId="175" formatCode="#,##0.00;[Red]#,##0.00"/>
  </numFmts>
  <fonts count="2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39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41" fontId="0" fillId="0" borderId="0" xfId="19" applyAlignment="1">
      <alignment/>
    </xf>
    <xf numFmtId="41" fontId="0" fillId="0" borderId="0" xfId="0" applyNumberForma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41" fontId="3" fillId="0" borderId="0" xfId="19" applyFont="1" applyAlignment="1">
      <alignment/>
    </xf>
    <xf numFmtId="41" fontId="0" fillId="0" borderId="0" xfId="19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19" applyFont="1" applyAlignment="1">
      <alignment/>
    </xf>
    <xf numFmtId="41" fontId="0" fillId="0" borderId="0" xfId="0" applyNumberFormat="1" applyFont="1" applyAlignment="1">
      <alignment/>
    </xf>
    <xf numFmtId="0" fontId="6" fillId="0" borderId="0" xfId="0" applyFont="1" applyAlignment="1">
      <alignment/>
    </xf>
    <xf numFmtId="41" fontId="7" fillId="0" borderId="0" xfId="19" applyFont="1" applyBorder="1" applyAlignment="1">
      <alignment/>
    </xf>
    <xf numFmtId="41" fontId="0" fillId="0" borderId="0" xfId="19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right"/>
    </xf>
    <xf numFmtId="41" fontId="9" fillId="0" borderId="0" xfId="19" applyFont="1" applyAlignment="1">
      <alignment/>
    </xf>
    <xf numFmtId="0" fontId="0" fillId="2" borderId="1" xfId="0" applyFill="1" applyBorder="1" applyAlignment="1">
      <alignment vertical="center"/>
    </xf>
    <xf numFmtId="41" fontId="7" fillId="0" borderId="1" xfId="19" applyFont="1" applyBorder="1" applyAlignment="1">
      <alignment/>
    </xf>
    <xf numFmtId="41" fontId="7" fillId="0" borderId="1" xfId="19" applyFont="1" applyBorder="1" applyAlignment="1">
      <alignment horizontal="center"/>
    </xf>
    <xf numFmtId="3" fontId="3" fillId="0" borderId="0" xfId="19" applyNumberFormat="1" applyFont="1" applyAlignment="1">
      <alignment/>
    </xf>
    <xf numFmtId="0" fontId="9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1" fontId="0" fillId="0" borderId="0" xfId="19" applyAlignment="1">
      <alignment/>
    </xf>
    <xf numFmtId="41" fontId="0" fillId="0" borderId="0" xfId="19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41" fontId="6" fillId="3" borderId="3" xfId="19" applyFont="1" applyFill="1" applyBorder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1" fontId="12" fillId="0" borderId="0" xfId="19" applyFont="1" applyAlignment="1">
      <alignment/>
    </xf>
    <xf numFmtId="41" fontId="12" fillId="0" borderId="0" xfId="0" applyNumberFormat="1" applyFont="1" applyAlignment="1">
      <alignment/>
    </xf>
    <xf numFmtId="0" fontId="8" fillId="3" borderId="0" xfId="0" applyFont="1" applyFill="1" applyAlignment="1">
      <alignment horizontal="right"/>
    </xf>
    <xf numFmtId="0" fontId="3" fillId="3" borderId="0" xfId="0" applyFont="1" applyFill="1" applyAlignment="1">
      <alignment/>
    </xf>
    <xf numFmtId="41" fontId="8" fillId="3" borderId="0" xfId="19" applyFont="1" applyFill="1" applyAlignment="1">
      <alignment/>
    </xf>
    <xf numFmtId="41" fontId="8" fillId="0" borderId="0" xfId="19" applyFont="1" applyFill="1" applyAlignment="1">
      <alignment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41" fontId="14" fillId="0" borderId="1" xfId="19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41" fontId="15" fillId="0" borderId="0" xfId="19" applyFont="1" applyAlignment="1">
      <alignment/>
    </xf>
    <xf numFmtId="0" fontId="16" fillId="0" borderId="0" xfId="0" applyFont="1" applyAlignment="1">
      <alignment horizontal="left" indent="2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3" borderId="4" xfId="0" applyFont="1" applyFill="1" applyBorder="1" applyAlignment="1">
      <alignment/>
    </xf>
    <xf numFmtId="41" fontId="18" fillId="3" borderId="4" xfId="19" applyFont="1" applyFill="1" applyBorder="1" applyAlignment="1">
      <alignment/>
    </xf>
    <xf numFmtId="0" fontId="18" fillId="3" borderId="5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8" fillId="4" borderId="0" xfId="0" applyFont="1" applyFill="1" applyAlignment="1">
      <alignment horizontal="right"/>
    </xf>
    <xf numFmtId="0" fontId="3" fillId="4" borderId="0" xfId="0" applyFont="1" applyFill="1" applyAlignment="1">
      <alignment/>
    </xf>
    <xf numFmtId="41" fontId="3" fillId="4" borderId="0" xfId="19" applyFont="1" applyFill="1" applyAlignment="1">
      <alignment/>
    </xf>
    <xf numFmtId="0" fontId="0" fillId="4" borderId="0" xfId="0" applyFill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Alignment="1">
      <alignment/>
    </xf>
    <xf numFmtId="41" fontId="16" fillId="0" borderId="0" xfId="19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1" fontId="0" fillId="0" borderId="0" xfId="19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 horizontal="left" indent="2"/>
    </xf>
    <xf numFmtId="0" fontId="12" fillId="0" borderId="0" xfId="0" applyFont="1" applyFill="1" applyAlignment="1">
      <alignment horizontal="left" indent="2"/>
    </xf>
    <xf numFmtId="0" fontId="0" fillId="0" borderId="0" xfId="0" applyFont="1" applyFill="1" applyAlignment="1">
      <alignment horizontal="left" indent="2"/>
    </xf>
    <xf numFmtId="0" fontId="16" fillId="0" borderId="0" xfId="0" applyFont="1" applyFill="1" applyAlignment="1">
      <alignment horizontal="left" indent="2"/>
    </xf>
    <xf numFmtId="41" fontId="12" fillId="0" borderId="0" xfId="19" applyFont="1" applyFill="1" applyAlignment="1">
      <alignment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1" fontId="16" fillId="0" borderId="0" xfId="19" applyFont="1" applyFill="1" applyAlignment="1">
      <alignment/>
    </xf>
    <xf numFmtId="173" fontId="0" fillId="0" borderId="0" xfId="19" applyNumberFormat="1" applyAlignment="1">
      <alignment/>
    </xf>
    <xf numFmtId="173" fontId="3" fillId="0" borderId="0" xfId="19" applyNumberFormat="1" applyFont="1" applyAlignment="1">
      <alignment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173" fontId="6" fillId="3" borderId="3" xfId="19" applyNumberFormat="1" applyFont="1" applyFill="1" applyBorder="1" applyAlignment="1">
      <alignment/>
    </xf>
    <xf numFmtId="173" fontId="6" fillId="3" borderId="6" xfId="0" applyNumberFormat="1" applyFont="1" applyFill="1" applyBorder="1" applyAlignment="1">
      <alignment/>
    </xf>
    <xf numFmtId="173" fontId="0" fillId="0" borderId="0" xfId="19" applyNumberFormat="1" applyAlignment="1">
      <alignment/>
    </xf>
    <xf numFmtId="173" fontId="0" fillId="0" borderId="0" xfId="19" applyNumberFormat="1" applyFont="1" applyAlignment="1">
      <alignment/>
    </xf>
    <xf numFmtId="174" fontId="0" fillId="0" borderId="0" xfId="19" applyNumberFormat="1" applyAlignment="1">
      <alignment/>
    </xf>
    <xf numFmtId="43" fontId="12" fillId="0" borderId="0" xfId="19" applyNumberFormat="1" applyFont="1" applyAlignment="1">
      <alignment/>
    </xf>
    <xf numFmtId="43" fontId="16" fillId="0" borderId="0" xfId="19" applyNumberFormat="1" applyFont="1" applyAlignment="1">
      <alignment/>
    </xf>
    <xf numFmtId="43" fontId="15" fillId="0" borderId="0" xfId="19" applyNumberFormat="1" applyFont="1" applyAlignment="1">
      <alignment/>
    </xf>
    <xf numFmtId="43" fontId="12" fillId="0" borderId="0" xfId="19" applyNumberFormat="1" applyFont="1" applyFill="1" applyAlignment="1">
      <alignment/>
    </xf>
    <xf numFmtId="43" fontId="16" fillId="0" borderId="0" xfId="19" applyNumberFormat="1" applyFont="1" applyFill="1" applyAlignment="1">
      <alignment/>
    </xf>
    <xf numFmtId="43" fontId="18" fillId="3" borderId="4" xfId="19" applyNumberFormat="1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Alignment="1">
      <alignment/>
    </xf>
    <xf numFmtId="43" fontId="0" fillId="0" borderId="0" xfId="19" applyNumberFormat="1" applyFont="1" applyFill="1" applyAlignment="1">
      <alignment/>
    </xf>
    <xf numFmtId="43" fontId="8" fillId="3" borderId="0" xfId="19" applyNumberFormat="1" applyFont="1" applyFill="1" applyAlignment="1">
      <alignment/>
    </xf>
    <xf numFmtId="43" fontId="0" fillId="0" borderId="0" xfId="19" applyNumberFormat="1" applyAlignment="1">
      <alignment/>
    </xf>
    <xf numFmtId="43" fontId="8" fillId="0" borderId="0" xfId="19" applyNumberFormat="1" applyFont="1" applyFill="1" applyAlignment="1">
      <alignment/>
    </xf>
    <xf numFmtId="43" fontId="3" fillId="4" borderId="0" xfId="19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Alignment="1">
      <alignment/>
    </xf>
    <xf numFmtId="43" fontId="0" fillId="0" borderId="0" xfId="19" applyNumberFormat="1" applyFill="1" applyAlignment="1">
      <alignment/>
    </xf>
    <xf numFmtId="43" fontId="0" fillId="0" borderId="0" xfId="19" applyNumberFormat="1" applyFill="1" applyAlignment="1">
      <alignment/>
    </xf>
    <xf numFmtId="173" fontId="0" fillId="0" borderId="0" xfId="19" applyNumberForma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41" fontId="0" fillId="0" borderId="0" xfId="19" applyNumberFormat="1" applyAlignment="1">
      <alignment/>
    </xf>
    <xf numFmtId="43" fontId="12" fillId="0" borderId="0" xfId="19" applyNumberFormat="1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73" fontId="0" fillId="0" borderId="0" xfId="19" applyNumberFormat="1" applyFont="1" applyFill="1" applyAlignment="1">
      <alignment/>
    </xf>
    <xf numFmtId="41" fontId="0" fillId="0" borderId="0" xfId="19" applyFont="1" applyFill="1" applyAlignment="1">
      <alignment/>
    </xf>
    <xf numFmtId="173" fontId="0" fillId="0" borderId="0" xfId="0" applyNumberFormat="1" applyFont="1" applyFill="1" applyAlignment="1">
      <alignment/>
    </xf>
    <xf numFmtId="173" fontId="16" fillId="0" borderId="0" xfId="19" applyNumberFormat="1" applyFont="1" applyAlignment="1">
      <alignment/>
    </xf>
    <xf numFmtId="173" fontId="0" fillId="0" borderId="0" xfId="19" applyNumberFormat="1" applyFill="1" applyAlignment="1">
      <alignment/>
    </xf>
    <xf numFmtId="173" fontId="0" fillId="0" borderId="0" xfId="0" applyNumberFormat="1" applyFill="1" applyAlignment="1">
      <alignment/>
    </xf>
    <xf numFmtId="43" fontId="6" fillId="3" borderId="3" xfId="19" applyNumberFormat="1" applyFont="1" applyFill="1" applyBorder="1" applyAlignment="1">
      <alignment/>
    </xf>
    <xf numFmtId="0" fontId="0" fillId="0" borderId="0" xfId="19" applyNumberFormat="1" applyFill="1" applyAlignment="1">
      <alignment/>
    </xf>
    <xf numFmtId="43" fontId="0" fillId="0" borderId="0" xfId="19" applyNumberFormat="1" applyFont="1" applyFill="1" applyAlignment="1">
      <alignment/>
    </xf>
    <xf numFmtId="0" fontId="0" fillId="0" borderId="0" xfId="19" applyNumberFormat="1" applyFont="1" applyFill="1" applyAlignment="1">
      <alignment/>
    </xf>
    <xf numFmtId="41" fontId="0" fillId="0" borderId="0" xfId="19" applyNumberFormat="1" applyFill="1" applyAlignment="1">
      <alignment horizontal="center"/>
    </xf>
    <xf numFmtId="41" fontId="0" fillId="0" borderId="0" xfId="19" applyNumberFormat="1" applyFont="1" applyFill="1" applyAlignment="1">
      <alignment/>
    </xf>
    <xf numFmtId="41" fontId="0" fillId="0" borderId="0" xfId="19" applyNumberFormat="1" applyFill="1" applyAlignment="1">
      <alignment/>
    </xf>
    <xf numFmtId="41" fontId="12" fillId="0" borderId="0" xfId="19" applyNumberFormat="1" applyFont="1" applyFill="1" applyAlignment="1">
      <alignment/>
    </xf>
    <xf numFmtId="41" fontId="20" fillId="2" borderId="1" xfId="19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1" fontId="21" fillId="2" borderId="1" xfId="19" applyFont="1" applyFill="1" applyBorder="1" applyAlignment="1">
      <alignment horizontal="center" vertical="center"/>
    </xf>
    <xf numFmtId="0" fontId="0" fillId="0" borderId="0" xfId="19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61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3" sqref="C43:D44"/>
    </sheetView>
  </sheetViews>
  <sheetFormatPr defaultColWidth="9.140625" defaultRowHeight="12.75"/>
  <cols>
    <col min="1" max="1" width="56.140625" style="0" customWidth="1"/>
    <col min="2" max="2" width="15.7109375" style="0" customWidth="1"/>
    <col min="3" max="3" width="6.57421875" style="0" customWidth="1"/>
    <col min="4" max="4" width="14.7109375" style="2" customWidth="1"/>
    <col min="5" max="5" width="19.00390625" style="2" customWidth="1"/>
    <col min="6" max="6" width="17.421875" style="2" customWidth="1"/>
    <col min="7" max="7" width="7.8515625" style="0" customWidth="1"/>
    <col min="8" max="10" width="16.421875" style="2" customWidth="1"/>
    <col min="11" max="11" width="21.8515625" style="0" customWidth="1"/>
  </cols>
  <sheetData>
    <row r="1" spans="1:11" ht="36.75" customHeight="1">
      <c r="A1" s="27" t="s">
        <v>0</v>
      </c>
      <c r="B1" s="22"/>
      <c r="C1" s="134" t="s">
        <v>3</v>
      </c>
      <c r="D1" s="133" t="s">
        <v>57</v>
      </c>
      <c r="E1" s="133" t="s">
        <v>54</v>
      </c>
      <c r="F1" s="133" t="s">
        <v>399</v>
      </c>
      <c r="G1" s="134" t="s">
        <v>21</v>
      </c>
      <c r="H1" s="133" t="s">
        <v>56</v>
      </c>
      <c r="I1" s="133" t="s">
        <v>64</v>
      </c>
      <c r="J1" s="133" t="s">
        <v>65</v>
      </c>
      <c r="K1" s="134" t="s">
        <v>55</v>
      </c>
    </row>
    <row r="2" ht="25.5" customHeight="1"/>
    <row r="3" spans="1:7" ht="18.75">
      <c r="A3" s="23"/>
      <c r="D3" s="14"/>
      <c r="E3" s="15"/>
      <c r="F3" s="15"/>
      <c r="G3" s="16"/>
    </row>
    <row r="4" spans="4:7" ht="18.75" customHeight="1">
      <c r="D4" s="14"/>
      <c r="E4" s="15"/>
      <c r="F4" s="15"/>
      <c r="G4" s="16"/>
    </row>
    <row r="5" spans="1:10" ht="15.75">
      <c r="A5" s="1" t="s">
        <v>58</v>
      </c>
      <c r="B5" s="26" t="s">
        <v>2</v>
      </c>
      <c r="E5" s="7"/>
      <c r="F5" s="7"/>
      <c r="H5" s="7"/>
      <c r="I5" s="7"/>
      <c r="J5" s="7"/>
    </row>
    <row r="7" spans="1:11" ht="12.75">
      <c r="A7" t="s">
        <v>1</v>
      </c>
      <c r="B7" t="s">
        <v>4</v>
      </c>
      <c r="C7">
        <v>1994</v>
      </c>
      <c r="D7" s="85">
        <f>2800000/1936.27</f>
        <v>1446.0793174505623</v>
      </c>
      <c r="E7" s="2">
        <v>0</v>
      </c>
      <c r="F7" s="85">
        <f>+D7+E7</f>
        <v>1446.0793174505623</v>
      </c>
      <c r="G7">
        <v>12.5</v>
      </c>
      <c r="H7" s="85">
        <v>0</v>
      </c>
      <c r="I7" s="85">
        <v>1446.08</v>
      </c>
      <c r="J7" s="85">
        <f>+H7+I7</f>
        <v>1446.08</v>
      </c>
      <c r="K7" s="114">
        <f aca="true" t="shared" si="0" ref="K7:K12">+F7-J7</f>
        <v>-0.0006825494376698771</v>
      </c>
    </row>
    <row r="8" spans="1:11" ht="12.75">
      <c r="A8" t="s">
        <v>1</v>
      </c>
      <c r="B8" t="s">
        <v>5</v>
      </c>
      <c r="C8">
        <v>1994</v>
      </c>
      <c r="D8" s="85">
        <f>2800000/1936.27</f>
        <v>1446.0793174505623</v>
      </c>
      <c r="E8" s="2">
        <v>0</v>
      </c>
      <c r="F8" s="85">
        <f aca="true" t="shared" si="1" ref="F8:F21">+D8+E8</f>
        <v>1446.0793174505623</v>
      </c>
      <c r="G8">
        <v>12.5</v>
      </c>
      <c r="H8" s="85">
        <v>0</v>
      </c>
      <c r="I8" s="85">
        <v>1446.08</v>
      </c>
      <c r="J8" s="85">
        <f aca="true" t="shared" si="2" ref="J8:J20">+H8+I8</f>
        <v>1446.08</v>
      </c>
      <c r="K8" s="114">
        <f t="shared" si="0"/>
        <v>-0.0006825494376698771</v>
      </c>
    </row>
    <row r="9" spans="1:11" s="63" customFormat="1" ht="12.75">
      <c r="A9" s="63" t="s">
        <v>160</v>
      </c>
      <c r="B9" s="63" t="s">
        <v>6</v>
      </c>
      <c r="C9" s="63">
        <v>1993</v>
      </c>
      <c r="D9" s="74">
        <v>0</v>
      </c>
      <c r="E9" s="74">
        <v>0</v>
      </c>
      <c r="F9" s="74">
        <f t="shared" si="1"/>
        <v>0</v>
      </c>
      <c r="G9" s="63">
        <v>0</v>
      </c>
      <c r="H9" s="74">
        <f>F9*G9/100</f>
        <v>0</v>
      </c>
      <c r="I9" s="74">
        <v>0</v>
      </c>
      <c r="J9" s="74">
        <f t="shared" si="2"/>
        <v>0</v>
      </c>
      <c r="K9" s="75">
        <f t="shared" si="0"/>
        <v>0</v>
      </c>
    </row>
    <row r="10" spans="1:11" s="63" customFormat="1" ht="12.75">
      <c r="A10" s="63" t="s">
        <v>160</v>
      </c>
      <c r="B10" s="63" t="s">
        <v>7</v>
      </c>
      <c r="C10" s="63">
        <v>1993</v>
      </c>
      <c r="D10" s="74">
        <v>0</v>
      </c>
      <c r="E10" s="74">
        <v>0</v>
      </c>
      <c r="F10" s="74">
        <f t="shared" si="1"/>
        <v>0</v>
      </c>
      <c r="G10" s="63">
        <v>0</v>
      </c>
      <c r="H10" s="74">
        <f>F10*G10/100</f>
        <v>0</v>
      </c>
      <c r="I10" s="74">
        <v>0</v>
      </c>
      <c r="J10" s="74">
        <f t="shared" si="2"/>
        <v>0</v>
      </c>
      <c r="K10" s="75">
        <f t="shared" si="0"/>
        <v>0</v>
      </c>
    </row>
    <row r="11" spans="1:11" ht="12.75">
      <c r="A11" t="s">
        <v>12</v>
      </c>
      <c r="B11" t="s">
        <v>8</v>
      </c>
      <c r="C11">
        <v>1990</v>
      </c>
      <c r="D11" s="2">
        <v>0</v>
      </c>
      <c r="E11" s="2">
        <v>0</v>
      </c>
      <c r="F11" s="2">
        <f t="shared" si="1"/>
        <v>0</v>
      </c>
      <c r="G11">
        <v>0</v>
      </c>
      <c r="H11" s="2">
        <f>F11*G11/100</f>
        <v>0</v>
      </c>
      <c r="I11" s="2">
        <v>0</v>
      </c>
      <c r="J11" s="2">
        <f t="shared" si="2"/>
        <v>0</v>
      </c>
      <c r="K11" s="3">
        <f t="shared" si="0"/>
        <v>0</v>
      </c>
    </row>
    <row r="12" spans="1:11" s="63" customFormat="1" ht="12.75">
      <c r="A12" s="63" t="s">
        <v>192</v>
      </c>
      <c r="B12" s="63" t="s">
        <v>9</v>
      </c>
      <c r="C12" s="63">
        <v>1990</v>
      </c>
      <c r="D12" s="74">
        <v>0</v>
      </c>
      <c r="E12" s="74">
        <v>0</v>
      </c>
      <c r="F12" s="74">
        <f t="shared" si="1"/>
        <v>0</v>
      </c>
      <c r="G12" s="63">
        <v>0</v>
      </c>
      <c r="H12" s="74">
        <f>F12*G12/100</f>
        <v>0</v>
      </c>
      <c r="I12" s="74">
        <v>0</v>
      </c>
      <c r="J12" s="74">
        <f t="shared" si="2"/>
        <v>0</v>
      </c>
      <c r="K12" s="75">
        <f t="shared" si="0"/>
        <v>0</v>
      </c>
    </row>
    <row r="13" spans="1:12" ht="12.75">
      <c r="A13" t="s">
        <v>13</v>
      </c>
      <c r="B13" t="s">
        <v>10</v>
      </c>
      <c r="C13">
        <v>1996</v>
      </c>
      <c r="D13" s="85">
        <f>9669000/1936.27</f>
        <v>4993.621757296245</v>
      </c>
      <c r="E13" s="2">
        <v>0</v>
      </c>
      <c r="F13" s="85">
        <f t="shared" si="1"/>
        <v>4993.621757296245</v>
      </c>
      <c r="G13">
        <v>12.5</v>
      </c>
      <c r="H13" s="85">
        <v>273.72</v>
      </c>
      <c r="I13" s="85">
        <f>4095.7+624.2</f>
        <v>4719.9</v>
      </c>
      <c r="J13" s="85">
        <f t="shared" si="2"/>
        <v>4993.62</v>
      </c>
      <c r="K13" s="115">
        <f aca="true" t="shared" si="3" ref="K13:K22">+F13-J13</f>
        <v>0.001757296245159523</v>
      </c>
      <c r="L13" s="87"/>
    </row>
    <row r="14" spans="1:12" ht="12.75">
      <c r="A14" t="s">
        <v>14</v>
      </c>
      <c r="B14" t="s">
        <v>11</v>
      </c>
      <c r="C14">
        <v>1996</v>
      </c>
      <c r="D14" s="85">
        <f>10424000/1936.27</f>
        <v>5383.546716108807</v>
      </c>
      <c r="E14" s="2">
        <v>0</v>
      </c>
      <c r="F14" s="85">
        <f t="shared" si="1"/>
        <v>5383.546716108807</v>
      </c>
      <c r="G14">
        <v>12.5</v>
      </c>
      <c r="H14" s="85">
        <v>273.72</v>
      </c>
      <c r="I14" s="85">
        <f>4436.88+672.95</f>
        <v>5109.83</v>
      </c>
      <c r="J14" s="85">
        <f t="shared" si="2"/>
        <v>5383.55</v>
      </c>
      <c r="K14" s="115">
        <f t="shared" si="3"/>
        <v>-0.00328389119295025</v>
      </c>
      <c r="L14" s="87"/>
    </row>
    <row r="15" spans="1:12" ht="12.75">
      <c r="A15" t="s">
        <v>14</v>
      </c>
      <c r="B15" t="s">
        <v>15</v>
      </c>
      <c r="C15">
        <v>1995</v>
      </c>
      <c r="D15" s="85">
        <f>4700000/1936.27</f>
        <v>2427.3474257205867</v>
      </c>
      <c r="E15" s="2">
        <v>0</v>
      </c>
      <c r="F15" s="85">
        <f t="shared" si="1"/>
        <v>2427.3474257205867</v>
      </c>
      <c r="G15">
        <v>12.5</v>
      </c>
      <c r="H15" s="85">
        <v>273.72</v>
      </c>
      <c r="I15" s="85">
        <f>1546.79+303.42+303.42</f>
        <v>2153.63</v>
      </c>
      <c r="J15" s="85">
        <f t="shared" si="2"/>
        <v>2427.3500000000004</v>
      </c>
      <c r="K15" s="115">
        <f t="shared" si="3"/>
        <v>-0.002574279413693148</v>
      </c>
      <c r="L15" s="87"/>
    </row>
    <row r="16" spans="1:12" ht="12.75">
      <c r="A16" t="s">
        <v>14</v>
      </c>
      <c r="B16" t="s">
        <v>16</v>
      </c>
      <c r="C16">
        <v>1995</v>
      </c>
      <c r="D16" s="85">
        <f>4700000/1936.27</f>
        <v>2427.3474257205867</v>
      </c>
      <c r="E16" s="2">
        <v>0</v>
      </c>
      <c r="F16" s="85">
        <f t="shared" si="1"/>
        <v>2427.3474257205867</v>
      </c>
      <c r="G16">
        <v>12.5</v>
      </c>
      <c r="H16" s="85">
        <v>273.72</v>
      </c>
      <c r="I16" s="85">
        <f>1546.79+303.42+303.42</f>
        <v>2153.63</v>
      </c>
      <c r="J16" s="85">
        <f t="shared" si="2"/>
        <v>2427.3500000000004</v>
      </c>
      <c r="K16" s="115">
        <f t="shared" si="3"/>
        <v>-0.002574279413693148</v>
      </c>
      <c r="L16" s="87"/>
    </row>
    <row r="17" spans="1:12" ht="12.75">
      <c r="A17" t="s">
        <v>14</v>
      </c>
      <c r="B17" t="s">
        <v>17</v>
      </c>
      <c r="C17">
        <v>1995</v>
      </c>
      <c r="D17" s="85">
        <f>4700000/1936.27</f>
        <v>2427.3474257205867</v>
      </c>
      <c r="E17" s="2">
        <v>0</v>
      </c>
      <c r="F17" s="85">
        <f t="shared" si="1"/>
        <v>2427.3474257205867</v>
      </c>
      <c r="G17">
        <v>12.5</v>
      </c>
      <c r="H17" s="85">
        <v>273.72</v>
      </c>
      <c r="I17" s="85">
        <f>1546.79+303.42+303.42</f>
        <v>2153.63</v>
      </c>
      <c r="J17" s="85">
        <f t="shared" si="2"/>
        <v>2427.3500000000004</v>
      </c>
      <c r="K17" s="115">
        <f t="shared" si="3"/>
        <v>-0.002574279413693148</v>
      </c>
      <c r="L17" s="87"/>
    </row>
    <row r="18" spans="1:12" ht="12.75">
      <c r="A18" t="s">
        <v>14</v>
      </c>
      <c r="B18" t="s">
        <v>18</v>
      </c>
      <c r="C18">
        <v>1995</v>
      </c>
      <c r="D18" s="85">
        <f>4700000/1936.27</f>
        <v>2427.3474257205867</v>
      </c>
      <c r="E18" s="2">
        <v>0</v>
      </c>
      <c r="F18" s="85">
        <f t="shared" si="1"/>
        <v>2427.3474257205867</v>
      </c>
      <c r="G18">
        <v>12.5</v>
      </c>
      <c r="H18" s="85">
        <v>273.72</v>
      </c>
      <c r="I18" s="85">
        <f>1546.79+303.42+303.42</f>
        <v>2153.63</v>
      </c>
      <c r="J18" s="85">
        <f t="shared" si="2"/>
        <v>2427.3500000000004</v>
      </c>
      <c r="K18" s="115">
        <f t="shared" si="3"/>
        <v>-0.002574279413693148</v>
      </c>
      <c r="L18" s="87"/>
    </row>
    <row r="19" spans="1:12" ht="12.75">
      <c r="A19" t="s">
        <v>14</v>
      </c>
      <c r="B19" t="s">
        <v>19</v>
      </c>
      <c r="C19">
        <v>1998</v>
      </c>
      <c r="D19" s="85">
        <f>11583000/1936.27</f>
        <v>5982.120262153522</v>
      </c>
      <c r="E19" s="2">
        <v>0</v>
      </c>
      <c r="F19" s="85">
        <f t="shared" si="1"/>
        <v>5982.120262153522</v>
      </c>
      <c r="G19">
        <v>12.5</v>
      </c>
      <c r="H19" s="85">
        <v>273.72</v>
      </c>
      <c r="I19" s="85">
        <f>4212.87+747.77+747.76</f>
        <v>5708.4</v>
      </c>
      <c r="J19" s="85">
        <f t="shared" si="2"/>
        <v>5982.12</v>
      </c>
      <c r="K19" s="115">
        <f t="shared" si="3"/>
        <v>0.00026215352227154654</v>
      </c>
      <c r="L19" s="87"/>
    </row>
    <row r="20" spans="1:12" ht="12.75">
      <c r="A20" t="s">
        <v>14</v>
      </c>
      <c r="B20" t="s">
        <v>20</v>
      </c>
      <c r="C20">
        <v>1998</v>
      </c>
      <c r="D20" s="85">
        <f>11583000/1936.27</f>
        <v>5982.120262153522</v>
      </c>
      <c r="E20" s="2">
        <v>0</v>
      </c>
      <c r="F20" s="85">
        <f t="shared" si="1"/>
        <v>5982.120262153522</v>
      </c>
      <c r="G20">
        <v>12.5</v>
      </c>
      <c r="H20" s="85">
        <v>273.72</v>
      </c>
      <c r="I20" s="85">
        <f>4212.87+747.77+747.76</f>
        <v>5708.4</v>
      </c>
      <c r="J20" s="85">
        <f t="shared" si="2"/>
        <v>5982.12</v>
      </c>
      <c r="K20" s="114">
        <f t="shared" si="3"/>
        <v>0.00026215352227154654</v>
      </c>
      <c r="L20" s="87"/>
    </row>
    <row r="21" spans="1:12" s="73" customFormat="1" ht="12.75">
      <c r="A21" s="73" t="s">
        <v>295</v>
      </c>
      <c r="B21" s="73" t="s">
        <v>158</v>
      </c>
      <c r="C21" s="73">
        <v>2000</v>
      </c>
      <c r="D21" s="102">
        <v>5412.39</v>
      </c>
      <c r="E21" s="120">
        <v>0</v>
      </c>
      <c r="F21" s="102">
        <f t="shared" si="1"/>
        <v>5412.39</v>
      </c>
      <c r="G21" s="107">
        <v>10</v>
      </c>
      <c r="H21" s="119">
        <f>F21*G21/100</f>
        <v>541.239</v>
      </c>
      <c r="I21" s="102">
        <f>1350+541.24+541.24</f>
        <v>2432.48</v>
      </c>
      <c r="J21" s="102">
        <f>+H21+I21</f>
        <v>2973.719</v>
      </c>
      <c r="K21" s="107">
        <f t="shared" si="3"/>
        <v>2438.6710000000003</v>
      </c>
      <c r="L21" s="121"/>
    </row>
    <row r="22" spans="1:11" s="63" customFormat="1" ht="12.75">
      <c r="A22" s="63" t="s">
        <v>228</v>
      </c>
      <c r="B22" s="63" t="s">
        <v>158</v>
      </c>
      <c r="C22" s="63">
        <v>2002</v>
      </c>
      <c r="D22" s="110">
        <v>91.18</v>
      </c>
      <c r="E22" s="129">
        <v>0</v>
      </c>
      <c r="F22" s="110">
        <v>91.18</v>
      </c>
      <c r="G22" s="112">
        <v>0</v>
      </c>
      <c r="H22" s="110">
        <v>0</v>
      </c>
      <c r="I22" s="110">
        <v>91.18</v>
      </c>
      <c r="J22" s="110">
        <f>+H22+I22</f>
        <v>91.18</v>
      </c>
      <c r="K22" s="112">
        <f t="shared" si="3"/>
        <v>0</v>
      </c>
    </row>
    <row r="23" spans="1:11" ht="12.75">
      <c r="A23" s="17" t="s">
        <v>59</v>
      </c>
      <c r="B23" s="4"/>
      <c r="C23" s="4"/>
      <c r="D23" s="86">
        <f>SUM(D7:D22)</f>
        <v>40446.527335495564</v>
      </c>
      <c r="E23" s="6">
        <f>SUM(E7:E22)</f>
        <v>0</v>
      </c>
      <c r="F23" s="86">
        <f>SUM(F7:F22)</f>
        <v>40446.527335495564</v>
      </c>
      <c r="G23" s="4"/>
      <c r="H23" s="86">
        <f>SUM(H7:H22)</f>
        <v>2730.9990000000003</v>
      </c>
      <c r="I23" s="86">
        <f>SUM(I7:I22)</f>
        <v>35276.87000000001</v>
      </c>
      <c r="J23" s="86">
        <f>SUM(J7:J22)</f>
        <v>38007.86899999999</v>
      </c>
      <c r="K23" s="88">
        <f>SUM(K7:K22)</f>
        <v>2438.658335495567</v>
      </c>
    </row>
    <row r="24" ht="18" customHeight="1"/>
    <row r="25" spans="1:2" ht="15.75">
      <c r="A25" s="1" t="s">
        <v>60</v>
      </c>
      <c r="B25" t="s">
        <v>2</v>
      </c>
    </row>
    <row r="27" spans="1:11" s="63" customFormat="1" ht="12.75">
      <c r="A27" s="63" t="s">
        <v>303</v>
      </c>
      <c r="B27" s="63" t="s">
        <v>502</v>
      </c>
      <c r="C27" s="63">
        <v>2004</v>
      </c>
      <c r="D27" s="110">
        <v>9300</v>
      </c>
      <c r="E27" s="110"/>
      <c r="F27" s="123">
        <f>+D27+E27</f>
        <v>9300</v>
      </c>
      <c r="G27" s="63">
        <v>12.5</v>
      </c>
      <c r="H27" s="123">
        <f aca="true" t="shared" si="4" ref="H27:H32">F27*G27/100</f>
        <v>1162.5</v>
      </c>
      <c r="I27" s="110">
        <v>1162.5</v>
      </c>
      <c r="J27" s="123">
        <f aca="true" t="shared" si="5" ref="J27:J32">+H27+I27</f>
        <v>2325</v>
      </c>
      <c r="K27" s="124">
        <f aca="true" t="shared" si="6" ref="K27:K32">+F27-J27</f>
        <v>6975</v>
      </c>
    </row>
    <row r="28" spans="1:11" s="63" customFormat="1" ht="12.75">
      <c r="A28" s="63" t="s">
        <v>304</v>
      </c>
      <c r="B28" s="63" t="s">
        <v>503</v>
      </c>
      <c r="C28" s="63">
        <v>2004</v>
      </c>
      <c r="D28" s="110">
        <v>11905</v>
      </c>
      <c r="E28" s="110"/>
      <c r="F28" s="123">
        <f>+D28+E28</f>
        <v>11905</v>
      </c>
      <c r="G28" s="63">
        <v>12.5</v>
      </c>
      <c r="H28" s="123">
        <f t="shared" si="4"/>
        <v>1488.125</v>
      </c>
      <c r="I28" s="110">
        <v>1488.13</v>
      </c>
      <c r="J28" s="123">
        <f>+H28+I28-0.01</f>
        <v>2976.245</v>
      </c>
      <c r="K28" s="124">
        <f t="shared" si="6"/>
        <v>8928.755000000001</v>
      </c>
    </row>
    <row r="29" spans="1:11" s="63" customFormat="1" ht="12.75">
      <c r="A29" s="63" t="s">
        <v>303</v>
      </c>
      <c r="B29" s="63" t="s">
        <v>504</v>
      </c>
      <c r="C29" s="63">
        <v>2004</v>
      </c>
      <c r="D29" s="110">
        <v>9300</v>
      </c>
      <c r="E29" s="110"/>
      <c r="F29" s="110">
        <f>+D29+E29</f>
        <v>9300</v>
      </c>
      <c r="G29" s="63">
        <v>12.5</v>
      </c>
      <c r="H29" s="123">
        <f t="shared" si="4"/>
        <v>1162.5</v>
      </c>
      <c r="I29" s="110">
        <v>1162.5</v>
      </c>
      <c r="J29" s="123">
        <f t="shared" si="5"/>
        <v>2325</v>
      </c>
      <c r="K29" s="124">
        <f t="shared" si="6"/>
        <v>6975</v>
      </c>
    </row>
    <row r="30" spans="1:11" s="63" customFormat="1" ht="12.75">
      <c r="A30" s="63" t="s">
        <v>380</v>
      </c>
      <c r="B30" s="63" t="s">
        <v>505</v>
      </c>
      <c r="C30" s="63">
        <v>2004</v>
      </c>
      <c r="D30" s="110">
        <v>28280</v>
      </c>
      <c r="E30" s="110"/>
      <c r="F30" s="110">
        <f>+D30+E30</f>
        <v>28280</v>
      </c>
      <c r="G30" s="63">
        <v>12.5</v>
      </c>
      <c r="H30" s="110">
        <f t="shared" si="4"/>
        <v>3535</v>
      </c>
      <c r="I30" s="110">
        <v>3535</v>
      </c>
      <c r="J30" s="123">
        <f t="shared" si="5"/>
        <v>7070</v>
      </c>
      <c r="K30" s="124">
        <f t="shared" si="6"/>
        <v>21210</v>
      </c>
    </row>
    <row r="31" spans="1:11" s="63" customFormat="1" ht="12.75">
      <c r="A31" s="63" t="s">
        <v>501</v>
      </c>
      <c r="B31" s="63" t="s">
        <v>506</v>
      </c>
      <c r="C31" s="63">
        <v>2005</v>
      </c>
      <c r="D31" s="110"/>
      <c r="E31" s="110">
        <v>11000</v>
      </c>
      <c r="F31" s="110">
        <v>11000</v>
      </c>
      <c r="G31" s="63">
        <v>12.5</v>
      </c>
      <c r="H31" s="110">
        <f t="shared" si="4"/>
        <v>1375</v>
      </c>
      <c r="I31" s="110">
        <v>0</v>
      </c>
      <c r="J31" s="123">
        <f t="shared" si="5"/>
        <v>1375</v>
      </c>
      <c r="K31" s="124">
        <f t="shared" si="6"/>
        <v>9625</v>
      </c>
    </row>
    <row r="32" spans="1:11" s="63" customFormat="1" ht="12.75">
      <c r="A32" s="63" t="s">
        <v>400</v>
      </c>
      <c r="B32" s="63" t="s">
        <v>401</v>
      </c>
      <c r="C32" s="63">
        <v>2005</v>
      </c>
      <c r="D32" s="110"/>
      <c r="E32" s="110">
        <v>11000</v>
      </c>
      <c r="F32" s="110">
        <v>11000</v>
      </c>
      <c r="G32" s="137">
        <v>10</v>
      </c>
      <c r="H32" s="110">
        <f t="shared" si="4"/>
        <v>1100</v>
      </c>
      <c r="I32" s="110">
        <v>0</v>
      </c>
      <c r="J32" s="123">
        <f t="shared" si="5"/>
        <v>1100</v>
      </c>
      <c r="K32" s="124">
        <f t="shared" si="6"/>
        <v>9900</v>
      </c>
    </row>
    <row r="33" spans="1:3" ht="12.75">
      <c r="A33" s="63"/>
      <c r="C33" s="63"/>
    </row>
    <row r="34" spans="1:11" ht="12.75">
      <c r="A34" s="17" t="s">
        <v>62</v>
      </c>
      <c r="B34" s="4"/>
      <c r="C34" s="4"/>
      <c r="D34" s="86">
        <f>SUM(D27:D30)</f>
        <v>58785</v>
      </c>
      <c r="E34" s="86">
        <f>SUM(E27:E32)</f>
        <v>22000</v>
      </c>
      <c r="F34" s="86">
        <f>SUM(D34:E34)</f>
        <v>80785</v>
      </c>
      <c r="G34" s="4"/>
      <c r="H34" s="86">
        <f>SUM(H27:H32)</f>
        <v>9823.125</v>
      </c>
      <c r="I34" s="86">
        <f>SUM(I27:I32)</f>
        <v>7348.13</v>
      </c>
      <c r="J34" s="86">
        <f>SUM(J27:J32)</f>
        <v>17171.245</v>
      </c>
      <c r="K34" s="88">
        <f>SUM(K27:K32)</f>
        <v>63613.755000000005</v>
      </c>
    </row>
    <row r="35" spans="1:11" ht="12.75">
      <c r="A35" s="17"/>
      <c r="B35" s="4"/>
      <c r="C35" s="4"/>
      <c r="D35" s="6"/>
      <c r="E35" s="6"/>
      <c r="F35" s="6"/>
      <c r="G35" s="4"/>
      <c r="H35" s="6"/>
      <c r="I35" s="6"/>
      <c r="J35" s="6"/>
      <c r="K35" s="5"/>
    </row>
    <row r="36" spans="1:11" ht="12.75">
      <c r="A36" s="29"/>
      <c r="B36" s="4"/>
      <c r="C36" s="4"/>
      <c r="D36" s="6"/>
      <c r="E36" s="6"/>
      <c r="F36" s="6"/>
      <c r="G36" s="4"/>
      <c r="H36" s="6"/>
      <c r="I36" s="6"/>
      <c r="J36" s="6"/>
      <c r="K36" s="5"/>
    </row>
    <row r="37" spans="1:11" ht="12.75">
      <c r="A37" s="29"/>
      <c r="B37" s="4"/>
      <c r="C37" s="4"/>
      <c r="D37" s="6"/>
      <c r="E37" s="6"/>
      <c r="F37" s="6"/>
      <c r="G37" s="4"/>
      <c r="H37" s="6"/>
      <c r="I37" s="6"/>
      <c r="J37" s="6"/>
      <c r="K37" s="5"/>
    </row>
    <row r="38" ht="18.75" customHeight="1" thickBot="1"/>
    <row r="39" spans="1:11" s="9" customFormat="1" ht="15.75" thickBot="1">
      <c r="A39" s="35" t="s">
        <v>22</v>
      </c>
      <c r="B39" s="36"/>
      <c r="C39" s="36"/>
      <c r="D39" s="89">
        <f>D34+D23</f>
        <v>99231.52733549557</v>
      </c>
      <c r="E39" s="125">
        <f>E34+E23</f>
        <v>22000</v>
      </c>
      <c r="F39" s="89">
        <f>F34+F23-6.81</f>
        <v>121224.71733549557</v>
      </c>
      <c r="G39" s="36"/>
      <c r="H39" s="89">
        <f>H34+H23</f>
        <v>12554.124</v>
      </c>
      <c r="I39" s="89">
        <f>I34+I23</f>
        <v>42625.00000000001</v>
      </c>
      <c r="J39" s="89">
        <f>J34+J23</f>
        <v>55179.11399999999</v>
      </c>
      <c r="K39" s="90">
        <f>K34+K23</f>
        <v>66052.41333549557</v>
      </c>
    </row>
    <row r="40" spans="4:10" ht="16.5" customHeight="1">
      <c r="D40"/>
      <c r="E40"/>
      <c r="F40"/>
      <c r="H40"/>
      <c r="I40"/>
      <c r="J40"/>
    </row>
    <row r="41" spans="4:10" ht="24" customHeight="1">
      <c r="D41"/>
      <c r="E41"/>
      <c r="F41"/>
      <c r="H41"/>
      <c r="I41"/>
      <c r="J41"/>
    </row>
    <row r="42" spans="4:10" ht="16.5" customHeight="1">
      <c r="D42"/>
      <c r="E42"/>
      <c r="F42"/>
      <c r="H42"/>
      <c r="I42"/>
      <c r="J42"/>
    </row>
    <row r="43" spans="4:10" ht="12.75">
      <c r="D43"/>
      <c r="E43"/>
      <c r="F43"/>
      <c r="H43"/>
      <c r="I43"/>
      <c r="J43"/>
    </row>
    <row r="44" spans="4:10" ht="12.75">
      <c r="D44"/>
      <c r="E44"/>
      <c r="F44"/>
      <c r="H44"/>
      <c r="I44"/>
      <c r="J44"/>
    </row>
    <row r="45" spans="4:10" ht="12.75">
      <c r="D45"/>
      <c r="E45"/>
      <c r="F45"/>
      <c r="H45"/>
      <c r="I45"/>
      <c r="J45"/>
    </row>
    <row r="46" spans="4:10" ht="12.75">
      <c r="D46"/>
      <c r="E46"/>
      <c r="F46"/>
      <c r="H46"/>
      <c r="I46"/>
      <c r="J46"/>
    </row>
    <row r="47" spans="4:10" ht="12.75">
      <c r="D47"/>
      <c r="E47"/>
      <c r="F47"/>
      <c r="H47"/>
      <c r="I47"/>
      <c r="J47"/>
    </row>
    <row r="48" spans="4:10" ht="12.75">
      <c r="D48"/>
      <c r="E48"/>
      <c r="F48"/>
      <c r="H48"/>
      <c r="I48"/>
      <c r="J48"/>
    </row>
    <row r="49" spans="4:10" ht="12.75">
      <c r="D49"/>
      <c r="E49"/>
      <c r="F49"/>
      <c r="H49"/>
      <c r="I49"/>
      <c r="J49"/>
    </row>
    <row r="50" spans="4:10" ht="12.75">
      <c r="D50"/>
      <c r="E50"/>
      <c r="F50"/>
      <c r="H50"/>
      <c r="I50"/>
      <c r="J50"/>
    </row>
    <row r="51" spans="4:10" ht="12.75">
      <c r="D51"/>
      <c r="E51"/>
      <c r="F51"/>
      <c r="H51"/>
      <c r="I51"/>
      <c r="J51"/>
    </row>
    <row r="52" spans="4:10" ht="12.75">
      <c r="D52"/>
      <c r="E52"/>
      <c r="F52"/>
      <c r="H52"/>
      <c r="I52"/>
      <c r="J52"/>
    </row>
    <row r="53" spans="4:10" ht="12.75">
      <c r="D53"/>
      <c r="E53"/>
      <c r="F53"/>
      <c r="H53"/>
      <c r="I53"/>
      <c r="J53"/>
    </row>
    <row r="54" spans="4:10" ht="12.75">
      <c r="D54"/>
      <c r="E54"/>
      <c r="F54"/>
      <c r="H54"/>
      <c r="I54"/>
      <c r="J54"/>
    </row>
    <row r="55" spans="4:10" ht="12.75">
      <c r="D55"/>
      <c r="E55"/>
      <c r="F55"/>
      <c r="H55"/>
      <c r="I55"/>
      <c r="J55"/>
    </row>
    <row r="56" spans="4:10" ht="12.75">
      <c r="D56"/>
      <c r="E56"/>
      <c r="F56"/>
      <c r="H56"/>
      <c r="I56"/>
      <c r="J56"/>
    </row>
    <row r="57" spans="4:10" ht="12.75">
      <c r="D57"/>
      <c r="E57"/>
      <c r="F57"/>
      <c r="H57"/>
      <c r="I57"/>
      <c r="J57"/>
    </row>
    <row r="58" spans="4:10" ht="12.75">
      <c r="D58"/>
      <c r="E58"/>
      <c r="F58"/>
      <c r="H58"/>
      <c r="I58"/>
      <c r="J58"/>
    </row>
    <row r="59" spans="4:10" ht="12.75">
      <c r="D59"/>
      <c r="E59"/>
      <c r="F59"/>
      <c r="H59"/>
      <c r="I59"/>
      <c r="J59"/>
    </row>
    <row r="60" spans="4:10" ht="12.75">
      <c r="D60"/>
      <c r="E60"/>
      <c r="F60"/>
      <c r="H60"/>
      <c r="I60"/>
      <c r="J60"/>
    </row>
    <row r="61" spans="4:10" ht="12.75">
      <c r="D61"/>
      <c r="E61"/>
      <c r="F61"/>
      <c r="H61"/>
      <c r="I61"/>
      <c r="J61"/>
    </row>
    <row r="62" spans="4:10" ht="12.75">
      <c r="D62"/>
      <c r="E62"/>
      <c r="F62"/>
      <c r="H62"/>
      <c r="I62"/>
      <c r="J62"/>
    </row>
    <row r="63" spans="4:10" ht="12.75">
      <c r="D63"/>
      <c r="E63"/>
      <c r="F63"/>
      <c r="H63"/>
      <c r="I63"/>
      <c r="J63"/>
    </row>
    <row r="64" spans="4:10" ht="12.75">
      <c r="D64"/>
      <c r="E64"/>
      <c r="F64"/>
      <c r="H64"/>
      <c r="I64"/>
      <c r="J64"/>
    </row>
    <row r="65" spans="4:10" ht="12.75">
      <c r="D65"/>
      <c r="E65"/>
      <c r="F65"/>
      <c r="H65"/>
      <c r="I65"/>
      <c r="J65"/>
    </row>
    <row r="66" spans="4:10" ht="12.75">
      <c r="D66"/>
      <c r="E66"/>
      <c r="F66"/>
      <c r="H66"/>
      <c r="I66"/>
      <c r="J66"/>
    </row>
    <row r="67" spans="4:10" ht="12.75">
      <c r="D67"/>
      <c r="E67"/>
      <c r="F67"/>
      <c r="H67"/>
      <c r="I67"/>
      <c r="J67"/>
    </row>
    <row r="68" spans="4:10" ht="12.75">
      <c r="D68"/>
      <c r="E68"/>
      <c r="F68"/>
      <c r="H68"/>
      <c r="I68"/>
      <c r="J68"/>
    </row>
    <row r="69" spans="4:10" ht="12.75">
      <c r="D69"/>
      <c r="E69"/>
      <c r="F69"/>
      <c r="H69"/>
      <c r="I69"/>
      <c r="J69"/>
    </row>
    <row r="70" spans="4:10" ht="12.75">
      <c r="D70"/>
      <c r="E70"/>
      <c r="F70"/>
      <c r="H70"/>
      <c r="I70"/>
      <c r="J70"/>
    </row>
    <row r="71" spans="4:10" ht="12.75">
      <c r="D71"/>
      <c r="E71"/>
      <c r="F71"/>
      <c r="H71"/>
      <c r="I71"/>
      <c r="J71"/>
    </row>
    <row r="72" spans="4:10" ht="12.75">
      <c r="D72"/>
      <c r="E72"/>
      <c r="F72"/>
      <c r="H72"/>
      <c r="I72"/>
      <c r="J72"/>
    </row>
    <row r="73" spans="4:10" ht="12.75">
      <c r="D73"/>
      <c r="E73"/>
      <c r="F73"/>
      <c r="H73"/>
      <c r="I73"/>
      <c r="J73"/>
    </row>
    <row r="74" spans="4:10" ht="12.75">
      <c r="D74"/>
      <c r="E74"/>
      <c r="F74"/>
      <c r="H74"/>
      <c r="I74"/>
      <c r="J74"/>
    </row>
    <row r="75" spans="4:10" ht="12.75">
      <c r="D75"/>
      <c r="E75"/>
      <c r="F75"/>
      <c r="H75"/>
      <c r="I75"/>
      <c r="J75"/>
    </row>
    <row r="76" spans="4:10" ht="12.75">
      <c r="D76"/>
      <c r="E76"/>
      <c r="F76"/>
      <c r="H76"/>
      <c r="I76"/>
      <c r="J76"/>
    </row>
    <row r="77" spans="4:10" ht="12.75">
      <c r="D77"/>
      <c r="E77"/>
      <c r="F77"/>
      <c r="H77"/>
      <c r="I77"/>
      <c r="J77"/>
    </row>
    <row r="78" spans="4:10" ht="12.75">
      <c r="D78"/>
      <c r="E78"/>
      <c r="F78"/>
      <c r="H78"/>
      <c r="I78"/>
      <c r="J78"/>
    </row>
    <row r="79" spans="4:10" ht="12.75">
      <c r="D79"/>
      <c r="E79"/>
      <c r="F79"/>
      <c r="H79"/>
      <c r="I79"/>
      <c r="J79"/>
    </row>
    <row r="80" spans="4:10" ht="12.75">
      <c r="D80"/>
      <c r="E80"/>
      <c r="F80"/>
      <c r="H80"/>
      <c r="I80"/>
      <c r="J80"/>
    </row>
    <row r="81" spans="4:10" ht="12.75">
      <c r="D81"/>
      <c r="E81"/>
      <c r="F81"/>
      <c r="H81"/>
      <c r="I81"/>
      <c r="J81"/>
    </row>
    <row r="82" spans="4:10" ht="12.75">
      <c r="D82"/>
      <c r="E82"/>
      <c r="F82"/>
      <c r="H82"/>
      <c r="I82"/>
      <c r="J82"/>
    </row>
    <row r="83" spans="4:10" ht="12.75">
      <c r="D83"/>
      <c r="E83"/>
      <c r="F83"/>
      <c r="H83"/>
      <c r="I83"/>
      <c r="J83"/>
    </row>
    <row r="84" spans="4:10" ht="30" customHeight="1">
      <c r="D84"/>
      <c r="E84"/>
      <c r="F84"/>
      <c r="H84"/>
      <c r="I84"/>
      <c r="J84"/>
    </row>
    <row r="85" spans="4:10" ht="12.75">
      <c r="D85"/>
      <c r="E85"/>
      <c r="F85"/>
      <c r="H85"/>
      <c r="I85"/>
      <c r="J85"/>
    </row>
    <row r="86" spans="4:10" ht="12.75" customHeight="1">
      <c r="D86"/>
      <c r="E86"/>
      <c r="F86"/>
      <c r="H86"/>
      <c r="I86"/>
      <c r="J86"/>
    </row>
    <row r="87" spans="4:10" ht="18.75" customHeight="1">
      <c r="D87"/>
      <c r="E87"/>
      <c r="F87"/>
      <c r="H87"/>
      <c r="I87"/>
      <c r="J87"/>
    </row>
    <row r="88" spans="4:10" ht="12" customHeight="1">
      <c r="D88"/>
      <c r="E88"/>
      <c r="F88"/>
      <c r="H88"/>
      <c r="I88"/>
      <c r="J88"/>
    </row>
    <row r="89" spans="4:10" ht="12" customHeight="1">
      <c r="D89"/>
      <c r="E89"/>
      <c r="F89"/>
      <c r="H89"/>
      <c r="I89"/>
      <c r="J89"/>
    </row>
    <row r="90" spans="4:10" ht="12" customHeight="1">
      <c r="D90"/>
      <c r="E90"/>
      <c r="F90"/>
      <c r="H90"/>
      <c r="I90"/>
      <c r="J90"/>
    </row>
    <row r="91" spans="4:10" ht="12" customHeight="1">
      <c r="D91"/>
      <c r="E91"/>
      <c r="F91"/>
      <c r="H91"/>
      <c r="I91"/>
      <c r="J91"/>
    </row>
    <row r="92" spans="4:10" ht="12" customHeight="1">
      <c r="D92"/>
      <c r="E92"/>
      <c r="F92"/>
      <c r="H92"/>
      <c r="I92"/>
      <c r="J92"/>
    </row>
    <row r="93" spans="4:10" ht="12" customHeight="1">
      <c r="D93"/>
      <c r="E93"/>
      <c r="F93"/>
      <c r="H93"/>
      <c r="I93"/>
      <c r="J93"/>
    </row>
    <row r="94" spans="4:10" ht="12" customHeight="1">
      <c r="D94"/>
      <c r="E94"/>
      <c r="F94"/>
      <c r="H94"/>
      <c r="I94"/>
      <c r="J94"/>
    </row>
    <row r="95" spans="4:10" ht="12.75">
      <c r="D95"/>
      <c r="E95"/>
      <c r="F95"/>
      <c r="H95"/>
      <c r="I95"/>
      <c r="J95"/>
    </row>
    <row r="96" spans="4:10" ht="12" customHeight="1">
      <c r="D96"/>
      <c r="E96"/>
      <c r="F96"/>
      <c r="H96"/>
      <c r="I96"/>
      <c r="J96"/>
    </row>
    <row r="97" spans="4:10" ht="18" customHeight="1">
      <c r="D97"/>
      <c r="E97"/>
      <c r="F97"/>
      <c r="H97"/>
      <c r="I97"/>
      <c r="J97"/>
    </row>
    <row r="98" spans="4:10" ht="12.75">
      <c r="D98"/>
      <c r="E98"/>
      <c r="F98"/>
      <c r="H98"/>
      <c r="I98"/>
      <c r="J98"/>
    </row>
    <row r="99" spans="4:10" ht="12.75">
      <c r="D99"/>
      <c r="E99"/>
      <c r="F99"/>
      <c r="H99"/>
      <c r="I99"/>
      <c r="J99"/>
    </row>
    <row r="100" spans="4:10" ht="12.75">
      <c r="D100"/>
      <c r="E100"/>
      <c r="F100"/>
      <c r="H100"/>
      <c r="I100"/>
      <c r="J100"/>
    </row>
    <row r="101" spans="4:10" ht="12.75">
      <c r="D101"/>
      <c r="E101"/>
      <c r="F101"/>
      <c r="H101"/>
      <c r="I101"/>
      <c r="J101"/>
    </row>
    <row r="102" spans="4:10" ht="12.75">
      <c r="D102"/>
      <c r="E102"/>
      <c r="F102"/>
      <c r="H102"/>
      <c r="I102"/>
      <c r="J102"/>
    </row>
    <row r="103" spans="4:10" ht="12.75">
      <c r="D103"/>
      <c r="E103"/>
      <c r="F103"/>
      <c r="H103"/>
      <c r="I103"/>
      <c r="J103"/>
    </row>
    <row r="104" spans="4:10" ht="12.75">
      <c r="D104"/>
      <c r="E104"/>
      <c r="F104"/>
      <c r="H104"/>
      <c r="I104"/>
      <c r="J104"/>
    </row>
    <row r="105" spans="4:10" ht="12.75">
      <c r="D105"/>
      <c r="E105"/>
      <c r="F105"/>
      <c r="H105"/>
      <c r="I105"/>
      <c r="J105"/>
    </row>
    <row r="106" spans="4:10" ht="12.75">
      <c r="D106"/>
      <c r="E106"/>
      <c r="F106"/>
      <c r="H106"/>
      <c r="I106"/>
      <c r="J106"/>
    </row>
    <row r="107" spans="4:10" ht="12.75">
      <c r="D107"/>
      <c r="E107"/>
      <c r="F107"/>
      <c r="H107"/>
      <c r="I107"/>
      <c r="J107"/>
    </row>
    <row r="108" spans="4:10" ht="12.75">
      <c r="D108"/>
      <c r="E108"/>
      <c r="F108"/>
      <c r="H108"/>
      <c r="I108"/>
      <c r="J108"/>
    </row>
    <row r="109" spans="4:10" ht="12.75">
      <c r="D109"/>
      <c r="E109"/>
      <c r="F109"/>
      <c r="H109"/>
      <c r="I109"/>
      <c r="J109"/>
    </row>
    <row r="110" spans="4:10" ht="12.75">
      <c r="D110"/>
      <c r="E110"/>
      <c r="F110"/>
      <c r="H110"/>
      <c r="I110"/>
      <c r="J110"/>
    </row>
    <row r="111" spans="4:10" ht="12.75">
      <c r="D111"/>
      <c r="E111"/>
      <c r="F111"/>
      <c r="H111"/>
      <c r="I111"/>
      <c r="J111"/>
    </row>
    <row r="112" spans="4:10" ht="12.75">
      <c r="D112"/>
      <c r="E112"/>
      <c r="F112"/>
      <c r="H112"/>
      <c r="I112"/>
      <c r="J112"/>
    </row>
    <row r="113" spans="4:10" ht="12.75">
      <c r="D113"/>
      <c r="E113"/>
      <c r="F113"/>
      <c r="H113"/>
      <c r="I113"/>
      <c r="J113"/>
    </row>
    <row r="114" spans="4:10" ht="12.75">
      <c r="D114"/>
      <c r="E114"/>
      <c r="F114"/>
      <c r="H114"/>
      <c r="I114"/>
      <c r="J114"/>
    </row>
    <row r="115" spans="4:10" ht="12.75">
      <c r="D115"/>
      <c r="E115"/>
      <c r="F115"/>
      <c r="H115"/>
      <c r="I115"/>
      <c r="J115"/>
    </row>
    <row r="116" spans="4:10" ht="12.75">
      <c r="D116"/>
      <c r="E116"/>
      <c r="F116"/>
      <c r="H116"/>
      <c r="I116"/>
      <c r="J116"/>
    </row>
    <row r="117" spans="4:10" ht="12.75">
      <c r="D117"/>
      <c r="E117"/>
      <c r="F117"/>
      <c r="H117"/>
      <c r="I117"/>
      <c r="J117"/>
    </row>
    <row r="118" spans="4:10" ht="12.75">
      <c r="D118"/>
      <c r="E118"/>
      <c r="F118"/>
      <c r="H118"/>
      <c r="I118"/>
      <c r="J118"/>
    </row>
    <row r="119" spans="4:10" ht="12.75">
      <c r="D119"/>
      <c r="E119"/>
      <c r="F119"/>
      <c r="H119"/>
      <c r="I119"/>
      <c r="J119"/>
    </row>
    <row r="120" spans="4:10" ht="12.75">
      <c r="D120"/>
      <c r="E120"/>
      <c r="F120"/>
      <c r="H120"/>
      <c r="I120"/>
      <c r="J120"/>
    </row>
    <row r="121" spans="4:10" ht="12.75">
      <c r="D121"/>
      <c r="E121"/>
      <c r="F121"/>
      <c r="H121"/>
      <c r="I121"/>
      <c r="J121"/>
    </row>
    <row r="122" spans="4:10" ht="12.75">
      <c r="D122"/>
      <c r="E122"/>
      <c r="F122"/>
      <c r="H122"/>
      <c r="I122"/>
      <c r="J122"/>
    </row>
    <row r="123" spans="4:10" ht="12.75">
      <c r="D123"/>
      <c r="E123"/>
      <c r="F123"/>
      <c r="H123"/>
      <c r="I123"/>
      <c r="J123"/>
    </row>
    <row r="124" spans="4:10" ht="12.75">
      <c r="D124"/>
      <c r="E124"/>
      <c r="F124"/>
      <c r="H124"/>
      <c r="I124"/>
      <c r="J124"/>
    </row>
    <row r="125" spans="4:10" ht="12.75">
      <c r="D125"/>
      <c r="E125"/>
      <c r="F125"/>
      <c r="H125"/>
      <c r="I125"/>
      <c r="J125"/>
    </row>
    <row r="126" spans="4:10" ht="12.75">
      <c r="D126"/>
      <c r="E126"/>
      <c r="F126"/>
      <c r="H126"/>
      <c r="I126"/>
      <c r="J126"/>
    </row>
    <row r="127" spans="4:10" ht="12.75">
      <c r="D127"/>
      <c r="E127"/>
      <c r="F127"/>
      <c r="H127"/>
      <c r="I127"/>
      <c r="J127"/>
    </row>
    <row r="128" spans="4:10" ht="12.75">
      <c r="D128"/>
      <c r="E128"/>
      <c r="F128"/>
      <c r="H128"/>
      <c r="I128"/>
      <c r="J128"/>
    </row>
    <row r="129" spans="4:10" ht="12.75">
      <c r="D129"/>
      <c r="E129"/>
      <c r="F129"/>
      <c r="H129"/>
      <c r="I129"/>
      <c r="J129"/>
    </row>
    <row r="130" spans="4:10" ht="12.75">
      <c r="D130"/>
      <c r="E130"/>
      <c r="F130"/>
      <c r="H130"/>
      <c r="I130"/>
      <c r="J130"/>
    </row>
    <row r="131" spans="4:10" ht="13.5" customHeight="1">
      <c r="D131"/>
      <c r="E131"/>
      <c r="F131"/>
      <c r="H131"/>
      <c r="I131"/>
      <c r="J131"/>
    </row>
    <row r="132" spans="4:10" ht="12.75">
      <c r="D132"/>
      <c r="E132"/>
      <c r="F132"/>
      <c r="H132"/>
      <c r="I132"/>
      <c r="J132"/>
    </row>
    <row r="133" spans="4:10" ht="12.75">
      <c r="D133"/>
      <c r="E133"/>
      <c r="F133"/>
      <c r="H133"/>
      <c r="I133"/>
      <c r="J133"/>
    </row>
    <row r="134" spans="4:10" ht="12.75">
      <c r="D134"/>
      <c r="E134"/>
      <c r="F134"/>
      <c r="H134"/>
      <c r="I134"/>
      <c r="J134"/>
    </row>
    <row r="135" spans="4:10" ht="12.75">
      <c r="D135"/>
      <c r="E135"/>
      <c r="F135"/>
      <c r="H135"/>
      <c r="I135"/>
      <c r="J135"/>
    </row>
    <row r="136" spans="4:10" ht="12.75">
      <c r="D136"/>
      <c r="E136"/>
      <c r="F136"/>
      <c r="H136"/>
      <c r="I136"/>
      <c r="J136"/>
    </row>
    <row r="137" spans="4:10" ht="12.75">
      <c r="D137"/>
      <c r="E137"/>
      <c r="F137"/>
      <c r="H137"/>
      <c r="I137"/>
      <c r="J137"/>
    </row>
    <row r="138" spans="4:10" ht="12.75">
      <c r="D138"/>
      <c r="E138"/>
      <c r="F138"/>
      <c r="H138"/>
      <c r="I138"/>
      <c r="J138"/>
    </row>
    <row r="139" spans="4:10" ht="12.75">
      <c r="D139"/>
      <c r="E139"/>
      <c r="F139"/>
      <c r="H139"/>
      <c r="I139"/>
      <c r="J139"/>
    </row>
    <row r="140" spans="4:10" ht="12.75">
      <c r="D140"/>
      <c r="E140"/>
      <c r="F140"/>
      <c r="H140"/>
      <c r="I140"/>
      <c r="J140"/>
    </row>
    <row r="141" spans="4:10" ht="12.75">
      <c r="D141"/>
      <c r="E141"/>
      <c r="F141"/>
      <c r="H141"/>
      <c r="I141"/>
      <c r="J141"/>
    </row>
    <row r="142" spans="4:10" ht="12.75">
      <c r="D142"/>
      <c r="E142"/>
      <c r="F142"/>
      <c r="H142"/>
      <c r="I142"/>
      <c r="J142"/>
    </row>
    <row r="143" spans="4:10" ht="12.75">
      <c r="D143"/>
      <c r="E143"/>
      <c r="F143"/>
      <c r="H143"/>
      <c r="I143"/>
      <c r="J143"/>
    </row>
    <row r="144" spans="4:10" ht="12.75">
      <c r="D144"/>
      <c r="E144"/>
      <c r="F144"/>
      <c r="H144"/>
      <c r="I144"/>
      <c r="J144"/>
    </row>
    <row r="145" spans="4:10" ht="12.75">
      <c r="D145"/>
      <c r="E145"/>
      <c r="F145"/>
      <c r="H145"/>
      <c r="I145"/>
      <c r="J145"/>
    </row>
    <row r="146" spans="4:10" ht="12.75">
      <c r="D146"/>
      <c r="E146"/>
      <c r="F146"/>
      <c r="H146"/>
      <c r="I146"/>
      <c r="J146"/>
    </row>
    <row r="147" spans="4:10" ht="12.75">
      <c r="D147"/>
      <c r="E147"/>
      <c r="F147"/>
      <c r="H147"/>
      <c r="I147"/>
      <c r="J147"/>
    </row>
    <row r="148" spans="4:10" ht="12.75">
      <c r="D148"/>
      <c r="E148"/>
      <c r="F148"/>
      <c r="H148"/>
      <c r="I148"/>
      <c r="J148"/>
    </row>
    <row r="149" spans="4:10" ht="12.75">
      <c r="D149"/>
      <c r="E149"/>
      <c r="F149"/>
      <c r="H149"/>
      <c r="I149"/>
      <c r="J149"/>
    </row>
    <row r="150" spans="4:10" ht="12.75">
      <c r="D150"/>
      <c r="E150"/>
      <c r="F150"/>
      <c r="H150"/>
      <c r="I150"/>
      <c r="J150"/>
    </row>
    <row r="151" spans="4:10" ht="12.75">
      <c r="D151"/>
      <c r="E151"/>
      <c r="F151"/>
      <c r="H151"/>
      <c r="I151"/>
      <c r="J151"/>
    </row>
    <row r="152" spans="4:10" ht="12.75">
      <c r="D152"/>
      <c r="E152"/>
      <c r="F152"/>
      <c r="H152"/>
      <c r="I152"/>
      <c r="J152"/>
    </row>
    <row r="153" spans="4:10" ht="12.75">
      <c r="D153"/>
      <c r="E153"/>
      <c r="F153"/>
      <c r="H153"/>
      <c r="I153"/>
      <c r="J153"/>
    </row>
    <row r="154" spans="4:10" ht="12.75">
      <c r="D154"/>
      <c r="E154"/>
      <c r="F154"/>
      <c r="H154"/>
      <c r="I154"/>
      <c r="J154"/>
    </row>
    <row r="155" spans="4:10" ht="12.75">
      <c r="D155"/>
      <c r="E155"/>
      <c r="F155"/>
      <c r="H155"/>
      <c r="I155"/>
      <c r="J155"/>
    </row>
    <row r="156" spans="4:10" ht="12.75">
      <c r="D156"/>
      <c r="E156"/>
      <c r="F156"/>
      <c r="H156"/>
      <c r="I156"/>
      <c r="J156"/>
    </row>
    <row r="157" spans="4:10" ht="12.75">
      <c r="D157"/>
      <c r="E157"/>
      <c r="F157"/>
      <c r="H157"/>
      <c r="I157"/>
      <c r="J157"/>
    </row>
    <row r="158" spans="4:10" ht="12.75">
      <c r="D158"/>
      <c r="E158"/>
      <c r="F158"/>
      <c r="H158"/>
      <c r="I158"/>
      <c r="J158"/>
    </row>
    <row r="159" spans="4:10" ht="12.75">
      <c r="D159"/>
      <c r="E159"/>
      <c r="F159"/>
      <c r="H159"/>
      <c r="I159"/>
      <c r="J159"/>
    </row>
    <row r="160" spans="4:10" ht="12.75">
      <c r="D160"/>
      <c r="E160"/>
      <c r="F160"/>
      <c r="H160"/>
      <c r="I160"/>
      <c r="J160"/>
    </row>
    <row r="161" spans="4:10" ht="12.75">
      <c r="D161"/>
      <c r="E161"/>
      <c r="F161"/>
      <c r="H161"/>
      <c r="I161"/>
      <c r="J161"/>
    </row>
    <row r="162" spans="4:10" ht="12.75">
      <c r="D162"/>
      <c r="E162"/>
      <c r="F162"/>
      <c r="H162"/>
      <c r="I162"/>
      <c r="J162"/>
    </row>
    <row r="163" spans="4:10" ht="12.75">
      <c r="D163"/>
      <c r="E163"/>
      <c r="F163"/>
      <c r="H163"/>
      <c r="I163"/>
      <c r="J163"/>
    </row>
    <row r="164" spans="4:10" ht="12.75">
      <c r="D164"/>
      <c r="E164"/>
      <c r="F164"/>
      <c r="H164"/>
      <c r="I164"/>
      <c r="J164"/>
    </row>
    <row r="165" spans="4:10" ht="12.75">
      <c r="D165"/>
      <c r="E165"/>
      <c r="F165"/>
      <c r="H165"/>
      <c r="I165"/>
      <c r="J165"/>
    </row>
    <row r="166" spans="4:10" ht="12.75">
      <c r="D166"/>
      <c r="E166"/>
      <c r="F166"/>
      <c r="H166"/>
      <c r="I166"/>
      <c r="J166"/>
    </row>
    <row r="167" spans="4:10" ht="12.75">
      <c r="D167"/>
      <c r="E167"/>
      <c r="F167"/>
      <c r="H167"/>
      <c r="I167"/>
      <c r="J167"/>
    </row>
    <row r="168" spans="4:10" ht="12.75">
      <c r="D168"/>
      <c r="E168"/>
      <c r="F168"/>
      <c r="H168"/>
      <c r="I168"/>
      <c r="J168"/>
    </row>
    <row r="169" spans="4:10" ht="12.75">
      <c r="D169"/>
      <c r="E169"/>
      <c r="F169"/>
      <c r="H169"/>
      <c r="I169"/>
      <c r="J169"/>
    </row>
    <row r="170" spans="4:10" ht="12.75">
      <c r="D170"/>
      <c r="E170"/>
      <c r="F170"/>
      <c r="H170"/>
      <c r="I170"/>
      <c r="J170"/>
    </row>
    <row r="171" spans="4:10" ht="12.75">
      <c r="D171"/>
      <c r="E171"/>
      <c r="F171"/>
      <c r="H171"/>
      <c r="I171"/>
      <c r="J171"/>
    </row>
    <row r="172" spans="4:10" ht="12.75">
      <c r="D172"/>
      <c r="E172"/>
      <c r="F172"/>
      <c r="H172"/>
      <c r="I172"/>
      <c r="J172"/>
    </row>
    <row r="173" spans="4:10" ht="12.75">
      <c r="D173"/>
      <c r="E173"/>
      <c r="F173"/>
      <c r="H173"/>
      <c r="I173"/>
      <c r="J173"/>
    </row>
    <row r="174" spans="4:10" ht="12.75">
      <c r="D174"/>
      <c r="E174"/>
      <c r="F174"/>
      <c r="H174"/>
      <c r="I174"/>
      <c r="J174"/>
    </row>
    <row r="175" spans="4:10" ht="12.75">
      <c r="D175"/>
      <c r="E175"/>
      <c r="F175"/>
      <c r="H175"/>
      <c r="I175"/>
      <c r="J175"/>
    </row>
    <row r="176" spans="4:10" ht="12.75">
      <c r="D176"/>
      <c r="E176"/>
      <c r="F176"/>
      <c r="H176"/>
      <c r="I176"/>
      <c r="J176"/>
    </row>
    <row r="177" spans="4:10" ht="12.75">
      <c r="D177"/>
      <c r="E177"/>
      <c r="F177"/>
      <c r="H177"/>
      <c r="I177"/>
      <c r="J177"/>
    </row>
    <row r="178" spans="4:10" ht="12.75">
      <c r="D178"/>
      <c r="E178"/>
      <c r="F178"/>
      <c r="H178"/>
      <c r="I178"/>
      <c r="J178"/>
    </row>
    <row r="179" spans="4:10" ht="12.75">
      <c r="D179"/>
      <c r="E179"/>
      <c r="F179"/>
      <c r="H179"/>
      <c r="I179"/>
      <c r="J179"/>
    </row>
    <row r="180" spans="4:10" ht="12.75">
      <c r="D180"/>
      <c r="E180"/>
      <c r="F180"/>
      <c r="H180"/>
      <c r="I180"/>
      <c r="J180"/>
    </row>
    <row r="181" spans="4:10" ht="12.75">
      <c r="D181"/>
      <c r="E181"/>
      <c r="F181"/>
      <c r="H181"/>
      <c r="I181"/>
      <c r="J181"/>
    </row>
    <row r="182" spans="4:10" ht="12.75">
      <c r="D182"/>
      <c r="E182"/>
      <c r="F182"/>
      <c r="H182"/>
      <c r="I182"/>
      <c r="J182"/>
    </row>
    <row r="183" spans="4:10" ht="12.75">
      <c r="D183"/>
      <c r="E183"/>
      <c r="F183"/>
      <c r="H183"/>
      <c r="I183"/>
      <c r="J183"/>
    </row>
    <row r="184" spans="4:10" ht="12.75">
      <c r="D184"/>
      <c r="E184"/>
      <c r="F184"/>
      <c r="H184"/>
      <c r="I184"/>
      <c r="J184"/>
    </row>
    <row r="185" spans="4:10" ht="12.75">
      <c r="D185"/>
      <c r="E185"/>
      <c r="F185"/>
      <c r="H185"/>
      <c r="I185"/>
      <c r="J185"/>
    </row>
    <row r="186" spans="4:10" ht="12.75">
      <c r="D186"/>
      <c r="E186"/>
      <c r="F186"/>
      <c r="H186"/>
      <c r="I186"/>
      <c r="J186"/>
    </row>
    <row r="187" spans="4:10" ht="12.75">
      <c r="D187"/>
      <c r="E187"/>
      <c r="F187"/>
      <c r="H187"/>
      <c r="I187"/>
      <c r="J187"/>
    </row>
    <row r="188" spans="4:10" ht="12.75">
      <c r="D188"/>
      <c r="E188"/>
      <c r="F188"/>
      <c r="H188"/>
      <c r="I188"/>
      <c r="J188"/>
    </row>
    <row r="189" spans="4:10" ht="12.75">
      <c r="D189"/>
      <c r="E189"/>
      <c r="F189"/>
      <c r="H189"/>
      <c r="I189"/>
      <c r="J189"/>
    </row>
    <row r="190" spans="4:10" ht="12.75">
      <c r="D190"/>
      <c r="E190"/>
      <c r="F190"/>
      <c r="H190"/>
      <c r="I190"/>
      <c r="J190"/>
    </row>
    <row r="191" spans="4:10" ht="12.75">
      <c r="D191"/>
      <c r="E191"/>
      <c r="F191"/>
      <c r="H191"/>
      <c r="I191"/>
      <c r="J191"/>
    </row>
    <row r="192" spans="4:10" ht="12.75">
      <c r="D192"/>
      <c r="E192"/>
      <c r="F192"/>
      <c r="H192"/>
      <c r="I192"/>
      <c r="J192"/>
    </row>
    <row r="193" spans="4:10" ht="12.75">
      <c r="D193"/>
      <c r="E193"/>
      <c r="F193"/>
      <c r="H193"/>
      <c r="I193"/>
      <c r="J193"/>
    </row>
    <row r="194" spans="4:10" ht="12.75">
      <c r="D194"/>
      <c r="E194"/>
      <c r="F194"/>
      <c r="H194"/>
      <c r="I194"/>
      <c r="J194"/>
    </row>
    <row r="195" spans="4:10" ht="12.75">
      <c r="D195"/>
      <c r="E195"/>
      <c r="F195"/>
      <c r="H195"/>
      <c r="I195"/>
      <c r="J195"/>
    </row>
    <row r="196" spans="4:10" ht="12.75">
      <c r="D196"/>
      <c r="E196"/>
      <c r="F196"/>
      <c r="H196"/>
      <c r="I196"/>
      <c r="J196"/>
    </row>
    <row r="197" spans="4:10" ht="12.75">
      <c r="D197"/>
      <c r="E197"/>
      <c r="F197"/>
      <c r="H197"/>
      <c r="I197"/>
      <c r="J197"/>
    </row>
    <row r="198" spans="4:10" ht="12.75">
      <c r="D198"/>
      <c r="E198"/>
      <c r="F198"/>
      <c r="H198"/>
      <c r="I198"/>
      <c r="J198"/>
    </row>
    <row r="199" spans="4:10" ht="12.75">
      <c r="D199"/>
      <c r="E199"/>
      <c r="F199"/>
      <c r="H199"/>
      <c r="I199"/>
      <c r="J199"/>
    </row>
    <row r="200" spans="4:10" ht="12.75">
      <c r="D200"/>
      <c r="E200"/>
      <c r="F200"/>
      <c r="H200"/>
      <c r="I200"/>
      <c r="J200"/>
    </row>
    <row r="201" spans="4:10" ht="12.75">
      <c r="D201"/>
      <c r="E201"/>
      <c r="F201"/>
      <c r="H201"/>
      <c r="I201"/>
      <c r="J201"/>
    </row>
    <row r="202" spans="4:10" ht="12.75">
      <c r="D202"/>
      <c r="E202"/>
      <c r="F202"/>
      <c r="H202"/>
      <c r="I202"/>
      <c r="J202"/>
    </row>
    <row r="203" spans="4:10" ht="12.75">
      <c r="D203"/>
      <c r="E203"/>
      <c r="F203"/>
      <c r="H203"/>
      <c r="I203"/>
      <c r="J203"/>
    </row>
    <row r="204" spans="4:10" ht="12.75">
      <c r="D204"/>
      <c r="E204"/>
      <c r="F204"/>
      <c r="H204"/>
      <c r="I204"/>
      <c r="J204"/>
    </row>
    <row r="205" spans="4:10" ht="12.75">
      <c r="D205"/>
      <c r="E205"/>
      <c r="F205"/>
      <c r="H205"/>
      <c r="I205"/>
      <c r="J205"/>
    </row>
    <row r="206" spans="4:10" ht="12.75">
      <c r="D206"/>
      <c r="E206"/>
      <c r="F206"/>
      <c r="H206"/>
      <c r="I206"/>
      <c r="J206"/>
    </row>
    <row r="207" spans="4:10" ht="12.75">
      <c r="D207"/>
      <c r="E207"/>
      <c r="F207"/>
      <c r="H207"/>
      <c r="I207"/>
      <c r="J207"/>
    </row>
    <row r="208" spans="4:10" ht="12.75">
      <c r="D208"/>
      <c r="E208"/>
      <c r="F208"/>
      <c r="H208"/>
      <c r="I208"/>
      <c r="J208"/>
    </row>
    <row r="209" spans="4:10" ht="12.75">
      <c r="D209"/>
      <c r="E209"/>
      <c r="F209"/>
      <c r="H209"/>
      <c r="I209"/>
      <c r="J209"/>
    </row>
    <row r="210" spans="4:10" ht="12.75">
      <c r="D210"/>
      <c r="E210"/>
      <c r="F210"/>
      <c r="H210"/>
      <c r="I210"/>
      <c r="J210"/>
    </row>
    <row r="211" spans="4:10" ht="12.75">
      <c r="D211"/>
      <c r="E211"/>
      <c r="F211"/>
      <c r="H211"/>
      <c r="I211"/>
      <c r="J211"/>
    </row>
    <row r="212" spans="4:10" ht="12.75">
      <c r="D212"/>
      <c r="E212"/>
      <c r="F212"/>
      <c r="H212"/>
      <c r="I212"/>
      <c r="J212"/>
    </row>
    <row r="213" spans="4:10" ht="12.75">
      <c r="D213"/>
      <c r="E213"/>
      <c r="F213"/>
      <c r="H213"/>
      <c r="I213"/>
      <c r="J213"/>
    </row>
    <row r="214" spans="4:10" ht="12.75">
      <c r="D214"/>
      <c r="E214"/>
      <c r="F214"/>
      <c r="H214"/>
      <c r="I214"/>
      <c r="J214"/>
    </row>
    <row r="215" spans="4:10" ht="12.75">
      <c r="D215"/>
      <c r="E215"/>
      <c r="F215"/>
      <c r="H215"/>
      <c r="I215"/>
      <c r="J215"/>
    </row>
    <row r="216" spans="4:10" ht="12.75">
      <c r="D216"/>
      <c r="E216"/>
      <c r="F216"/>
      <c r="H216"/>
      <c r="I216"/>
      <c r="J216"/>
    </row>
    <row r="217" spans="4:10" ht="12.75">
      <c r="D217"/>
      <c r="E217"/>
      <c r="F217"/>
      <c r="H217"/>
      <c r="I217"/>
      <c r="J217"/>
    </row>
    <row r="218" spans="4:10" ht="12.75">
      <c r="D218"/>
      <c r="E218"/>
      <c r="F218"/>
      <c r="H218"/>
      <c r="I218"/>
      <c r="J218"/>
    </row>
    <row r="219" spans="4:10" ht="12.75">
      <c r="D219"/>
      <c r="E219"/>
      <c r="F219"/>
      <c r="H219"/>
      <c r="I219"/>
      <c r="J219"/>
    </row>
    <row r="220" spans="4:10" ht="12.75">
      <c r="D220"/>
      <c r="E220"/>
      <c r="F220"/>
      <c r="H220"/>
      <c r="I220"/>
      <c r="J220"/>
    </row>
    <row r="221" spans="4:10" ht="12.75">
      <c r="D221"/>
      <c r="E221"/>
      <c r="F221"/>
      <c r="H221"/>
      <c r="I221"/>
      <c r="J221"/>
    </row>
    <row r="222" spans="4:10" ht="12.75">
      <c r="D222"/>
      <c r="E222"/>
      <c r="F222"/>
      <c r="H222"/>
      <c r="I222"/>
      <c r="J222"/>
    </row>
    <row r="223" spans="4:10" ht="12.75">
      <c r="D223"/>
      <c r="E223"/>
      <c r="F223"/>
      <c r="H223"/>
      <c r="I223"/>
      <c r="J223"/>
    </row>
    <row r="224" spans="4:10" ht="12.75">
      <c r="D224"/>
      <c r="E224"/>
      <c r="F224"/>
      <c r="H224"/>
      <c r="I224"/>
      <c r="J224"/>
    </row>
    <row r="225" spans="4:10" ht="12.75">
      <c r="D225"/>
      <c r="E225"/>
      <c r="F225"/>
      <c r="H225"/>
      <c r="I225"/>
      <c r="J225"/>
    </row>
    <row r="226" spans="4:10" ht="12.75">
      <c r="D226"/>
      <c r="E226"/>
      <c r="F226"/>
      <c r="H226"/>
      <c r="I226"/>
      <c r="J226"/>
    </row>
    <row r="227" spans="4:10" ht="12.75">
      <c r="D227"/>
      <c r="E227"/>
      <c r="F227"/>
      <c r="H227"/>
      <c r="I227"/>
      <c r="J227"/>
    </row>
    <row r="228" spans="4:10" ht="12.75">
      <c r="D228"/>
      <c r="E228"/>
      <c r="F228"/>
      <c r="H228"/>
      <c r="I228"/>
      <c r="J228"/>
    </row>
    <row r="229" spans="4:10" ht="12.75">
      <c r="D229"/>
      <c r="E229"/>
      <c r="F229"/>
      <c r="H229"/>
      <c r="I229"/>
      <c r="J229"/>
    </row>
    <row r="230" spans="4:10" ht="12.75">
      <c r="D230"/>
      <c r="E230"/>
      <c r="F230"/>
      <c r="H230"/>
      <c r="I230"/>
      <c r="J230"/>
    </row>
    <row r="231" spans="4:10" ht="12.75">
      <c r="D231"/>
      <c r="E231"/>
      <c r="F231"/>
      <c r="H231"/>
      <c r="I231"/>
      <c r="J231"/>
    </row>
    <row r="232" spans="4:10" ht="12.75">
      <c r="D232"/>
      <c r="E232"/>
      <c r="F232"/>
      <c r="H232"/>
      <c r="I232"/>
      <c r="J232"/>
    </row>
    <row r="233" spans="4:10" ht="12.75">
      <c r="D233"/>
      <c r="E233"/>
      <c r="F233"/>
      <c r="H233"/>
      <c r="I233"/>
      <c r="J233"/>
    </row>
    <row r="234" spans="4:10" ht="12.75">
      <c r="D234"/>
      <c r="E234"/>
      <c r="F234"/>
      <c r="H234"/>
      <c r="I234"/>
      <c r="J234"/>
    </row>
    <row r="235" spans="4:10" ht="12.75">
      <c r="D235"/>
      <c r="E235"/>
      <c r="F235"/>
      <c r="H235"/>
      <c r="I235"/>
      <c r="J235"/>
    </row>
    <row r="236" spans="4:10" ht="12.75">
      <c r="D236"/>
      <c r="E236"/>
      <c r="F236"/>
      <c r="H236"/>
      <c r="I236"/>
      <c r="J236"/>
    </row>
    <row r="237" spans="4:10" ht="12.75">
      <c r="D237"/>
      <c r="E237"/>
      <c r="F237"/>
      <c r="H237"/>
      <c r="I237"/>
      <c r="J237"/>
    </row>
    <row r="238" spans="4:10" ht="12.75">
      <c r="D238"/>
      <c r="E238"/>
      <c r="F238"/>
      <c r="H238"/>
      <c r="I238"/>
      <c r="J238"/>
    </row>
    <row r="239" spans="4:10" ht="12.75">
      <c r="D239"/>
      <c r="E239"/>
      <c r="F239"/>
      <c r="H239"/>
      <c r="I239"/>
      <c r="J239"/>
    </row>
    <row r="240" spans="4:10" ht="12.75">
      <c r="D240"/>
      <c r="E240"/>
      <c r="F240"/>
      <c r="H240"/>
      <c r="I240"/>
      <c r="J240"/>
    </row>
    <row r="241" spans="4:10" ht="12.75">
      <c r="D241"/>
      <c r="E241"/>
      <c r="F241"/>
      <c r="H241"/>
      <c r="I241"/>
      <c r="J241"/>
    </row>
    <row r="242" spans="4:10" ht="12.75">
      <c r="D242"/>
      <c r="E242"/>
      <c r="F242"/>
      <c r="H242"/>
      <c r="I242"/>
      <c r="J242"/>
    </row>
    <row r="243" spans="4:10" ht="12.75">
      <c r="D243"/>
      <c r="E243"/>
      <c r="F243"/>
      <c r="H243"/>
      <c r="I243"/>
      <c r="J243"/>
    </row>
    <row r="244" spans="4:10" ht="12.75">
      <c r="D244"/>
      <c r="E244"/>
      <c r="F244"/>
      <c r="H244"/>
      <c r="I244"/>
      <c r="J244"/>
    </row>
    <row r="245" spans="4:10" ht="12.75">
      <c r="D245"/>
      <c r="E245"/>
      <c r="F245"/>
      <c r="H245"/>
      <c r="I245"/>
      <c r="J245"/>
    </row>
    <row r="246" spans="4:10" ht="12.75">
      <c r="D246"/>
      <c r="E246"/>
      <c r="F246"/>
      <c r="H246"/>
      <c r="I246"/>
      <c r="J246"/>
    </row>
    <row r="247" spans="4:10" ht="12.75">
      <c r="D247"/>
      <c r="E247"/>
      <c r="F247"/>
      <c r="H247"/>
      <c r="I247"/>
      <c r="J247"/>
    </row>
    <row r="248" spans="4:10" ht="12.75">
      <c r="D248"/>
      <c r="E248"/>
      <c r="F248"/>
      <c r="H248"/>
      <c r="I248"/>
      <c r="J248"/>
    </row>
    <row r="249" spans="4:10" ht="12.75">
      <c r="D249"/>
      <c r="E249"/>
      <c r="F249"/>
      <c r="H249"/>
      <c r="I249"/>
      <c r="J249"/>
    </row>
    <row r="250" spans="4:10" ht="12.75">
      <c r="D250"/>
      <c r="E250"/>
      <c r="F250"/>
      <c r="H250"/>
      <c r="I250"/>
      <c r="J250"/>
    </row>
    <row r="251" spans="4:10" ht="12.75">
      <c r="D251"/>
      <c r="E251"/>
      <c r="F251"/>
      <c r="H251"/>
      <c r="I251"/>
      <c r="J251"/>
    </row>
    <row r="252" spans="4:10" ht="12.75">
      <c r="D252"/>
      <c r="E252"/>
      <c r="F252"/>
      <c r="H252"/>
      <c r="I252"/>
      <c r="J252"/>
    </row>
    <row r="253" spans="4:10" ht="12.75">
      <c r="D253"/>
      <c r="E253"/>
      <c r="F253"/>
      <c r="H253"/>
      <c r="I253"/>
      <c r="J253"/>
    </row>
    <row r="254" spans="4:10" ht="12.75">
      <c r="D254"/>
      <c r="E254"/>
      <c r="F254"/>
      <c r="H254"/>
      <c r="I254"/>
      <c r="J254"/>
    </row>
    <row r="255" spans="4:10" ht="12.75">
      <c r="D255"/>
      <c r="E255"/>
      <c r="F255"/>
      <c r="H255"/>
      <c r="I255"/>
      <c r="J255"/>
    </row>
    <row r="256" spans="4:10" ht="12.75">
      <c r="D256"/>
      <c r="E256"/>
      <c r="F256"/>
      <c r="H256"/>
      <c r="I256"/>
      <c r="J256"/>
    </row>
    <row r="257" spans="4:10" ht="12.75">
      <c r="D257"/>
      <c r="E257"/>
      <c r="F257"/>
      <c r="H257"/>
      <c r="I257"/>
      <c r="J257"/>
    </row>
    <row r="258" spans="4:10" ht="12.75">
      <c r="D258"/>
      <c r="E258"/>
      <c r="F258"/>
      <c r="H258"/>
      <c r="I258"/>
      <c r="J258"/>
    </row>
    <row r="259" spans="4:10" ht="12.75">
      <c r="D259"/>
      <c r="E259"/>
      <c r="F259"/>
      <c r="H259"/>
      <c r="I259"/>
      <c r="J259"/>
    </row>
    <row r="260" spans="4:10" ht="12.75">
      <c r="D260"/>
      <c r="E260"/>
      <c r="F260"/>
      <c r="H260"/>
      <c r="I260"/>
      <c r="J260"/>
    </row>
    <row r="261" spans="4:10" ht="12.75">
      <c r="D261"/>
      <c r="E261"/>
      <c r="F261"/>
      <c r="H261"/>
      <c r="I261"/>
      <c r="J261"/>
    </row>
    <row r="262" spans="4:10" ht="12.75">
      <c r="D262"/>
      <c r="E262"/>
      <c r="F262"/>
      <c r="H262"/>
      <c r="I262"/>
      <c r="J262"/>
    </row>
    <row r="263" spans="4:10" ht="12.75">
      <c r="D263"/>
      <c r="E263"/>
      <c r="F263"/>
      <c r="H263"/>
      <c r="I263"/>
      <c r="J263"/>
    </row>
    <row r="264" spans="4:10" ht="12.75">
      <c r="D264"/>
      <c r="E264"/>
      <c r="F264"/>
      <c r="H264"/>
      <c r="I264"/>
      <c r="J264"/>
    </row>
    <row r="265" spans="4:10" ht="12.75">
      <c r="D265"/>
      <c r="E265"/>
      <c r="F265"/>
      <c r="H265"/>
      <c r="I265"/>
      <c r="J265"/>
    </row>
    <row r="266" spans="4:10" ht="12.75">
      <c r="D266"/>
      <c r="E266"/>
      <c r="F266"/>
      <c r="H266"/>
      <c r="I266"/>
      <c r="J266"/>
    </row>
    <row r="267" spans="4:10" ht="12.75">
      <c r="D267"/>
      <c r="E267"/>
      <c r="F267"/>
      <c r="H267"/>
      <c r="I267"/>
      <c r="J267"/>
    </row>
    <row r="268" spans="4:10" ht="12.75">
      <c r="D268"/>
      <c r="E268"/>
      <c r="F268"/>
      <c r="H268"/>
      <c r="I268"/>
      <c r="J268"/>
    </row>
    <row r="269" spans="4:10" ht="12.75">
      <c r="D269"/>
      <c r="E269"/>
      <c r="F269"/>
      <c r="H269"/>
      <c r="I269"/>
      <c r="J269"/>
    </row>
    <row r="270" spans="4:10" ht="12.75">
      <c r="D270"/>
      <c r="E270"/>
      <c r="F270"/>
      <c r="H270"/>
      <c r="I270"/>
      <c r="J270"/>
    </row>
    <row r="271" spans="4:10" ht="12.75">
      <c r="D271"/>
      <c r="E271"/>
      <c r="F271"/>
      <c r="H271"/>
      <c r="I271"/>
      <c r="J271"/>
    </row>
    <row r="272" spans="4:10" ht="12.75">
      <c r="D272"/>
      <c r="E272"/>
      <c r="F272"/>
      <c r="H272"/>
      <c r="I272"/>
      <c r="J272"/>
    </row>
    <row r="273" spans="4:10" ht="12.75">
      <c r="D273"/>
      <c r="E273"/>
      <c r="F273"/>
      <c r="H273"/>
      <c r="I273"/>
      <c r="J273"/>
    </row>
    <row r="274" spans="4:10" ht="12.75">
      <c r="D274"/>
      <c r="E274"/>
      <c r="F274"/>
      <c r="H274"/>
      <c r="I274"/>
      <c r="J274"/>
    </row>
    <row r="275" spans="4:10" ht="12.75">
      <c r="D275"/>
      <c r="E275"/>
      <c r="F275"/>
      <c r="H275"/>
      <c r="I275"/>
      <c r="J275"/>
    </row>
    <row r="276" spans="4:10" ht="12.75">
      <c r="D276"/>
      <c r="E276"/>
      <c r="F276"/>
      <c r="H276"/>
      <c r="I276"/>
      <c r="J276"/>
    </row>
    <row r="277" spans="4:10" ht="12.75">
      <c r="D277"/>
      <c r="E277"/>
      <c r="F277"/>
      <c r="H277"/>
      <c r="I277"/>
      <c r="J277"/>
    </row>
    <row r="278" spans="4:10" ht="12.75">
      <c r="D278"/>
      <c r="E278"/>
      <c r="F278"/>
      <c r="H278"/>
      <c r="I278"/>
      <c r="J278"/>
    </row>
    <row r="279" spans="4:10" ht="12.75">
      <c r="D279"/>
      <c r="E279"/>
      <c r="F279"/>
      <c r="H279"/>
      <c r="I279"/>
      <c r="J279"/>
    </row>
    <row r="280" spans="4:10" ht="12.75">
      <c r="D280"/>
      <c r="E280"/>
      <c r="F280"/>
      <c r="H280"/>
      <c r="I280"/>
      <c r="J280"/>
    </row>
    <row r="281" spans="4:10" ht="12.75">
      <c r="D281"/>
      <c r="E281"/>
      <c r="F281"/>
      <c r="H281"/>
      <c r="I281"/>
      <c r="J281"/>
    </row>
    <row r="282" spans="4:10" ht="12.75">
      <c r="D282"/>
      <c r="E282"/>
      <c r="F282"/>
      <c r="H282"/>
      <c r="I282"/>
      <c r="J282"/>
    </row>
    <row r="283" spans="4:10" ht="12.75">
      <c r="D283"/>
      <c r="E283"/>
      <c r="F283"/>
      <c r="H283"/>
      <c r="I283"/>
      <c r="J283"/>
    </row>
    <row r="284" spans="4:10" ht="12.75">
      <c r="D284"/>
      <c r="E284"/>
      <c r="F284"/>
      <c r="H284"/>
      <c r="I284"/>
      <c r="J284"/>
    </row>
    <row r="285" spans="4:10" ht="12.75">
      <c r="D285"/>
      <c r="E285"/>
      <c r="F285"/>
      <c r="H285"/>
      <c r="I285"/>
      <c r="J285"/>
    </row>
    <row r="286" spans="4:10" ht="12.75">
      <c r="D286"/>
      <c r="E286"/>
      <c r="F286"/>
      <c r="H286"/>
      <c r="I286"/>
      <c r="J286"/>
    </row>
    <row r="287" spans="4:10" ht="12.75">
      <c r="D287"/>
      <c r="E287"/>
      <c r="F287"/>
      <c r="H287"/>
      <c r="I287"/>
      <c r="J287"/>
    </row>
    <row r="288" spans="4:10" ht="12.75">
      <c r="D288"/>
      <c r="E288"/>
      <c r="F288"/>
      <c r="H288"/>
      <c r="I288"/>
      <c r="J288"/>
    </row>
    <row r="289" spans="4:10" ht="12.75">
      <c r="D289"/>
      <c r="E289"/>
      <c r="F289"/>
      <c r="H289"/>
      <c r="I289"/>
      <c r="J289"/>
    </row>
    <row r="290" spans="4:10" ht="12.75">
      <c r="D290"/>
      <c r="E290"/>
      <c r="F290"/>
      <c r="H290"/>
      <c r="I290"/>
      <c r="J290"/>
    </row>
    <row r="291" spans="4:10" ht="12.75">
      <c r="D291"/>
      <c r="E291"/>
      <c r="F291"/>
      <c r="H291"/>
      <c r="I291"/>
      <c r="J291"/>
    </row>
    <row r="292" spans="4:10" ht="12.75">
      <c r="D292"/>
      <c r="E292"/>
      <c r="F292"/>
      <c r="H292"/>
      <c r="I292"/>
      <c r="J292"/>
    </row>
    <row r="293" spans="4:10" ht="12.75">
      <c r="D293"/>
      <c r="E293"/>
      <c r="F293"/>
      <c r="H293"/>
      <c r="I293"/>
      <c r="J293"/>
    </row>
    <row r="294" spans="4:10" ht="12.75">
      <c r="D294"/>
      <c r="E294"/>
      <c r="F294"/>
      <c r="H294"/>
      <c r="I294"/>
      <c r="J294"/>
    </row>
    <row r="295" spans="4:10" ht="12.75">
      <c r="D295"/>
      <c r="E295"/>
      <c r="F295"/>
      <c r="H295"/>
      <c r="I295"/>
      <c r="J295"/>
    </row>
    <row r="296" spans="4:10" ht="12.75">
      <c r="D296"/>
      <c r="E296"/>
      <c r="F296"/>
      <c r="H296"/>
      <c r="I296"/>
      <c r="J296"/>
    </row>
    <row r="297" spans="4:10" ht="12.75">
      <c r="D297"/>
      <c r="E297"/>
      <c r="F297"/>
      <c r="H297"/>
      <c r="I297"/>
      <c r="J297"/>
    </row>
    <row r="298" spans="4:10" ht="12.75">
      <c r="D298"/>
      <c r="E298"/>
      <c r="F298"/>
      <c r="H298"/>
      <c r="I298"/>
      <c r="J298"/>
    </row>
    <row r="299" spans="4:10" ht="12.75">
      <c r="D299"/>
      <c r="E299"/>
      <c r="F299"/>
      <c r="H299"/>
      <c r="I299"/>
      <c r="J299"/>
    </row>
    <row r="300" spans="4:10" ht="12.75">
      <c r="D300"/>
      <c r="E300"/>
      <c r="F300"/>
      <c r="H300"/>
      <c r="I300"/>
      <c r="J300"/>
    </row>
    <row r="301" spans="4:10" ht="12.75">
      <c r="D301"/>
      <c r="E301"/>
      <c r="F301"/>
      <c r="H301"/>
      <c r="I301"/>
      <c r="J301"/>
    </row>
    <row r="302" spans="4:10" ht="12.75">
      <c r="D302"/>
      <c r="E302"/>
      <c r="F302"/>
      <c r="H302"/>
      <c r="I302"/>
      <c r="J302"/>
    </row>
    <row r="303" spans="4:10" ht="12.75">
      <c r="D303"/>
      <c r="E303"/>
      <c r="F303"/>
      <c r="H303"/>
      <c r="I303"/>
      <c r="J303"/>
    </row>
    <row r="304" spans="4:10" ht="12.75">
      <c r="D304"/>
      <c r="E304"/>
      <c r="F304"/>
      <c r="H304"/>
      <c r="I304"/>
      <c r="J304"/>
    </row>
    <row r="305" spans="4:10" ht="12.75">
      <c r="D305"/>
      <c r="E305"/>
      <c r="F305"/>
      <c r="H305"/>
      <c r="I305"/>
      <c r="J305"/>
    </row>
    <row r="306" spans="4:10" ht="12.75">
      <c r="D306"/>
      <c r="E306"/>
      <c r="F306"/>
      <c r="H306"/>
      <c r="I306"/>
      <c r="J306"/>
    </row>
    <row r="307" spans="4:10" ht="12.75">
      <c r="D307"/>
      <c r="E307"/>
      <c r="F307"/>
      <c r="H307"/>
      <c r="I307"/>
      <c r="J307"/>
    </row>
    <row r="308" spans="4:10" ht="12.75">
      <c r="D308"/>
      <c r="E308"/>
      <c r="F308"/>
      <c r="H308"/>
      <c r="I308"/>
      <c r="J308"/>
    </row>
    <row r="309" spans="4:10" ht="12.75">
      <c r="D309"/>
      <c r="E309"/>
      <c r="F309"/>
      <c r="H309"/>
      <c r="I309"/>
      <c r="J309"/>
    </row>
    <row r="310" spans="4:10" ht="12.75">
      <c r="D310"/>
      <c r="E310"/>
      <c r="F310"/>
      <c r="H310"/>
      <c r="I310"/>
      <c r="J310"/>
    </row>
    <row r="311" spans="4:10" ht="12.75">
      <c r="D311"/>
      <c r="E311"/>
      <c r="F311"/>
      <c r="H311"/>
      <c r="I311"/>
      <c r="J311"/>
    </row>
    <row r="312" spans="4:10" ht="12.75">
      <c r="D312"/>
      <c r="E312"/>
      <c r="F312"/>
      <c r="H312"/>
      <c r="I312"/>
      <c r="J312"/>
    </row>
    <row r="313" spans="4:10" ht="12.75">
      <c r="D313"/>
      <c r="E313"/>
      <c r="F313"/>
      <c r="H313"/>
      <c r="I313"/>
      <c r="J313"/>
    </row>
    <row r="314" spans="4:10" ht="12.75">
      <c r="D314"/>
      <c r="E314"/>
      <c r="F314"/>
      <c r="H314"/>
      <c r="I314"/>
      <c r="J314"/>
    </row>
    <row r="315" spans="4:10" ht="12.75">
      <c r="D315"/>
      <c r="E315"/>
      <c r="F315"/>
      <c r="H315"/>
      <c r="I315"/>
      <c r="J315"/>
    </row>
    <row r="316" spans="4:10" ht="12.75">
      <c r="D316"/>
      <c r="E316"/>
      <c r="F316"/>
      <c r="H316"/>
      <c r="I316"/>
      <c r="J316"/>
    </row>
    <row r="317" spans="4:10" ht="12.75">
      <c r="D317"/>
      <c r="E317"/>
      <c r="F317"/>
      <c r="H317"/>
      <c r="I317"/>
      <c r="J317"/>
    </row>
    <row r="318" spans="4:10" ht="12.75">
      <c r="D318"/>
      <c r="E318"/>
      <c r="F318"/>
      <c r="H318"/>
      <c r="I318"/>
      <c r="J318"/>
    </row>
    <row r="319" spans="4:10" ht="12.75">
      <c r="D319"/>
      <c r="E319"/>
      <c r="F319"/>
      <c r="H319"/>
      <c r="I319"/>
      <c r="J319"/>
    </row>
    <row r="320" spans="4:10" ht="12.75">
      <c r="D320"/>
      <c r="E320"/>
      <c r="F320"/>
      <c r="H320"/>
      <c r="I320"/>
      <c r="J320"/>
    </row>
    <row r="321" spans="4:10" ht="12.75">
      <c r="D321"/>
      <c r="E321"/>
      <c r="F321"/>
      <c r="H321"/>
      <c r="I321"/>
      <c r="J321"/>
    </row>
    <row r="322" spans="4:10" ht="12.75">
      <c r="D322"/>
      <c r="E322"/>
      <c r="F322"/>
      <c r="H322"/>
      <c r="I322"/>
      <c r="J322"/>
    </row>
    <row r="323" spans="4:10" ht="12.75">
      <c r="D323"/>
      <c r="E323"/>
      <c r="F323"/>
      <c r="H323"/>
      <c r="I323"/>
      <c r="J323"/>
    </row>
    <row r="324" spans="4:10" ht="12.75">
      <c r="D324"/>
      <c r="E324"/>
      <c r="F324"/>
      <c r="H324"/>
      <c r="I324"/>
      <c r="J324"/>
    </row>
    <row r="325" spans="4:10" ht="12.75">
      <c r="D325"/>
      <c r="E325"/>
      <c r="F325"/>
      <c r="H325"/>
      <c r="I325"/>
      <c r="J325"/>
    </row>
    <row r="326" spans="4:10" ht="12.75">
      <c r="D326"/>
      <c r="E326"/>
      <c r="F326"/>
      <c r="H326"/>
      <c r="I326"/>
      <c r="J326"/>
    </row>
    <row r="327" spans="4:10" ht="12.75">
      <c r="D327"/>
      <c r="E327"/>
      <c r="F327"/>
      <c r="H327"/>
      <c r="I327"/>
      <c r="J327"/>
    </row>
    <row r="328" spans="4:10" ht="12.75">
      <c r="D328"/>
      <c r="E328"/>
      <c r="F328"/>
      <c r="H328"/>
      <c r="I328"/>
      <c r="J328"/>
    </row>
    <row r="329" spans="4:10" ht="12.75">
      <c r="D329"/>
      <c r="E329"/>
      <c r="F329"/>
      <c r="H329"/>
      <c r="I329"/>
      <c r="J329"/>
    </row>
    <row r="330" spans="4:10" ht="12.75">
      <c r="D330"/>
      <c r="E330"/>
      <c r="F330"/>
      <c r="H330"/>
      <c r="I330"/>
      <c r="J330"/>
    </row>
    <row r="331" spans="4:10" ht="12.75">
      <c r="D331"/>
      <c r="E331"/>
      <c r="F331"/>
      <c r="H331"/>
      <c r="I331"/>
      <c r="J331"/>
    </row>
    <row r="332" spans="4:10" ht="12.75">
      <c r="D332"/>
      <c r="E332"/>
      <c r="F332"/>
      <c r="H332"/>
      <c r="I332"/>
      <c r="J332"/>
    </row>
    <row r="333" spans="4:10" ht="12.75">
      <c r="D333"/>
      <c r="E333"/>
      <c r="F333"/>
      <c r="H333"/>
      <c r="I333"/>
      <c r="J333"/>
    </row>
    <row r="334" spans="4:10" ht="12.75">
      <c r="D334"/>
      <c r="E334"/>
      <c r="F334"/>
      <c r="H334"/>
      <c r="I334"/>
      <c r="J334"/>
    </row>
    <row r="335" spans="4:10" ht="12.75">
      <c r="D335"/>
      <c r="E335"/>
      <c r="F335"/>
      <c r="H335"/>
      <c r="I335"/>
      <c r="J335"/>
    </row>
    <row r="336" spans="4:10" ht="12.75">
      <c r="D336"/>
      <c r="E336"/>
      <c r="F336"/>
      <c r="H336"/>
      <c r="I336"/>
      <c r="J336"/>
    </row>
    <row r="337" spans="4:10" ht="12.75">
      <c r="D337"/>
      <c r="E337"/>
      <c r="F337"/>
      <c r="H337"/>
      <c r="I337"/>
      <c r="J337"/>
    </row>
    <row r="338" spans="4:10" ht="12.75">
      <c r="D338"/>
      <c r="E338"/>
      <c r="F338"/>
      <c r="H338"/>
      <c r="I338"/>
      <c r="J338"/>
    </row>
    <row r="339" spans="4:10" ht="12.75">
      <c r="D339"/>
      <c r="E339"/>
      <c r="F339"/>
      <c r="H339"/>
      <c r="I339"/>
      <c r="J339"/>
    </row>
    <row r="340" spans="4:10" ht="12.75">
      <c r="D340"/>
      <c r="E340"/>
      <c r="F340"/>
      <c r="H340"/>
      <c r="I340"/>
      <c r="J340"/>
    </row>
    <row r="341" spans="4:10" ht="12.75">
      <c r="D341"/>
      <c r="E341"/>
      <c r="F341"/>
      <c r="H341"/>
      <c r="I341"/>
      <c r="J341"/>
    </row>
    <row r="342" spans="4:10" ht="12.75">
      <c r="D342"/>
      <c r="E342"/>
      <c r="F342"/>
      <c r="H342"/>
      <c r="I342"/>
      <c r="J342"/>
    </row>
    <row r="343" spans="4:10" ht="12.75">
      <c r="D343"/>
      <c r="E343"/>
      <c r="F343"/>
      <c r="H343"/>
      <c r="I343"/>
      <c r="J343"/>
    </row>
    <row r="344" spans="4:10" ht="12.75">
      <c r="D344"/>
      <c r="E344"/>
      <c r="F344"/>
      <c r="H344"/>
      <c r="I344"/>
      <c r="J344"/>
    </row>
    <row r="345" spans="4:10" ht="12.75">
      <c r="D345"/>
      <c r="E345"/>
      <c r="F345"/>
      <c r="H345"/>
      <c r="I345"/>
      <c r="J345"/>
    </row>
    <row r="346" spans="4:10" ht="12.75">
      <c r="D346"/>
      <c r="E346"/>
      <c r="F346"/>
      <c r="H346"/>
      <c r="I346"/>
      <c r="J346"/>
    </row>
    <row r="347" spans="4:10" ht="12.75">
      <c r="D347"/>
      <c r="E347"/>
      <c r="F347"/>
      <c r="H347"/>
      <c r="I347"/>
      <c r="J347"/>
    </row>
    <row r="348" spans="4:10" ht="12.75">
      <c r="D348"/>
      <c r="E348"/>
      <c r="F348"/>
      <c r="H348"/>
      <c r="I348"/>
      <c r="J348"/>
    </row>
    <row r="349" spans="4:10" ht="12.75">
      <c r="D349"/>
      <c r="E349"/>
      <c r="F349"/>
      <c r="H349"/>
      <c r="I349"/>
      <c r="J349"/>
    </row>
    <row r="350" spans="4:10" ht="12.75">
      <c r="D350"/>
      <c r="E350"/>
      <c r="F350"/>
      <c r="H350"/>
      <c r="I350"/>
      <c r="J350"/>
    </row>
    <row r="351" spans="4:10" ht="12.75">
      <c r="D351"/>
      <c r="E351"/>
      <c r="F351"/>
      <c r="H351"/>
      <c r="I351"/>
      <c r="J351"/>
    </row>
    <row r="352" spans="4:10" ht="12.75">
      <c r="D352"/>
      <c r="E352"/>
      <c r="F352"/>
      <c r="H352"/>
      <c r="I352"/>
      <c r="J352"/>
    </row>
    <row r="353" spans="4:10" ht="12.75">
      <c r="D353"/>
      <c r="E353"/>
      <c r="F353"/>
      <c r="H353"/>
      <c r="I353"/>
      <c r="J353"/>
    </row>
    <row r="354" spans="4:10" ht="12.75">
      <c r="D354"/>
      <c r="E354"/>
      <c r="F354"/>
      <c r="H354"/>
      <c r="I354"/>
      <c r="J354"/>
    </row>
    <row r="355" spans="4:10" ht="12.75">
      <c r="D355"/>
      <c r="E355"/>
      <c r="F355"/>
      <c r="H355"/>
      <c r="I355"/>
      <c r="J355"/>
    </row>
    <row r="356" spans="4:10" ht="12.75">
      <c r="D356"/>
      <c r="E356"/>
      <c r="F356"/>
      <c r="H356"/>
      <c r="I356"/>
      <c r="J356"/>
    </row>
    <row r="357" spans="4:10" ht="12.75">
      <c r="D357"/>
      <c r="E357"/>
      <c r="F357"/>
      <c r="H357"/>
      <c r="I357"/>
      <c r="J357"/>
    </row>
    <row r="358" spans="4:10" ht="12.75">
      <c r="D358"/>
      <c r="E358"/>
      <c r="F358"/>
      <c r="H358"/>
      <c r="I358"/>
      <c r="J358"/>
    </row>
    <row r="359" spans="4:10" ht="12.75">
      <c r="D359"/>
      <c r="E359"/>
      <c r="F359"/>
      <c r="H359"/>
      <c r="I359"/>
      <c r="J359"/>
    </row>
    <row r="360" spans="4:10" ht="12.75">
      <c r="D360"/>
      <c r="E360"/>
      <c r="F360"/>
      <c r="H360"/>
      <c r="I360"/>
      <c r="J360"/>
    </row>
    <row r="361" spans="4:10" ht="12.75">
      <c r="D361"/>
      <c r="E361"/>
      <c r="F361"/>
      <c r="H361"/>
      <c r="I361"/>
      <c r="J361"/>
    </row>
    <row r="362" spans="4:10" ht="12.75">
      <c r="D362"/>
      <c r="E362"/>
      <c r="F362"/>
      <c r="H362"/>
      <c r="I362"/>
      <c r="J362"/>
    </row>
    <row r="363" spans="4:10" ht="12.75">
      <c r="D363"/>
      <c r="E363"/>
      <c r="F363"/>
      <c r="H363"/>
      <c r="I363"/>
      <c r="J363"/>
    </row>
    <row r="364" spans="4:10" ht="12.75">
      <c r="D364"/>
      <c r="E364"/>
      <c r="F364"/>
      <c r="H364"/>
      <c r="I364"/>
      <c r="J364"/>
    </row>
    <row r="365" spans="4:10" ht="12.75">
      <c r="D365"/>
      <c r="E365"/>
      <c r="F365"/>
      <c r="H365"/>
      <c r="I365"/>
      <c r="J365"/>
    </row>
    <row r="366" spans="4:10" ht="12.75">
      <c r="D366"/>
      <c r="E366"/>
      <c r="F366"/>
      <c r="H366"/>
      <c r="I366"/>
      <c r="J366"/>
    </row>
    <row r="367" spans="4:10" ht="12.75">
      <c r="D367"/>
      <c r="E367"/>
      <c r="F367"/>
      <c r="H367"/>
      <c r="I367"/>
      <c r="J367"/>
    </row>
    <row r="368" spans="4:10" ht="12.75">
      <c r="D368"/>
      <c r="E368"/>
      <c r="F368"/>
      <c r="H368"/>
      <c r="I368"/>
      <c r="J368"/>
    </row>
    <row r="369" spans="4:10" ht="12.75">
      <c r="D369"/>
      <c r="E369"/>
      <c r="F369"/>
      <c r="H369"/>
      <c r="I369"/>
      <c r="J369"/>
    </row>
    <row r="370" spans="4:10" ht="12.75">
      <c r="D370"/>
      <c r="E370"/>
      <c r="F370"/>
      <c r="H370"/>
      <c r="I370"/>
      <c r="J370"/>
    </row>
    <row r="371" spans="4:10" ht="12.75">
      <c r="D371"/>
      <c r="E371"/>
      <c r="F371"/>
      <c r="H371"/>
      <c r="I371"/>
      <c r="J371"/>
    </row>
    <row r="372" spans="4:10" ht="12.75">
      <c r="D372"/>
      <c r="E372"/>
      <c r="F372"/>
      <c r="H372"/>
      <c r="I372"/>
      <c r="J372"/>
    </row>
    <row r="373" spans="4:10" ht="12.75">
      <c r="D373"/>
      <c r="E373"/>
      <c r="F373"/>
      <c r="H373"/>
      <c r="I373"/>
      <c r="J373"/>
    </row>
    <row r="374" spans="4:10" ht="12.75">
      <c r="D374"/>
      <c r="E374"/>
      <c r="F374"/>
      <c r="H374"/>
      <c r="I374"/>
      <c r="J374"/>
    </row>
    <row r="375" spans="4:10" ht="12.75">
      <c r="D375"/>
      <c r="E375"/>
      <c r="F375"/>
      <c r="H375"/>
      <c r="I375"/>
      <c r="J375"/>
    </row>
    <row r="376" spans="4:10" ht="12.75">
      <c r="D376"/>
      <c r="E376"/>
      <c r="F376"/>
      <c r="H376"/>
      <c r="I376"/>
      <c r="J376"/>
    </row>
    <row r="377" spans="4:10" ht="12.75">
      <c r="D377"/>
      <c r="E377"/>
      <c r="F377"/>
      <c r="H377"/>
      <c r="I377"/>
      <c r="J377"/>
    </row>
    <row r="378" spans="4:10" ht="12.75">
      <c r="D378"/>
      <c r="E378"/>
      <c r="F378"/>
      <c r="H378"/>
      <c r="I378"/>
      <c r="J378"/>
    </row>
    <row r="379" spans="4:10" ht="12.75">
      <c r="D379"/>
      <c r="E379"/>
      <c r="F379"/>
      <c r="H379"/>
      <c r="I379"/>
      <c r="J379"/>
    </row>
    <row r="380" spans="4:10" ht="12.75">
      <c r="D380"/>
      <c r="E380"/>
      <c r="F380"/>
      <c r="H380"/>
      <c r="I380"/>
      <c r="J380"/>
    </row>
    <row r="381" spans="4:10" ht="12.75">
      <c r="D381"/>
      <c r="E381"/>
      <c r="F381"/>
      <c r="H381"/>
      <c r="I381"/>
      <c r="J381"/>
    </row>
    <row r="382" spans="4:10" ht="12.75">
      <c r="D382"/>
      <c r="E382"/>
      <c r="F382"/>
      <c r="H382"/>
      <c r="I382"/>
      <c r="J382"/>
    </row>
    <row r="383" spans="4:10" ht="12.75">
      <c r="D383"/>
      <c r="E383"/>
      <c r="F383"/>
      <c r="H383"/>
      <c r="I383"/>
      <c r="J383"/>
    </row>
    <row r="384" spans="4:10" ht="12.75">
      <c r="D384"/>
      <c r="E384"/>
      <c r="F384"/>
      <c r="H384"/>
      <c r="I384"/>
      <c r="J384"/>
    </row>
    <row r="385" spans="4:10" ht="12.75">
      <c r="D385"/>
      <c r="E385"/>
      <c r="F385"/>
      <c r="H385"/>
      <c r="I385"/>
      <c r="J385"/>
    </row>
    <row r="386" spans="4:10" ht="12.75">
      <c r="D386"/>
      <c r="E386"/>
      <c r="F386"/>
      <c r="H386"/>
      <c r="I386"/>
      <c r="J386"/>
    </row>
    <row r="387" spans="4:10" ht="12.75">
      <c r="D387"/>
      <c r="E387"/>
      <c r="F387"/>
      <c r="H387"/>
      <c r="I387"/>
      <c r="J387"/>
    </row>
    <row r="388" spans="4:10" ht="12.75">
      <c r="D388"/>
      <c r="E388"/>
      <c r="F388"/>
      <c r="H388"/>
      <c r="I388"/>
      <c r="J388"/>
    </row>
    <row r="389" spans="4:10" ht="12.75">
      <c r="D389"/>
      <c r="E389"/>
      <c r="F389"/>
      <c r="H389"/>
      <c r="I389"/>
      <c r="J389"/>
    </row>
    <row r="390" spans="4:10" ht="12.75">
      <c r="D390"/>
      <c r="E390"/>
      <c r="F390"/>
      <c r="H390"/>
      <c r="I390"/>
      <c r="J390"/>
    </row>
    <row r="391" spans="4:10" ht="12.75">
      <c r="D391"/>
      <c r="E391"/>
      <c r="F391"/>
      <c r="H391"/>
      <c r="I391"/>
      <c r="J391"/>
    </row>
    <row r="392" spans="4:10" ht="12.75">
      <c r="D392"/>
      <c r="E392"/>
      <c r="F392"/>
      <c r="H392"/>
      <c r="I392"/>
      <c r="J392"/>
    </row>
    <row r="393" spans="4:10" ht="12.75">
      <c r="D393"/>
      <c r="E393"/>
      <c r="F393"/>
      <c r="H393"/>
      <c r="I393"/>
      <c r="J393"/>
    </row>
    <row r="394" spans="4:10" ht="12.75">
      <c r="D394"/>
      <c r="E394"/>
      <c r="F394"/>
      <c r="H394"/>
      <c r="I394"/>
      <c r="J394"/>
    </row>
    <row r="395" spans="4:10" ht="12.75">
      <c r="D395"/>
      <c r="E395"/>
      <c r="F395"/>
      <c r="H395"/>
      <c r="I395"/>
      <c r="J395"/>
    </row>
    <row r="396" spans="4:10" ht="12.75">
      <c r="D396"/>
      <c r="E396"/>
      <c r="F396"/>
      <c r="H396"/>
      <c r="I396"/>
      <c r="J396"/>
    </row>
    <row r="397" spans="4:10" ht="12.75">
      <c r="D397"/>
      <c r="E397"/>
      <c r="F397"/>
      <c r="H397"/>
      <c r="I397"/>
      <c r="J397"/>
    </row>
    <row r="398" spans="4:10" ht="12.75">
      <c r="D398"/>
      <c r="E398"/>
      <c r="F398"/>
      <c r="H398"/>
      <c r="I398"/>
      <c r="J398"/>
    </row>
    <row r="399" spans="4:10" ht="12.75">
      <c r="D399"/>
      <c r="E399"/>
      <c r="F399"/>
      <c r="H399"/>
      <c r="I399"/>
      <c r="J399"/>
    </row>
    <row r="400" spans="4:10" ht="12.75">
      <c r="D400"/>
      <c r="E400"/>
      <c r="F400"/>
      <c r="H400"/>
      <c r="I400"/>
      <c r="J400"/>
    </row>
    <row r="401" spans="4:10" ht="12.75">
      <c r="D401"/>
      <c r="E401"/>
      <c r="F401"/>
      <c r="H401"/>
      <c r="I401"/>
      <c r="J401"/>
    </row>
    <row r="402" spans="4:10" ht="12.75">
      <c r="D402"/>
      <c r="E402"/>
      <c r="F402"/>
      <c r="H402"/>
      <c r="I402"/>
      <c r="J402"/>
    </row>
    <row r="403" spans="4:10" ht="12.75">
      <c r="D403"/>
      <c r="E403"/>
      <c r="F403"/>
      <c r="H403"/>
      <c r="I403"/>
      <c r="J403"/>
    </row>
    <row r="404" spans="4:10" ht="12.75">
      <c r="D404"/>
      <c r="E404"/>
      <c r="F404"/>
      <c r="H404"/>
      <c r="I404"/>
      <c r="J404"/>
    </row>
    <row r="405" spans="4:10" ht="12.75">
      <c r="D405"/>
      <c r="E405"/>
      <c r="F405"/>
      <c r="H405"/>
      <c r="I405"/>
      <c r="J405"/>
    </row>
    <row r="406" spans="4:10" ht="12.75">
      <c r="D406"/>
      <c r="E406"/>
      <c r="F406"/>
      <c r="H406"/>
      <c r="I406"/>
      <c r="J406"/>
    </row>
    <row r="407" spans="4:10" ht="12.75">
      <c r="D407"/>
      <c r="E407"/>
      <c r="F407"/>
      <c r="H407"/>
      <c r="I407"/>
      <c r="J407"/>
    </row>
    <row r="408" spans="4:10" ht="12.75">
      <c r="D408"/>
      <c r="E408"/>
      <c r="F408"/>
      <c r="H408"/>
      <c r="I408"/>
      <c r="J408"/>
    </row>
    <row r="409" spans="4:10" ht="12.75">
      <c r="D409"/>
      <c r="E409"/>
      <c r="F409"/>
      <c r="H409"/>
      <c r="I409"/>
      <c r="J409"/>
    </row>
    <row r="410" spans="4:10" ht="12.75">
      <c r="D410"/>
      <c r="E410"/>
      <c r="F410"/>
      <c r="H410"/>
      <c r="I410"/>
      <c r="J410"/>
    </row>
    <row r="411" spans="4:10" ht="12.75">
      <c r="D411"/>
      <c r="E411"/>
      <c r="F411"/>
      <c r="H411"/>
      <c r="I411"/>
      <c r="J411"/>
    </row>
    <row r="412" spans="4:10" ht="12.75">
      <c r="D412"/>
      <c r="E412"/>
      <c r="F412"/>
      <c r="H412"/>
      <c r="I412"/>
      <c r="J412"/>
    </row>
    <row r="413" spans="4:10" ht="12.75">
      <c r="D413"/>
      <c r="E413"/>
      <c r="F413"/>
      <c r="H413"/>
      <c r="I413"/>
      <c r="J413"/>
    </row>
    <row r="414" spans="4:10" ht="12.75">
      <c r="D414"/>
      <c r="E414"/>
      <c r="F414"/>
      <c r="H414"/>
      <c r="I414"/>
      <c r="J414"/>
    </row>
    <row r="415" spans="4:10" ht="12.75">
      <c r="D415"/>
      <c r="E415"/>
      <c r="F415"/>
      <c r="H415"/>
      <c r="I415"/>
      <c r="J415"/>
    </row>
    <row r="416" spans="4:10" ht="12.75">
      <c r="D416"/>
      <c r="E416"/>
      <c r="F416"/>
      <c r="H416"/>
      <c r="I416"/>
      <c r="J416"/>
    </row>
    <row r="417" spans="4:10" ht="12.75">
      <c r="D417"/>
      <c r="E417"/>
      <c r="F417"/>
      <c r="H417"/>
      <c r="I417"/>
      <c r="J417"/>
    </row>
    <row r="418" spans="4:10" ht="12.75">
      <c r="D418"/>
      <c r="E418"/>
      <c r="F418"/>
      <c r="H418"/>
      <c r="I418"/>
      <c r="J418"/>
    </row>
    <row r="419" spans="4:10" ht="12.75">
      <c r="D419"/>
      <c r="E419"/>
      <c r="F419"/>
      <c r="H419"/>
      <c r="I419"/>
      <c r="J419"/>
    </row>
    <row r="420" spans="4:10" ht="12.75">
      <c r="D420"/>
      <c r="E420"/>
      <c r="F420"/>
      <c r="H420"/>
      <c r="I420"/>
      <c r="J420"/>
    </row>
    <row r="421" spans="4:10" ht="12.75">
      <c r="D421"/>
      <c r="E421"/>
      <c r="F421"/>
      <c r="H421"/>
      <c r="I421"/>
      <c r="J421"/>
    </row>
    <row r="422" spans="4:10" ht="12.75">
      <c r="D422"/>
      <c r="E422"/>
      <c r="F422"/>
      <c r="H422"/>
      <c r="I422"/>
      <c r="J422"/>
    </row>
    <row r="423" spans="4:10" ht="12.75">
      <c r="D423"/>
      <c r="E423"/>
      <c r="F423"/>
      <c r="H423"/>
      <c r="I423"/>
      <c r="J423"/>
    </row>
    <row r="424" spans="4:10" ht="12.75">
      <c r="D424"/>
      <c r="E424"/>
      <c r="F424"/>
      <c r="H424"/>
      <c r="I424"/>
      <c r="J424"/>
    </row>
    <row r="425" spans="4:10" ht="12.75">
      <c r="D425"/>
      <c r="E425"/>
      <c r="F425"/>
      <c r="H425"/>
      <c r="I425"/>
      <c r="J425"/>
    </row>
    <row r="426" spans="4:10" ht="12.75">
      <c r="D426"/>
      <c r="E426"/>
      <c r="F426"/>
      <c r="H426"/>
      <c r="I426"/>
      <c r="J426"/>
    </row>
    <row r="427" spans="4:10" ht="12.75">
      <c r="D427"/>
      <c r="E427"/>
      <c r="F427"/>
      <c r="H427"/>
      <c r="I427"/>
      <c r="J427"/>
    </row>
    <row r="428" spans="4:10" ht="12.75">
      <c r="D428"/>
      <c r="E428"/>
      <c r="F428"/>
      <c r="H428"/>
      <c r="I428"/>
      <c r="J428"/>
    </row>
    <row r="429" spans="4:10" ht="12.75">
      <c r="D429"/>
      <c r="E429"/>
      <c r="F429"/>
      <c r="H429"/>
      <c r="I429"/>
      <c r="J429"/>
    </row>
    <row r="430" spans="4:10" ht="12.75">
      <c r="D430"/>
      <c r="E430"/>
      <c r="F430"/>
      <c r="H430"/>
      <c r="I430"/>
      <c r="J430"/>
    </row>
    <row r="431" spans="4:10" ht="12.75">
      <c r="D431"/>
      <c r="E431"/>
      <c r="F431"/>
      <c r="H431"/>
      <c r="I431"/>
      <c r="J431"/>
    </row>
    <row r="432" spans="4:10" ht="12.75">
      <c r="D432"/>
      <c r="E432"/>
      <c r="F432"/>
      <c r="H432"/>
      <c r="I432"/>
      <c r="J432"/>
    </row>
    <row r="433" spans="4:10" ht="12.75">
      <c r="D433"/>
      <c r="E433"/>
      <c r="F433"/>
      <c r="H433"/>
      <c r="I433"/>
      <c r="J433"/>
    </row>
    <row r="434" spans="4:10" ht="12.75">
      <c r="D434"/>
      <c r="E434"/>
      <c r="F434"/>
      <c r="H434"/>
      <c r="I434"/>
      <c r="J434"/>
    </row>
    <row r="435" spans="4:10" ht="12.75">
      <c r="D435"/>
      <c r="E435"/>
      <c r="F435"/>
      <c r="H435"/>
      <c r="I435"/>
      <c r="J435"/>
    </row>
    <row r="436" spans="4:10" ht="12.75">
      <c r="D436"/>
      <c r="E436"/>
      <c r="F436"/>
      <c r="H436"/>
      <c r="I436"/>
      <c r="J436"/>
    </row>
    <row r="437" spans="4:10" ht="12.75">
      <c r="D437"/>
      <c r="E437"/>
      <c r="F437"/>
      <c r="H437"/>
      <c r="I437"/>
      <c r="J437"/>
    </row>
    <row r="438" spans="4:10" ht="12.75">
      <c r="D438"/>
      <c r="E438"/>
      <c r="F438"/>
      <c r="H438"/>
      <c r="I438"/>
      <c r="J438"/>
    </row>
    <row r="439" spans="4:10" ht="12.75">
      <c r="D439"/>
      <c r="E439"/>
      <c r="F439"/>
      <c r="H439"/>
      <c r="I439"/>
      <c r="J439"/>
    </row>
    <row r="440" spans="4:10" ht="12.75">
      <c r="D440"/>
      <c r="E440"/>
      <c r="F440"/>
      <c r="H440"/>
      <c r="I440"/>
      <c r="J440"/>
    </row>
    <row r="441" spans="4:10" ht="12.75">
      <c r="D441"/>
      <c r="E441"/>
      <c r="F441"/>
      <c r="H441"/>
      <c r="I441"/>
      <c r="J441"/>
    </row>
    <row r="442" spans="4:10" ht="12.75">
      <c r="D442"/>
      <c r="E442"/>
      <c r="F442"/>
      <c r="H442"/>
      <c r="I442"/>
      <c r="J442"/>
    </row>
    <row r="443" spans="4:10" ht="12.75">
      <c r="D443"/>
      <c r="E443"/>
      <c r="F443"/>
      <c r="H443"/>
      <c r="I443"/>
      <c r="J443"/>
    </row>
    <row r="444" spans="4:10" ht="12.75">
      <c r="D444"/>
      <c r="E444"/>
      <c r="F444"/>
      <c r="H444"/>
      <c r="I444"/>
      <c r="J444"/>
    </row>
    <row r="445" spans="4:10" ht="12.75">
      <c r="D445"/>
      <c r="E445"/>
      <c r="F445"/>
      <c r="H445"/>
      <c r="I445"/>
      <c r="J445"/>
    </row>
    <row r="446" spans="4:10" ht="12.75">
      <c r="D446"/>
      <c r="E446"/>
      <c r="F446"/>
      <c r="H446"/>
      <c r="I446"/>
      <c r="J446"/>
    </row>
    <row r="447" spans="4:10" ht="12.75">
      <c r="D447"/>
      <c r="E447"/>
      <c r="F447"/>
      <c r="H447"/>
      <c r="I447"/>
      <c r="J447"/>
    </row>
    <row r="448" spans="4:10" ht="12.75">
      <c r="D448"/>
      <c r="E448"/>
      <c r="F448"/>
      <c r="H448"/>
      <c r="I448"/>
      <c r="J448"/>
    </row>
    <row r="449" spans="4:10" ht="12.75">
      <c r="D449"/>
      <c r="E449"/>
      <c r="F449"/>
      <c r="H449"/>
      <c r="I449"/>
      <c r="J449"/>
    </row>
    <row r="450" spans="4:10" ht="12.75">
      <c r="D450"/>
      <c r="E450"/>
      <c r="F450"/>
      <c r="H450"/>
      <c r="I450"/>
      <c r="J450"/>
    </row>
    <row r="451" spans="4:10" ht="12.75">
      <c r="D451"/>
      <c r="E451"/>
      <c r="F451"/>
      <c r="H451"/>
      <c r="I451"/>
      <c r="J451"/>
    </row>
    <row r="452" spans="4:10" ht="12.75">
      <c r="D452"/>
      <c r="E452"/>
      <c r="F452"/>
      <c r="H452"/>
      <c r="I452"/>
      <c r="J452"/>
    </row>
    <row r="453" spans="4:10" ht="12.75">
      <c r="D453"/>
      <c r="E453"/>
      <c r="F453"/>
      <c r="H453"/>
      <c r="I453"/>
      <c r="J453"/>
    </row>
    <row r="454" spans="4:10" ht="12.75">
      <c r="D454"/>
      <c r="E454"/>
      <c r="F454"/>
      <c r="H454"/>
      <c r="I454"/>
      <c r="J454"/>
    </row>
    <row r="455" spans="4:10" ht="12.75">
      <c r="D455"/>
      <c r="E455"/>
      <c r="F455"/>
      <c r="H455"/>
      <c r="I455"/>
      <c r="J455"/>
    </row>
    <row r="456" spans="4:10" ht="12.75">
      <c r="D456"/>
      <c r="E456"/>
      <c r="F456"/>
      <c r="H456"/>
      <c r="I456"/>
      <c r="J456"/>
    </row>
    <row r="457" spans="4:10" ht="12.75">
      <c r="D457"/>
      <c r="E457"/>
      <c r="F457"/>
      <c r="H457"/>
      <c r="I457"/>
      <c r="J457"/>
    </row>
    <row r="458" spans="4:10" ht="12.75">
      <c r="D458"/>
      <c r="E458"/>
      <c r="F458"/>
      <c r="H458"/>
      <c r="I458"/>
      <c r="J458"/>
    </row>
    <row r="459" spans="4:10" ht="12.75">
      <c r="D459"/>
      <c r="E459"/>
      <c r="F459"/>
      <c r="H459"/>
      <c r="I459"/>
      <c r="J459"/>
    </row>
    <row r="460" spans="4:10" ht="12.75">
      <c r="D460"/>
      <c r="E460"/>
      <c r="F460"/>
      <c r="H460"/>
      <c r="I460"/>
      <c r="J460"/>
    </row>
    <row r="461" spans="4:10" ht="12.75">
      <c r="D461"/>
      <c r="E461"/>
      <c r="F461"/>
      <c r="H461"/>
      <c r="I461"/>
      <c r="J461"/>
    </row>
    <row r="462" spans="4:10" ht="12.75">
      <c r="D462"/>
      <c r="E462"/>
      <c r="F462"/>
      <c r="H462"/>
      <c r="I462"/>
      <c r="J462"/>
    </row>
    <row r="463" spans="4:10" ht="12.75">
      <c r="D463"/>
      <c r="E463"/>
      <c r="F463"/>
      <c r="H463"/>
      <c r="I463"/>
      <c r="J463"/>
    </row>
    <row r="464" spans="4:10" ht="12.75">
      <c r="D464"/>
      <c r="E464"/>
      <c r="F464"/>
      <c r="H464"/>
      <c r="I464"/>
      <c r="J464"/>
    </row>
    <row r="465" spans="4:10" ht="12.75">
      <c r="D465"/>
      <c r="E465"/>
      <c r="F465"/>
      <c r="H465"/>
      <c r="I465"/>
      <c r="J465"/>
    </row>
    <row r="466" spans="4:10" ht="12.75">
      <c r="D466"/>
      <c r="E466"/>
      <c r="F466"/>
      <c r="H466"/>
      <c r="I466"/>
      <c r="J466"/>
    </row>
    <row r="467" spans="4:10" ht="12.75">
      <c r="D467"/>
      <c r="E467"/>
      <c r="F467"/>
      <c r="H467"/>
      <c r="I467"/>
      <c r="J467"/>
    </row>
    <row r="468" spans="4:10" ht="12.75">
      <c r="D468"/>
      <c r="E468"/>
      <c r="F468"/>
      <c r="H468"/>
      <c r="I468"/>
      <c r="J468"/>
    </row>
    <row r="469" spans="4:10" ht="12.75">
      <c r="D469"/>
      <c r="E469"/>
      <c r="F469"/>
      <c r="H469"/>
      <c r="I469"/>
      <c r="J469"/>
    </row>
    <row r="470" spans="4:10" ht="12.75">
      <c r="D470"/>
      <c r="E470"/>
      <c r="F470"/>
      <c r="H470"/>
      <c r="I470"/>
      <c r="J470"/>
    </row>
    <row r="471" spans="4:10" ht="12.75">
      <c r="D471"/>
      <c r="E471"/>
      <c r="F471"/>
      <c r="H471"/>
      <c r="I471"/>
      <c r="J471"/>
    </row>
    <row r="472" spans="4:10" ht="12.75">
      <c r="D472"/>
      <c r="E472"/>
      <c r="F472"/>
      <c r="H472"/>
      <c r="I472"/>
      <c r="J472"/>
    </row>
    <row r="473" spans="4:10" ht="12.75">
      <c r="D473"/>
      <c r="E473"/>
      <c r="F473"/>
      <c r="H473"/>
      <c r="I473"/>
      <c r="J473"/>
    </row>
    <row r="474" spans="4:10" ht="12.75">
      <c r="D474"/>
      <c r="E474"/>
      <c r="F474"/>
      <c r="H474"/>
      <c r="I474"/>
      <c r="J474"/>
    </row>
    <row r="475" spans="4:10" ht="12.75">
      <c r="D475"/>
      <c r="E475"/>
      <c r="F475"/>
      <c r="H475"/>
      <c r="I475"/>
      <c r="J475"/>
    </row>
    <row r="476" spans="4:10" ht="12.75">
      <c r="D476"/>
      <c r="E476"/>
      <c r="F476"/>
      <c r="H476"/>
      <c r="I476"/>
      <c r="J476"/>
    </row>
    <row r="477" spans="4:10" ht="12.75">
      <c r="D477"/>
      <c r="E477"/>
      <c r="F477"/>
      <c r="H477"/>
      <c r="I477"/>
      <c r="J477"/>
    </row>
    <row r="478" spans="4:10" ht="12.75">
      <c r="D478"/>
      <c r="E478"/>
      <c r="F478"/>
      <c r="H478"/>
      <c r="I478"/>
      <c r="J478"/>
    </row>
    <row r="479" spans="4:10" ht="12.75">
      <c r="D479"/>
      <c r="E479"/>
      <c r="F479"/>
      <c r="H479"/>
      <c r="I479"/>
      <c r="J479"/>
    </row>
    <row r="480" spans="4:10" ht="12.75">
      <c r="D480"/>
      <c r="E480"/>
      <c r="F480"/>
      <c r="H480"/>
      <c r="I480"/>
      <c r="J480"/>
    </row>
    <row r="481" spans="4:10" ht="12.75">
      <c r="D481"/>
      <c r="E481"/>
      <c r="F481"/>
      <c r="H481"/>
      <c r="I481"/>
      <c r="J481"/>
    </row>
    <row r="482" spans="4:10" ht="12.75">
      <c r="D482"/>
      <c r="E482"/>
      <c r="F482"/>
      <c r="H482"/>
      <c r="I482"/>
      <c r="J482"/>
    </row>
    <row r="483" spans="4:10" ht="12.75">
      <c r="D483"/>
      <c r="E483"/>
      <c r="F483"/>
      <c r="H483"/>
      <c r="I483"/>
      <c r="J483"/>
    </row>
    <row r="484" spans="4:10" ht="12.75">
      <c r="D484"/>
      <c r="E484"/>
      <c r="F484"/>
      <c r="H484"/>
      <c r="I484"/>
      <c r="J484"/>
    </row>
    <row r="485" spans="4:10" ht="12.75">
      <c r="D485"/>
      <c r="E485"/>
      <c r="F485"/>
      <c r="H485"/>
      <c r="I485"/>
      <c r="J485"/>
    </row>
    <row r="486" spans="4:10" ht="12.75">
      <c r="D486"/>
      <c r="E486"/>
      <c r="F486"/>
      <c r="H486"/>
      <c r="I486"/>
      <c r="J486"/>
    </row>
    <row r="487" spans="4:10" ht="12.75">
      <c r="D487"/>
      <c r="E487"/>
      <c r="F487"/>
      <c r="H487"/>
      <c r="I487"/>
      <c r="J487"/>
    </row>
    <row r="488" spans="4:10" ht="12.75">
      <c r="D488"/>
      <c r="E488"/>
      <c r="F488"/>
      <c r="H488"/>
      <c r="I488"/>
      <c r="J488"/>
    </row>
    <row r="489" spans="4:10" ht="12.75">
      <c r="D489"/>
      <c r="E489"/>
      <c r="F489"/>
      <c r="H489"/>
      <c r="I489"/>
      <c r="J489"/>
    </row>
    <row r="490" spans="4:10" ht="12.75">
      <c r="D490"/>
      <c r="E490"/>
      <c r="F490"/>
      <c r="H490"/>
      <c r="I490"/>
      <c r="J490"/>
    </row>
    <row r="491" spans="4:10" ht="12.75">
      <c r="D491"/>
      <c r="E491"/>
      <c r="F491"/>
      <c r="H491"/>
      <c r="I491"/>
      <c r="J491"/>
    </row>
    <row r="492" spans="4:10" ht="12.75">
      <c r="D492"/>
      <c r="E492"/>
      <c r="F492"/>
      <c r="H492"/>
      <c r="I492"/>
      <c r="J492"/>
    </row>
    <row r="493" spans="4:10" ht="12.75">
      <c r="D493"/>
      <c r="E493"/>
      <c r="F493"/>
      <c r="H493"/>
      <c r="I493"/>
      <c r="J493"/>
    </row>
    <row r="494" spans="4:10" ht="12.75">
      <c r="D494"/>
      <c r="E494"/>
      <c r="F494"/>
      <c r="H494"/>
      <c r="I494"/>
      <c r="J494"/>
    </row>
    <row r="495" spans="4:10" ht="12.75">
      <c r="D495"/>
      <c r="E495"/>
      <c r="F495"/>
      <c r="H495"/>
      <c r="I495"/>
      <c r="J495"/>
    </row>
    <row r="496" spans="4:10" ht="12.75">
      <c r="D496"/>
      <c r="E496"/>
      <c r="F496"/>
      <c r="H496"/>
      <c r="I496"/>
      <c r="J496"/>
    </row>
    <row r="497" spans="4:10" ht="12.75">
      <c r="D497"/>
      <c r="E497"/>
      <c r="F497"/>
      <c r="H497"/>
      <c r="I497"/>
      <c r="J497"/>
    </row>
    <row r="498" spans="4:10" ht="12.75">
      <c r="D498"/>
      <c r="E498"/>
      <c r="F498"/>
      <c r="H498"/>
      <c r="I498"/>
      <c r="J498"/>
    </row>
    <row r="499" spans="4:10" ht="12.75">
      <c r="D499"/>
      <c r="E499"/>
      <c r="F499"/>
      <c r="H499"/>
      <c r="I499"/>
      <c r="J499"/>
    </row>
    <row r="500" spans="4:10" ht="12.75">
      <c r="D500"/>
      <c r="E500"/>
      <c r="F500"/>
      <c r="H500"/>
      <c r="I500"/>
      <c r="J500"/>
    </row>
    <row r="501" spans="4:10" ht="12.75">
      <c r="D501"/>
      <c r="E501"/>
      <c r="F501"/>
      <c r="H501"/>
      <c r="I501"/>
      <c r="J501"/>
    </row>
    <row r="502" spans="4:10" ht="12.75">
      <c r="D502"/>
      <c r="E502"/>
      <c r="F502"/>
      <c r="H502"/>
      <c r="I502"/>
      <c r="J502"/>
    </row>
    <row r="503" spans="4:10" ht="12.75">
      <c r="D503"/>
      <c r="E503"/>
      <c r="F503"/>
      <c r="H503"/>
      <c r="I503"/>
      <c r="J503"/>
    </row>
    <row r="504" spans="4:10" ht="12.75">
      <c r="D504"/>
      <c r="E504"/>
      <c r="F504"/>
      <c r="H504"/>
      <c r="I504"/>
      <c r="J504"/>
    </row>
    <row r="505" spans="4:10" ht="12.75">
      <c r="D505"/>
      <c r="E505"/>
      <c r="F505"/>
      <c r="H505"/>
      <c r="I505"/>
      <c r="J505"/>
    </row>
    <row r="506" spans="4:10" ht="12.75">
      <c r="D506"/>
      <c r="E506"/>
      <c r="F506"/>
      <c r="H506"/>
      <c r="I506"/>
      <c r="J506"/>
    </row>
    <row r="507" spans="4:10" ht="12.75">
      <c r="D507"/>
      <c r="E507"/>
      <c r="F507"/>
      <c r="H507"/>
      <c r="I507"/>
      <c r="J507"/>
    </row>
    <row r="508" spans="4:10" ht="12.75">
      <c r="D508"/>
      <c r="E508"/>
      <c r="F508"/>
      <c r="H508"/>
      <c r="I508"/>
      <c r="J508"/>
    </row>
    <row r="509" spans="4:10" ht="12.75">
      <c r="D509"/>
      <c r="E509"/>
      <c r="F509"/>
      <c r="H509"/>
      <c r="I509"/>
      <c r="J509"/>
    </row>
    <row r="510" spans="4:10" ht="12.75">
      <c r="D510"/>
      <c r="E510"/>
      <c r="F510"/>
      <c r="H510"/>
      <c r="I510"/>
      <c r="J510"/>
    </row>
    <row r="511" spans="4:10" ht="12.75">
      <c r="D511"/>
      <c r="E511"/>
      <c r="F511"/>
      <c r="H511"/>
      <c r="I511"/>
      <c r="J511"/>
    </row>
    <row r="512" spans="4:10" ht="12.75">
      <c r="D512"/>
      <c r="E512"/>
      <c r="F512"/>
      <c r="H512"/>
      <c r="I512"/>
      <c r="J512"/>
    </row>
    <row r="513" spans="4:10" ht="12.75">
      <c r="D513"/>
      <c r="E513"/>
      <c r="F513"/>
      <c r="H513"/>
      <c r="I513"/>
      <c r="J513"/>
    </row>
    <row r="514" spans="4:10" ht="12.75">
      <c r="D514"/>
      <c r="E514"/>
      <c r="F514"/>
      <c r="H514"/>
      <c r="I514"/>
      <c r="J514"/>
    </row>
    <row r="515" spans="4:10" ht="12.75">
      <c r="D515"/>
      <c r="E515"/>
      <c r="F515"/>
      <c r="H515"/>
      <c r="I515"/>
      <c r="J515"/>
    </row>
    <row r="516" spans="4:10" ht="12.75">
      <c r="D516"/>
      <c r="E516"/>
      <c r="F516"/>
      <c r="H516"/>
      <c r="I516"/>
      <c r="J516"/>
    </row>
    <row r="517" spans="4:10" ht="12.75">
      <c r="D517"/>
      <c r="E517"/>
      <c r="F517"/>
      <c r="H517"/>
      <c r="I517"/>
      <c r="J517"/>
    </row>
    <row r="518" spans="4:10" ht="12.75">
      <c r="D518"/>
      <c r="E518"/>
      <c r="F518"/>
      <c r="H518"/>
      <c r="I518"/>
      <c r="J518"/>
    </row>
    <row r="519" spans="4:10" ht="12.75">
      <c r="D519"/>
      <c r="E519"/>
      <c r="F519"/>
      <c r="H519"/>
      <c r="I519"/>
      <c r="J519"/>
    </row>
    <row r="520" spans="4:10" ht="12.75">
      <c r="D520"/>
      <c r="E520"/>
      <c r="F520"/>
      <c r="H520"/>
      <c r="I520"/>
      <c r="J520"/>
    </row>
    <row r="521" spans="4:10" ht="12.75">
      <c r="D521"/>
      <c r="E521"/>
      <c r="F521"/>
      <c r="H521"/>
      <c r="I521"/>
      <c r="J521"/>
    </row>
    <row r="522" spans="4:10" ht="12.75">
      <c r="D522"/>
      <c r="E522"/>
      <c r="F522"/>
      <c r="H522"/>
      <c r="I522"/>
      <c r="J522"/>
    </row>
    <row r="523" spans="4:10" ht="12.75">
      <c r="D523"/>
      <c r="E523"/>
      <c r="F523"/>
      <c r="H523"/>
      <c r="I523"/>
      <c r="J523"/>
    </row>
    <row r="524" spans="4:10" ht="12.75">
      <c r="D524"/>
      <c r="E524"/>
      <c r="F524"/>
      <c r="H524"/>
      <c r="I524"/>
      <c r="J524"/>
    </row>
    <row r="525" spans="4:10" ht="12.75">
      <c r="D525"/>
      <c r="E525"/>
      <c r="F525"/>
      <c r="H525"/>
      <c r="I525"/>
      <c r="J525"/>
    </row>
    <row r="526" spans="4:10" ht="12.75">
      <c r="D526"/>
      <c r="E526"/>
      <c r="F526"/>
      <c r="H526"/>
      <c r="I526"/>
      <c r="J526"/>
    </row>
    <row r="527" spans="4:10" ht="12.75">
      <c r="D527"/>
      <c r="E527"/>
      <c r="F527"/>
      <c r="H527"/>
      <c r="I527"/>
      <c r="J527"/>
    </row>
    <row r="528" spans="4:10" ht="12.75">
      <c r="D528"/>
      <c r="E528"/>
      <c r="F528"/>
      <c r="H528"/>
      <c r="I528"/>
      <c r="J528"/>
    </row>
    <row r="529" spans="4:10" ht="12.75">
      <c r="D529"/>
      <c r="E529"/>
      <c r="F529"/>
      <c r="H529"/>
      <c r="I529"/>
      <c r="J529"/>
    </row>
    <row r="530" spans="4:10" ht="12.75">
      <c r="D530"/>
      <c r="E530"/>
      <c r="F530"/>
      <c r="H530"/>
      <c r="I530"/>
      <c r="J530"/>
    </row>
    <row r="531" spans="4:10" ht="12.75">
      <c r="D531"/>
      <c r="E531"/>
      <c r="F531"/>
      <c r="H531"/>
      <c r="I531"/>
      <c r="J531"/>
    </row>
    <row r="532" spans="4:10" ht="12.75">
      <c r="D532"/>
      <c r="E532"/>
      <c r="F532"/>
      <c r="H532"/>
      <c r="I532"/>
      <c r="J532"/>
    </row>
    <row r="533" spans="4:10" ht="12.75">
      <c r="D533"/>
      <c r="E533"/>
      <c r="F533"/>
      <c r="H533"/>
      <c r="I533"/>
      <c r="J533"/>
    </row>
    <row r="534" spans="4:10" ht="12.75">
      <c r="D534"/>
      <c r="E534"/>
      <c r="F534"/>
      <c r="H534"/>
      <c r="I534"/>
      <c r="J534"/>
    </row>
    <row r="535" spans="4:10" ht="12.75">
      <c r="D535"/>
      <c r="E535"/>
      <c r="F535"/>
      <c r="H535"/>
      <c r="I535"/>
      <c r="J535"/>
    </row>
    <row r="536" spans="4:10" ht="12.75">
      <c r="D536"/>
      <c r="E536"/>
      <c r="F536"/>
      <c r="H536"/>
      <c r="I536"/>
      <c r="J536"/>
    </row>
    <row r="537" spans="4:10" ht="12.75">
      <c r="D537"/>
      <c r="E537"/>
      <c r="F537"/>
      <c r="H537"/>
      <c r="I537"/>
      <c r="J537"/>
    </row>
    <row r="538" spans="4:10" ht="12.75">
      <c r="D538"/>
      <c r="E538"/>
      <c r="F538"/>
      <c r="H538"/>
      <c r="I538"/>
      <c r="J538"/>
    </row>
    <row r="539" spans="4:10" ht="12.75">
      <c r="D539"/>
      <c r="E539"/>
      <c r="F539"/>
      <c r="H539"/>
      <c r="I539"/>
      <c r="J539"/>
    </row>
    <row r="540" spans="4:10" ht="12.75">
      <c r="D540"/>
      <c r="E540"/>
      <c r="F540"/>
      <c r="H540"/>
      <c r="I540"/>
      <c r="J540"/>
    </row>
    <row r="541" spans="4:10" ht="12.75">
      <c r="D541"/>
      <c r="E541"/>
      <c r="F541"/>
      <c r="H541"/>
      <c r="I541"/>
      <c r="J541"/>
    </row>
    <row r="542" spans="4:10" ht="12.75">
      <c r="D542"/>
      <c r="E542"/>
      <c r="F542"/>
      <c r="H542"/>
      <c r="I542"/>
      <c r="J542"/>
    </row>
    <row r="543" spans="4:10" ht="12.75">
      <c r="D543"/>
      <c r="E543"/>
      <c r="F543"/>
      <c r="H543"/>
      <c r="I543"/>
      <c r="J543"/>
    </row>
    <row r="544" spans="4:10" ht="12.75">
      <c r="D544"/>
      <c r="E544"/>
      <c r="F544"/>
      <c r="H544"/>
      <c r="I544"/>
      <c r="J544"/>
    </row>
    <row r="545" spans="4:10" ht="12.75">
      <c r="D545"/>
      <c r="E545"/>
      <c r="F545"/>
      <c r="H545"/>
      <c r="I545"/>
      <c r="J545"/>
    </row>
    <row r="546" spans="4:10" ht="12.75">
      <c r="D546"/>
      <c r="E546"/>
      <c r="F546"/>
      <c r="H546"/>
      <c r="I546"/>
      <c r="J546"/>
    </row>
    <row r="547" spans="4:10" ht="12.75">
      <c r="D547"/>
      <c r="E547"/>
      <c r="F547"/>
      <c r="H547"/>
      <c r="I547"/>
      <c r="J547"/>
    </row>
    <row r="548" spans="4:10" ht="12.75">
      <c r="D548"/>
      <c r="E548"/>
      <c r="F548"/>
      <c r="H548"/>
      <c r="I548"/>
      <c r="J548"/>
    </row>
    <row r="549" spans="4:10" ht="12.75">
      <c r="D549"/>
      <c r="E549"/>
      <c r="F549"/>
      <c r="H549"/>
      <c r="I549"/>
      <c r="J549"/>
    </row>
    <row r="550" spans="4:10" ht="12.75">
      <c r="D550"/>
      <c r="E550"/>
      <c r="F550"/>
      <c r="H550"/>
      <c r="I550"/>
      <c r="J550"/>
    </row>
    <row r="551" spans="4:10" ht="12.75">
      <c r="D551"/>
      <c r="E551"/>
      <c r="F551"/>
      <c r="H551"/>
      <c r="I551"/>
      <c r="J551"/>
    </row>
    <row r="552" spans="4:10" ht="12.75">
      <c r="D552"/>
      <c r="E552"/>
      <c r="F552"/>
      <c r="H552"/>
      <c r="I552"/>
      <c r="J552"/>
    </row>
    <row r="553" spans="4:10" ht="12.75">
      <c r="D553"/>
      <c r="E553"/>
      <c r="F553"/>
      <c r="H553"/>
      <c r="I553"/>
      <c r="J553"/>
    </row>
    <row r="554" spans="4:10" ht="12.75">
      <c r="D554"/>
      <c r="E554"/>
      <c r="F554"/>
      <c r="H554"/>
      <c r="I554"/>
      <c r="J554"/>
    </row>
    <row r="555" spans="4:10" ht="12.75">
      <c r="D555"/>
      <c r="E555"/>
      <c r="F555"/>
      <c r="H555"/>
      <c r="I555"/>
      <c r="J555"/>
    </row>
    <row r="556" spans="4:10" ht="12.75">
      <c r="D556"/>
      <c r="E556"/>
      <c r="F556"/>
      <c r="H556"/>
      <c r="I556"/>
      <c r="J556"/>
    </row>
    <row r="557" spans="4:10" ht="12.75">
      <c r="D557"/>
      <c r="E557"/>
      <c r="F557"/>
      <c r="H557"/>
      <c r="I557"/>
      <c r="J557"/>
    </row>
    <row r="558" spans="4:10" ht="12.75">
      <c r="D558"/>
      <c r="E558"/>
      <c r="F558"/>
      <c r="H558"/>
      <c r="I558"/>
      <c r="J558"/>
    </row>
    <row r="559" spans="4:10" ht="12.75">
      <c r="D559"/>
      <c r="E559"/>
      <c r="F559"/>
      <c r="H559"/>
      <c r="I559"/>
      <c r="J559"/>
    </row>
    <row r="560" spans="4:10" ht="12.75">
      <c r="D560"/>
      <c r="E560"/>
      <c r="F560"/>
      <c r="H560"/>
      <c r="I560"/>
      <c r="J560"/>
    </row>
    <row r="561" spans="4:10" ht="12.75">
      <c r="D561"/>
      <c r="E561"/>
      <c r="F561"/>
      <c r="H561"/>
      <c r="I561"/>
      <c r="J561"/>
    </row>
    <row r="562" spans="4:10" ht="12.75">
      <c r="D562"/>
      <c r="E562"/>
      <c r="F562"/>
      <c r="H562"/>
      <c r="I562"/>
      <c r="J562"/>
    </row>
    <row r="563" spans="4:10" ht="12.75">
      <c r="D563"/>
      <c r="E563"/>
      <c r="F563"/>
      <c r="H563"/>
      <c r="I563"/>
      <c r="J563"/>
    </row>
    <row r="564" spans="4:10" ht="12.75">
      <c r="D564"/>
      <c r="E564"/>
      <c r="F564"/>
      <c r="H564"/>
      <c r="I564"/>
      <c r="J564"/>
    </row>
    <row r="565" spans="4:10" ht="12.75">
      <c r="D565"/>
      <c r="E565"/>
      <c r="F565"/>
      <c r="H565"/>
      <c r="I565"/>
      <c r="J565"/>
    </row>
    <row r="566" spans="4:10" ht="12.75">
      <c r="D566"/>
      <c r="E566"/>
      <c r="F566"/>
      <c r="H566"/>
      <c r="I566"/>
      <c r="J566"/>
    </row>
    <row r="567" spans="4:10" ht="12.75">
      <c r="D567"/>
      <c r="E567"/>
      <c r="F567"/>
      <c r="H567"/>
      <c r="I567"/>
      <c r="J567"/>
    </row>
    <row r="568" spans="4:10" ht="12.75">
      <c r="D568"/>
      <c r="E568"/>
      <c r="F568"/>
      <c r="H568"/>
      <c r="I568"/>
      <c r="J568"/>
    </row>
    <row r="569" spans="4:10" ht="12.75">
      <c r="D569"/>
      <c r="E569"/>
      <c r="F569"/>
      <c r="H569"/>
      <c r="I569"/>
      <c r="J569"/>
    </row>
    <row r="570" spans="4:10" ht="12.75">
      <c r="D570"/>
      <c r="E570"/>
      <c r="F570"/>
      <c r="H570"/>
      <c r="I570"/>
      <c r="J570"/>
    </row>
    <row r="571" spans="4:10" ht="12.75">
      <c r="D571"/>
      <c r="E571"/>
      <c r="F571"/>
      <c r="H571"/>
      <c r="I571"/>
      <c r="J571"/>
    </row>
    <row r="572" spans="4:10" ht="12.75">
      <c r="D572"/>
      <c r="E572"/>
      <c r="F572"/>
      <c r="H572"/>
      <c r="I572"/>
      <c r="J572"/>
    </row>
    <row r="573" spans="4:10" ht="12.75">
      <c r="D573"/>
      <c r="E573"/>
      <c r="F573"/>
      <c r="H573"/>
      <c r="I573"/>
      <c r="J573"/>
    </row>
    <row r="574" spans="4:10" ht="12.75">
      <c r="D574"/>
      <c r="E574"/>
      <c r="F574"/>
      <c r="H574"/>
      <c r="I574"/>
      <c r="J574"/>
    </row>
    <row r="575" spans="4:10" ht="12.75">
      <c r="D575"/>
      <c r="E575"/>
      <c r="F575"/>
      <c r="H575"/>
      <c r="I575"/>
      <c r="J575"/>
    </row>
    <row r="576" spans="4:10" ht="12.75">
      <c r="D576"/>
      <c r="E576"/>
      <c r="F576"/>
      <c r="H576"/>
      <c r="I576"/>
      <c r="J576"/>
    </row>
    <row r="577" spans="4:10" ht="12.75">
      <c r="D577"/>
      <c r="E577"/>
      <c r="F577"/>
      <c r="H577"/>
      <c r="I577"/>
      <c r="J577"/>
    </row>
    <row r="578" spans="4:10" ht="12.75">
      <c r="D578"/>
      <c r="E578"/>
      <c r="F578"/>
      <c r="H578"/>
      <c r="I578"/>
      <c r="J578"/>
    </row>
    <row r="579" spans="4:10" ht="12.75">
      <c r="D579"/>
      <c r="E579"/>
      <c r="F579"/>
      <c r="H579"/>
      <c r="I579"/>
      <c r="J579"/>
    </row>
    <row r="580" spans="4:10" ht="12.75">
      <c r="D580"/>
      <c r="E580"/>
      <c r="F580"/>
      <c r="H580"/>
      <c r="I580"/>
      <c r="J580"/>
    </row>
    <row r="581" spans="4:10" ht="12.75">
      <c r="D581"/>
      <c r="E581"/>
      <c r="F581"/>
      <c r="H581"/>
      <c r="I581"/>
      <c r="J581"/>
    </row>
    <row r="582" spans="4:44" ht="14.25">
      <c r="D582"/>
      <c r="E582"/>
      <c r="F582"/>
      <c r="H582"/>
      <c r="I582"/>
      <c r="J582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</row>
    <row r="583" spans="4:10" ht="12.75">
      <c r="D583"/>
      <c r="E583"/>
      <c r="F583"/>
      <c r="H583"/>
      <c r="I583"/>
      <c r="J583"/>
    </row>
    <row r="584" spans="4:10" ht="12.75">
      <c r="D584"/>
      <c r="E584"/>
      <c r="F584"/>
      <c r="H584"/>
      <c r="I584"/>
      <c r="J584"/>
    </row>
    <row r="585" spans="4:10" ht="12.75">
      <c r="D585"/>
      <c r="E585"/>
      <c r="F585"/>
      <c r="H585"/>
      <c r="I585"/>
      <c r="J585"/>
    </row>
    <row r="586" spans="4:10" ht="12.75">
      <c r="D586"/>
      <c r="E586"/>
      <c r="F586"/>
      <c r="H586"/>
      <c r="I586"/>
      <c r="J586"/>
    </row>
    <row r="587" spans="4:10" ht="12.75">
      <c r="D587"/>
      <c r="E587"/>
      <c r="F587"/>
      <c r="H587"/>
      <c r="I587"/>
      <c r="J587"/>
    </row>
    <row r="588" spans="4:10" ht="12.75">
      <c r="D588"/>
      <c r="E588"/>
      <c r="F588"/>
      <c r="H588"/>
      <c r="I588"/>
      <c r="J588"/>
    </row>
    <row r="589" spans="4:10" ht="12.75">
      <c r="D589"/>
      <c r="E589"/>
      <c r="F589"/>
      <c r="H589"/>
      <c r="I589"/>
      <c r="J589"/>
    </row>
    <row r="590" spans="4:10" ht="12.75">
      <c r="D590"/>
      <c r="E590"/>
      <c r="F590"/>
      <c r="H590"/>
      <c r="I590"/>
      <c r="J590"/>
    </row>
    <row r="591" spans="4:10" ht="12.75">
      <c r="D591"/>
      <c r="E591"/>
      <c r="F591"/>
      <c r="H591"/>
      <c r="I591"/>
      <c r="J591"/>
    </row>
    <row r="592" spans="4:10" ht="12.75">
      <c r="D592"/>
      <c r="E592"/>
      <c r="F592"/>
      <c r="H592"/>
      <c r="I592"/>
      <c r="J592"/>
    </row>
    <row r="593" spans="4:10" ht="12.75">
      <c r="D593"/>
      <c r="E593"/>
      <c r="F593"/>
      <c r="H593"/>
      <c r="I593"/>
      <c r="J593"/>
    </row>
    <row r="594" spans="4:10" ht="12.75">
      <c r="D594"/>
      <c r="E594"/>
      <c r="F594"/>
      <c r="H594"/>
      <c r="I594"/>
      <c r="J594"/>
    </row>
    <row r="595" spans="4:10" ht="12.75">
      <c r="D595"/>
      <c r="E595"/>
      <c r="F595"/>
      <c r="H595"/>
      <c r="I595"/>
      <c r="J595"/>
    </row>
    <row r="596" spans="4:10" ht="12.75">
      <c r="D596"/>
      <c r="E596"/>
      <c r="F596"/>
      <c r="H596"/>
      <c r="I596"/>
      <c r="J596"/>
    </row>
    <row r="597" spans="4:10" ht="12.75">
      <c r="D597"/>
      <c r="E597"/>
      <c r="F597"/>
      <c r="H597"/>
      <c r="I597"/>
      <c r="J597"/>
    </row>
    <row r="598" spans="4:10" ht="12.75">
      <c r="D598"/>
      <c r="E598"/>
      <c r="F598"/>
      <c r="H598"/>
      <c r="I598"/>
      <c r="J598"/>
    </row>
    <row r="599" spans="4:10" ht="12.75">
      <c r="D599"/>
      <c r="E599"/>
      <c r="F599"/>
      <c r="H599"/>
      <c r="I599"/>
      <c r="J599"/>
    </row>
    <row r="600" spans="4:10" ht="12.75">
      <c r="D600"/>
      <c r="E600"/>
      <c r="F600"/>
      <c r="H600"/>
      <c r="I600"/>
      <c r="J600"/>
    </row>
    <row r="601" spans="4:10" ht="12.75">
      <c r="D601"/>
      <c r="E601"/>
      <c r="F601"/>
      <c r="H601"/>
      <c r="I601"/>
      <c r="J601"/>
    </row>
    <row r="602" spans="4:10" ht="12.75">
      <c r="D602"/>
      <c r="E602"/>
      <c r="F602"/>
      <c r="H602"/>
      <c r="I602"/>
      <c r="J602"/>
    </row>
    <row r="603" spans="4:10" ht="12.75">
      <c r="D603"/>
      <c r="E603"/>
      <c r="F603"/>
      <c r="H603"/>
      <c r="I603"/>
      <c r="J603"/>
    </row>
    <row r="604" spans="4:10" ht="12.75">
      <c r="D604"/>
      <c r="E604"/>
      <c r="F604"/>
      <c r="H604"/>
      <c r="I604"/>
      <c r="J604"/>
    </row>
    <row r="605" spans="4:10" ht="12.75">
      <c r="D605"/>
      <c r="E605"/>
      <c r="F605"/>
      <c r="H605"/>
      <c r="I605"/>
      <c r="J605"/>
    </row>
    <row r="606" spans="4:10" ht="12.75">
      <c r="D606"/>
      <c r="E606"/>
      <c r="F606"/>
      <c r="H606"/>
      <c r="I606"/>
      <c r="J606"/>
    </row>
    <row r="607" spans="4:10" ht="12.75">
      <c r="D607"/>
      <c r="E607"/>
      <c r="F607"/>
      <c r="H607"/>
      <c r="I607"/>
      <c r="J607"/>
    </row>
    <row r="608" spans="4:10" ht="12.75">
      <c r="D608"/>
      <c r="E608"/>
      <c r="F608"/>
      <c r="H608"/>
      <c r="I608"/>
      <c r="J608"/>
    </row>
    <row r="609" spans="4:10" ht="12.75">
      <c r="D609"/>
      <c r="E609"/>
      <c r="F609"/>
      <c r="H609"/>
      <c r="I609"/>
      <c r="J609"/>
    </row>
    <row r="610" spans="4:10" ht="12.75">
      <c r="D610"/>
      <c r="E610"/>
      <c r="F610"/>
      <c r="H610"/>
      <c r="I610"/>
      <c r="J610"/>
    </row>
    <row r="611" spans="4:10" ht="12.75">
      <c r="D611"/>
      <c r="E611"/>
      <c r="F611"/>
      <c r="H611"/>
      <c r="I611"/>
      <c r="J611"/>
    </row>
    <row r="612" spans="4:10" ht="12.75">
      <c r="D612"/>
      <c r="E612"/>
      <c r="F612"/>
      <c r="H612"/>
      <c r="I612"/>
      <c r="J612"/>
    </row>
    <row r="613" spans="4:10" ht="12.75">
      <c r="D613"/>
      <c r="E613"/>
      <c r="F613"/>
      <c r="H613"/>
      <c r="I613"/>
      <c r="J613"/>
    </row>
    <row r="614" spans="4:10" ht="12.75">
      <c r="D614"/>
      <c r="E614"/>
      <c r="F614"/>
      <c r="H614"/>
      <c r="I614"/>
      <c r="J614"/>
    </row>
    <row r="615" spans="4:10" ht="12.75">
      <c r="D615"/>
      <c r="E615"/>
      <c r="F615"/>
      <c r="H615"/>
      <c r="I615"/>
      <c r="J615"/>
    </row>
    <row r="616" spans="4:10" ht="12.75">
      <c r="D616"/>
      <c r="E616"/>
      <c r="F616"/>
      <c r="H616"/>
      <c r="I616"/>
      <c r="J616"/>
    </row>
    <row r="617" spans="4:10" ht="12.75">
      <c r="D617"/>
      <c r="E617"/>
      <c r="F617"/>
      <c r="H617"/>
      <c r="I617"/>
      <c r="J617"/>
    </row>
    <row r="618" spans="4:10" ht="12.75">
      <c r="D618"/>
      <c r="E618"/>
      <c r="F618"/>
      <c r="H618"/>
      <c r="I618"/>
      <c r="J618"/>
    </row>
    <row r="619" spans="4:10" ht="12.75">
      <c r="D619"/>
      <c r="E619"/>
      <c r="F619"/>
      <c r="H619"/>
      <c r="I619"/>
      <c r="J619"/>
    </row>
    <row r="620" spans="4:10" ht="12.75">
      <c r="D620"/>
      <c r="E620"/>
      <c r="F620"/>
      <c r="H620"/>
      <c r="I620"/>
      <c r="J620"/>
    </row>
    <row r="621" spans="4:10" ht="12.75">
      <c r="D621"/>
      <c r="E621"/>
      <c r="F621"/>
      <c r="H621"/>
      <c r="I621"/>
      <c r="J621"/>
    </row>
    <row r="622" spans="4:10" ht="12.75">
      <c r="D622"/>
      <c r="E622"/>
      <c r="F622"/>
      <c r="H622"/>
      <c r="I622"/>
      <c r="J622"/>
    </row>
    <row r="623" spans="4:10" ht="12.75">
      <c r="D623"/>
      <c r="E623"/>
      <c r="F623"/>
      <c r="H623"/>
      <c r="I623"/>
      <c r="J623"/>
    </row>
    <row r="624" spans="4:10" ht="12.75">
      <c r="D624"/>
      <c r="E624"/>
      <c r="F624"/>
      <c r="H624"/>
      <c r="I624"/>
      <c r="J624"/>
    </row>
    <row r="625" spans="4:10" ht="12.75">
      <c r="D625"/>
      <c r="E625"/>
      <c r="F625"/>
      <c r="H625"/>
      <c r="I625"/>
      <c r="J625"/>
    </row>
    <row r="626" spans="4:10" ht="12.75">
      <c r="D626"/>
      <c r="E626"/>
      <c r="F626"/>
      <c r="H626"/>
      <c r="I626"/>
      <c r="J626"/>
    </row>
    <row r="627" spans="4:10" ht="12.75">
      <c r="D627"/>
      <c r="E627"/>
      <c r="F627"/>
      <c r="H627"/>
      <c r="I627"/>
      <c r="J627"/>
    </row>
    <row r="628" spans="4:10" ht="12.75">
      <c r="D628"/>
      <c r="E628"/>
      <c r="F628"/>
      <c r="H628"/>
      <c r="I628"/>
      <c r="J628"/>
    </row>
    <row r="629" spans="4:10" ht="12.75">
      <c r="D629"/>
      <c r="E629"/>
      <c r="F629"/>
      <c r="H629"/>
      <c r="I629"/>
      <c r="J629"/>
    </row>
    <row r="630" spans="4:10" ht="12.75">
      <c r="D630"/>
      <c r="E630"/>
      <c r="F630"/>
      <c r="H630"/>
      <c r="I630"/>
      <c r="J630"/>
    </row>
    <row r="631" spans="4:10" ht="12.75">
      <c r="D631"/>
      <c r="E631"/>
      <c r="F631"/>
      <c r="H631"/>
      <c r="I631"/>
      <c r="J631"/>
    </row>
    <row r="632" spans="4:10" ht="12.75">
      <c r="D632"/>
      <c r="E632"/>
      <c r="F632"/>
      <c r="H632"/>
      <c r="I632"/>
      <c r="J632"/>
    </row>
    <row r="633" spans="4:10" ht="12.75">
      <c r="D633"/>
      <c r="E633"/>
      <c r="F633"/>
      <c r="H633"/>
      <c r="I633"/>
      <c r="J633"/>
    </row>
    <row r="634" spans="4:10" ht="12.75">
      <c r="D634"/>
      <c r="E634"/>
      <c r="F634"/>
      <c r="H634"/>
      <c r="I634"/>
      <c r="J634"/>
    </row>
    <row r="635" spans="4:10" ht="12.75">
      <c r="D635"/>
      <c r="E635"/>
      <c r="F635"/>
      <c r="H635"/>
      <c r="I635"/>
      <c r="J635"/>
    </row>
    <row r="636" spans="4:10" ht="12.75">
      <c r="D636"/>
      <c r="E636"/>
      <c r="F636"/>
      <c r="H636"/>
      <c r="I636"/>
      <c r="J636"/>
    </row>
    <row r="637" spans="4:10" ht="12.75">
      <c r="D637"/>
      <c r="E637"/>
      <c r="F637"/>
      <c r="H637"/>
      <c r="I637"/>
      <c r="J637"/>
    </row>
    <row r="638" spans="4:10" ht="12.75">
      <c r="D638"/>
      <c r="E638"/>
      <c r="F638"/>
      <c r="H638"/>
      <c r="I638"/>
      <c r="J638"/>
    </row>
    <row r="639" spans="4:10" ht="12.75">
      <c r="D639"/>
      <c r="E639"/>
      <c r="F639"/>
      <c r="H639"/>
      <c r="I639"/>
      <c r="J639"/>
    </row>
    <row r="640" spans="4:10" ht="12.75">
      <c r="D640"/>
      <c r="E640"/>
      <c r="F640"/>
      <c r="H640"/>
      <c r="I640"/>
      <c r="J640"/>
    </row>
    <row r="641" spans="4:10" ht="12.75">
      <c r="D641"/>
      <c r="E641"/>
      <c r="F641"/>
      <c r="H641"/>
      <c r="I641"/>
      <c r="J641"/>
    </row>
    <row r="642" spans="4:10" ht="12.75">
      <c r="D642"/>
      <c r="E642"/>
      <c r="F642"/>
      <c r="H642"/>
      <c r="I642"/>
      <c r="J642"/>
    </row>
    <row r="643" spans="4:10" ht="12.75">
      <c r="D643"/>
      <c r="E643"/>
      <c r="F643"/>
      <c r="H643"/>
      <c r="I643"/>
      <c r="J643"/>
    </row>
    <row r="644" spans="4:44" ht="14.25">
      <c r="D644"/>
      <c r="E644"/>
      <c r="F644"/>
      <c r="H644"/>
      <c r="I644"/>
      <c r="J644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</row>
    <row r="645" spans="4:10" ht="12.75">
      <c r="D645"/>
      <c r="E645"/>
      <c r="F645"/>
      <c r="H645"/>
      <c r="I645"/>
      <c r="J645"/>
    </row>
    <row r="646" spans="4:10" ht="12.75">
      <c r="D646"/>
      <c r="E646"/>
      <c r="F646"/>
      <c r="H646"/>
      <c r="I646"/>
      <c r="J646"/>
    </row>
    <row r="647" spans="4:10" ht="12.75">
      <c r="D647"/>
      <c r="E647"/>
      <c r="F647"/>
      <c r="H647"/>
      <c r="I647"/>
      <c r="J647"/>
    </row>
    <row r="648" spans="4:10" ht="12.75">
      <c r="D648"/>
      <c r="E648"/>
      <c r="F648"/>
      <c r="H648"/>
      <c r="I648"/>
      <c r="J648"/>
    </row>
    <row r="649" spans="4:10" ht="12.75">
      <c r="D649"/>
      <c r="E649"/>
      <c r="F649"/>
      <c r="H649"/>
      <c r="I649"/>
      <c r="J649"/>
    </row>
    <row r="650" spans="4:10" ht="12.75">
      <c r="D650"/>
      <c r="E650"/>
      <c r="F650"/>
      <c r="H650"/>
      <c r="I650"/>
      <c r="J650"/>
    </row>
    <row r="651" spans="4:10" ht="12.75">
      <c r="D651"/>
      <c r="E651"/>
      <c r="F651"/>
      <c r="H651"/>
      <c r="I651"/>
      <c r="J651"/>
    </row>
    <row r="652" spans="4:10" ht="12.75">
      <c r="D652"/>
      <c r="E652"/>
      <c r="F652"/>
      <c r="H652"/>
      <c r="I652"/>
      <c r="J652"/>
    </row>
    <row r="653" spans="4:10" ht="12.75">
      <c r="D653"/>
      <c r="E653"/>
      <c r="F653"/>
      <c r="H653"/>
      <c r="I653"/>
      <c r="J653"/>
    </row>
    <row r="654" spans="4:10" ht="12.75">
      <c r="D654"/>
      <c r="E654"/>
      <c r="F654"/>
      <c r="H654"/>
      <c r="I654"/>
      <c r="J654"/>
    </row>
    <row r="655" spans="4:10" ht="12.75">
      <c r="D655"/>
      <c r="E655"/>
      <c r="F655"/>
      <c r="H655"/>
      <c r="I655"/>
      <c r="J655"/>
    </row>
    <row r="656" spans="4:10" ht="12.75">
      <c r="D656"/>
      <c r="E656"/>
      <c r="F656"/>
      <c r="H656"/>
      <c r="I656"/>
      <c r="J656"/>
    </row>
    <row r="657" spans="4:10" ht="12.75">
      <c r="D657"/>
      <c r="E657"/>
      <c r="F657"/>
      <c r="H657"/>
      <c r="I657"/>
      <c r="J657"/>
    </row>
    <row r="658" spans="4:10" ht="12.75">
      <c r="D658"/>
      <c r="E658"/>
      <c r="F658"/>
      <c r="H658"/>
      <c r="I658"/>
      <c r="J658"/>
    </row>
    <row r="659" spans="4:10" ht="12.75">
      <c r="D659"/>
      <c r="E659"/>
      <c r="F659"/>
      <c r="H659"/>
      <c r="I659"/>
      <c r="J659"/>
    </row>
    <row r="660" spans="4:10" ht="12.75">
      <c r="D660"/>
      <c r="E660"/>
      <c r="F660"/>
      <c r="H660"/>
      <c r="I660"/>
      <c r="J660"/>
    </row>
    <row r="661" spans="4:10" ht="12.75">
      <c r="D661"/>
      <c r="E661"/>
      <c r="F661"/>
      <c r="H661"/>
      <c r="I661"/>
      <c r="J661"/>
    </row>
    <row r="662" spans="4:10" ht="12.75">
      <c r="D662"/>
      <c r="E662"/>
      <c r="F662"/>
      <c r="H662"/>
      <c r="I662"/>
      <c r="J662"/>
    </row>
    <row r="663" spans="4:10" ht="12.75">
      <c r="D663"/>
      <c r="E663"/>
      <c r="F663"/>
      <c r="H663"/>
      <c r="I663"/>
      <c r="J663"/>
    </row>
    <row r="664" spans="4:10" ht="12.75">
      <c r="D664"/>
      <c r="E664"/>
      <c r="F664"/>
      <c r="H664"/>
      <c r="I664"/>
      <c r="J664"/>
    </row>
    <row r="665" spans="4:10" ht="12.75">
      <c r="D665"/>
      <c r="E665"/>
      <c r="F665"/>
      <c r="H665"/>
      <c r="I665"/>
      <c r="J665"/>
    </row>
    <row r="666" spans="4:10" ht="12.75">
      <c r="D666"/>
      <c r="E666"/>
      <c r="F666"/>
      <c r="H666"/>
      <c r="I666"/>
      <c r="J666"/>
    </row>
    <row r="667" spans="4:10" ht="12.75">
      <c r="D667"/>
      <c r="E667"/>
      <c r="F667"/>
      <c r="H667"/>
      <c r="I667"/>
      <c r="J667"/>
    </row>
    <row r="668" spans="4:10" ht="12.75">
      <c r="D668"/>
      <c r="E668"/>
      <c r="F668"/>
      <c r="H668"/>
      <c r="I668"/>
      <c r="J668"/>
    </row>
    <row r="669" spans="4:10" ht="12.75">
      <c r="D669"/>
      <c r="E669"/>
      <c r="F669"/>
      <c r="H669"/>
      <c r="I669"/>
      <c r="J669"/>
    </row>
    <row r="670" spans="4:10" ht="12.75">
      <c r="D670"/>
      <c r="E670"/>
      <c r="F670"/>
      <c r="H670"/>
      <c r="I670"/>
      <c r="J670"/>
    </row>
    <row r="671" spans="4:10" ht="12.75">
      <c r="D671"/>
      <c r="E671"/>
      <c r="F671"/>
      <c r="H671"/>
      <c r="I671"/>
      <c r="J671"/>
    </row>
    <row r="672" spans="4:10" ht="12.75">
      <c r="D672"/>
      <c r="E672"/>
      <c r="F672"/>
      <c r="H672"/>
      <c r="I672"/>
      <c r="J672"/>
    </row>
    <row r="673" spans="4:10" ht="12.75">
      <c r="D673"/>
      <c r="E673"/>
      <c r="F673"/>
      <c r="H673"/>
      <c r="I673"/>
      <c r="J673"/>
    </row>
    <row r="674" spans="4:10" ht="12.75">
      <c r="D674"/>
      <c r="E674"/>
      <c r="F674"/>
      <c r="H674"/>
      <c r="I674"/>
      <c r="J674"/>
    </row>
    <row r="675" spans="4:10" ht="12.75">
      <c r="D675"/>
      <c r="E675"/>
      <c r="F675"/>
      <c r="H675"/>
      <c r="I675"/>
      <c r="J675"/>
    </row>
    <row r="676" spans="4:10" ht="12.75">
      <c r="D676"/>
      <c r="E676"/>
      <c r="F676"/>
      <c r="H676"/>
      <c r="I676"/>
      <c r="J676"/>
    </row>
    <row r="677" spans="4:10" ht="12.75">
      <c r="D677"/>
      <c r="E677"/>
      <c r="F677"/>
      <c r="H677"/>
      <c r="I677"/>
      <c r="J677"/>
    </row>
    <row r="678" spans="4:10" ht="12.75">
      <c r="D678"/>
      <c r="E678"/>
      <c r="F678"/>
      <c r="H678"/>
      <c r="I678"/>
      <c r="J678"/>
    </row>
    <row r="679" spans="4:10" ht="12.75">
      <c r="D679"/>
      <c r="E679"/>
      <c r="F679"/>
      <c r="H679"/>
      <c r="I679"/>
      <c r="J679"/>
    </row>
    <row r="680" spans="4:10" ht="12.75">
      <c r="D680"/>
      <c r="E680"/>
      <c r="F680"/>
      <c r="H680"/>
      <c r="I680"/>
      <c r="J680"/>
    </row>
    <row r="681" spans="4:10" ht="12.75">
      <c r="D681"/>
      <c r="E681"/>
      <c r="F681"/>
      <c r="H681"/>
      <c r="I681"/>
      <c r="J681"/>
    </row>
    <row r="682" spans="4:10" ht="12.75">
      <c r="D682"/>
      <c r="E682"/>
      <c r="F682"/>
      <c r="H682"/>
      <c r="I682"/>
      <c r="J682"/>
    </row>
    <row r="683" spans="4:10" ht="12.75">
      <c r="D683"/>
      <c r="E683"/>
      <c r="F683"/>
      <c r="H683"/>
      <c r="I683"/>
      <c r="J683"/>
    </row>
    <row r="684" spans="4:10" ht="12.75">
      <c r="D684"/>
      <c r="E684"/>
      <c r="F684"/>
      <c r="H684"/>
      <c r="I684"/>
      <c r="J684"/>
    </row>
    <row r="685" spans="4:10" ht="12.75">
      <c r="D685"/>
      <c r="E685"/>
      <c r="F685"/>
      <c r="H685"/>
      <c r="I685"/>
      <c r="J685"/>
    </row>
    <row r="686" spans="4:10" ht="12.75">
      <c r="D686"/>
      <c r="E686"/>
      <c r="F686"/>
      <c r="H686"/>
      <c r="I686"/>
      <c r="J686"/>
    </row>
    <row r="687" spans="4:10" ht="12.75">
      <c r="D687"/>
      <c r="E687"/>
      <c r="F687"/>
      <c r="H687"/>
      <c r="I687"/>
      <c r="J687"/>
    </row>
    <row r="688" spans="4:10" ht="12.75">
      <c r="D688"/>
      <c r="E688"/>
      <c r="F688"/>
      <c r="H688"/>
      <c r="I688"/>
      <c r="J688"/>
    </row>
    <row r="689" spans="4:10" ht="12.75">
      <c r="D689"/>
      <c r="E689"/>
      <c r="F689"/>
      <c r="H689"/>
      <c r="I689"/>
      <c r="J689"/>
    </row>
    <row r="690" spans="4:10" ht="12.75">
      <c r="D690"/>
      <c r="E690"/>
      <c r="F690"/>
      <c r="H690"/>
      <c r="I690"/>
      <c r="J690"/>
    </row>
    <row r="691" spans="4:10" ht="12.75">
      <c r="D691"/>
      <c r="E691"/>
      <c r="F691"/>
      <c r="H691"/>
      <c r="I691"/>
      <c r="J691"/>
    </row>
    <row r="692" spans="4:10" ht="12.75">
      <c r="D692"/>
      <c r="E692"/>
      <c r="F692"/>
      <c r="H692"/>
      <c r="I692"/>
      <c r="J692"/>
    </row>
    <row r="693" spans="4:10" ht="12.75">
      <c r="D693"/>
      <c r="E693"/>
      <c r="F693"/>
      <c r="H693"/>
      <c r="I693"/>
      <c r="J693"/>
    </row>
    <row r="694" spans="4:10" ht="12.75">
      <c r="D694"/>
      <c r="E694"/>
      <c r="F694"/>
      <c r="H694"/>
      <c r="I694"/>
      <c r="J694"/>
    </row>
    <row r="695" spans="4:10" ht="12.75">
      <c r="D695"/>
      <c r="E695"/>
      <c r="F695"/>
      <c r="H695"/>
      <c r="I695"/>
      <c r="J695"/>
    </row>
    <row r="696" spans="4:10" ht="12.75">
      <c r="D696"/>
      <c r="E696"/>
      <c r="F696"/>
      <c r="H696"/>
      <c r="I696"/>
      <c r="J696"/>
    </row>
    <row r="697" spans="4:10" ht="12.75">
      <c r="D697"/>
      <c r="E697"/>
      <c r="F697"/>
      <c r="H697"/>
      <c r="I697"/>
      <c r="J697"/>
    </row>
    <row r="698" spans="4:10" ht="12.75">
      <c r="D698"/>
      <c r="E698"/>
      <c r="F698"/>
      <c r="H698"/>
      <c r="I698"/>
      <c r="J698"/>
    </row>
    <row r="699" spans="4:10" ht="12.75">
      <c r="D699"/>
      <c r="E699"/>
      <c r="F699"/>
      <c r="H699"/>
      <c r="I699"/>
      <c r="J699"/>
    </row>
    <row r="700" spans="4:10" ht="12.75">
      <c r="D700"/>
      <c r="E700"/>
      <c r="F700"/>
      <c r="H700"/>
      <c r="I700"/>
      <c r="J700"/>
    </row>
    <row r="701" spans="4:10" ht="12.75">
      <c r="D701"/>
      <c r="E701"/>
      <c r="F701"/>
      <c r="H701"/>
      <c r="I701"/>
      <c r="J701"/>
    </row>
    <row r="702" spans="4:10" ht="12.75">
      <c r="D702"/>
      <c r="E702"/>
      <c r="F702"/>
      <c r="H702"/>
      <c r="I702"/>
      <c r="J702"/>
    </row>
    <row r="703" spans="4:10" ht="12.75">
      <c r="D703"/>
      <c r="E703"/>
      <c r="F703"/>
      <c r="H703"/>
      <c r="I703"/>
      <c r="J703"/>
    </row>
    <row r="704" spans="4:10" ht="12.75">
      <c r="D704"/>
      <c r="E704"/>
      <c r="F704"/>
      <c r="H704"/>
      <c r="I704"/>
      <c r="J704"/>
    </row>
    <row r="705" spans="4:10" ht="12.75">
      <c r="D705"/>
      <c r="E705"/>
      <c r="F705"/>
      <c r="H705"/>
      <c r="I705"/>
      <c r="J705"/>
    </row>
    <row r="706" spans="4:10" ht="12.75">
      <c r="D706"/>
      <c r="E706"/>
      <c r="F706"/>
      <c r="H706"/>
      <c r="I706"/>
      <c r="J706"/>
    </row>
    <row r="707" spans="4:10" ht="12.75">
      <c r="D707"/>
      <c r="E707"/>
      <c r="F707"/>
      <c r="H707"/>
      <c r="I707"/>
      <c r="J707"/>
    </row>
    <row r="708" spans="4:10" ht="12.75">
      <c r="D708"/>
      <c r="E708"/>
      <c r="F708"/>
      <c r="H708"/>
      <c r="I708"/>
      <c r="J708"/>
    </row>
    <row r="709" spans="4:10" ht="12.75">
      <c r="D709"/>
      <c r="E709"/>
      <c r="F709"/>
      <c r="H709"/>
      <c r="I709"/>
      <c r="J709"/>
    </row>
    <row r="710" spans="4:10" ht="12.75">
      <c r="D710"/>
      <c r="E710"/>
      <c r="F710"/>
      <c r="H710"/>
      <c r="I710"/>
      <c r="J710"/>
    </row>
    <row r="711" spans="4:10" ht="12.75">
      <c r="D711"/>
      <c r="E711"/>
      <c r="F711"/>
      <c r="H711"/>
      <c r="I711"/>
      <c r="J711"/>
    </row>
    <row r="712" spans="4:10" ht="12.75">
      <c r="D712"/>
      <c r="E712"/>
      <c r="F712"/>
      <c r="H712"/>
      <c r="I712"/>
      <c r="J712"/>
    </row>
    <row r="713" spans="4:10" ht="12.75">
      <c r="D713"/>
      <c r="E713"/>
      <c r="F713"/>
      <c r="H713"/>
      <c r="I713"/>
      <c r="J713"/>
    </row>
    <row r="714" spans="4:10" ht="12.75">
      <c r="D714"/>
      <c r="E714"/>
      <c r="F714"/>
      <c r="H714"/>
      <c r="I714"/>
      <c r="J714"/>
    </row>
    <row r="715" spans="4:10" ht="12.75">
      <c r="D715"/>
      <c r="E715"/>
      <c r="F715"/>
      <c r="H715"/>
      <c r="I715"/>
      <c r="J715"/>
    </row>
    <row r="716" spans="4:10" ht="12.75">
      <c r="D716"/>
      <c r="E716"/>
      <c r="F716"/>
      <c r="H716"/>
      <c r="I716"/>
      <c r="J716"/>
    </row>
    <row r="717" spans="4:10" ht="12.75">
      <c r="D717"/>
      <c r="E717"/>
      <c r="F717"/>
      <c r="H717"/>
      <c r="I717"/>
      <c r="J717"/>
    </row>
    <row r="718" spans="4:10" ht="12.75">
      <c r="D718"/>
      <c r="E718"/>
      <c r="F718"/>
      <c r="H718"/>
      <c r="I718"/>
      <c r="J718"/>
    </row>
    <row r="719" spans="4:10" ht="12.75">
      <c r="D719"/>
      <c r="E719"/>
      <c r="F719"/>
      <c r="H719"/>
      <c r="I719"/>
      <c r="J719"/>
    </row>
    <row r="720" spans="4:10" ht="12.75">
      <c r="D720"/>
      <c r="E720"/>
      <c r="F720"/>
      <c r="H720"/>
      <c r="I720"/>
      <c r="J720"/>
    </row>
    <row r="721" spans="4:10" ht="12.75">
      <c r="D721"/>
      <c r="E721"/>
      <c r="F721"/>
      <c r="H721"/>
      <c r="I721"/>
      <c r="J721"/>
    </row>
    <row r="722" spans="4:10" ht="12.75">
      <c r="D722"/>
      <c r="E722"/>
      <c r="F722"/>
      <c r="H722"/>
      <c r="I722"/>
      <c r="J722"/>
    </row>
    <row r="723" spans="4:10" ht="12.75">
      <c r="D723"/>
      <c r="E723"/>
      <c r="F723"/>
      <c r="H723"/>
      <c r="I723"/>
      <c r="J723"/>
    </row>
    <row r="724" spans="4:10" ht="12.75">
      <c r="D724"/>
      <c r="E724"/>
      <c r="F724"/>
      <c r="H724"/>
      <c r="I724"/>
      <c r="J724"/>
    </row>
    <row r="725" spans="4:10" ht="12.75">
      <c r="D725"/>
      <c r="E725"/>
      <c r="F725"/>
      <c r="H725"/>
      <c r="I725"/>
      <c r="J725"/>
    </row>
    <row r="726" spans="4:10" ht="12.75">
      <c r="D726"/>
      <c r="E726"/>
      <c r="F726"/>
      <c r="H726"/>
      <c r="I726"/>
      <c r="J726"/>
    </row>
    <row r="727" spans="4:10" ht="12.75">
      <c r="D727"/>
      <c r="E727"/>
      <c r="F727"/>
      <c r="H727"/>
      <c r="I727"/>
      <c r="J727"/>
    </row>
    <row r="728" spans="4:10" ht="12.75">
      <c r="D728"/>
      <c r="E728"/>
      <c r="F728"/>
      <c r="H728"/>
      <c r="I728"/>
      <c r="J728"/>
    </row>
    <row r="729" spans="4:10" ht="12.75">
      <c r="D729"/>
      <c r="E729"/>
      <c r="F729"/>
      <c r="H729"/>
      <c r="I729"/>
      <c r="J729"/>
    </row>
    <row r="730" spans="4:10" ht="12.75">
      <c r="D730"/>
      <c r="E730"/>
      <c r="F730"/>
      <c r="H730"/>
      <c r="I730"/>
      <c r="J730"/>
    </row>
    <row r="731" spans="4:10" ht="12.75">
      <c r="D731"/>
      <c r="E731"/>
      <c r="F731"/>
      <c r="H731"/>
      <c r="I731"/>
      <c r="J731"/>
    </row>
    <row r="732" spans="4:10" ht="12.75">
      <c r="D732"/>
      <c r="E732"/>
      <c r="F732"/>
      <c r="H732"/>
      <c r="I732"/>
      <c r="J732"/>
    </row>
    <row r="733" spans="4:10" ht="12.75">
      <c r="D733"/>
      <c r="E733"/>
      <c r="F733"/>
      <c r="H733"/>
      <c r="I733"/>
      <c r="J733"/>
    </row>
    <row r="734" spans="4:10" ht="12.75">
      <c r="D734"/>
      <c r="E734"/>
      <c r="F734"/>
      <c r="H734"/>
      <c r="I734"/>
      <c r="J734"/>
    </row>
    <row r="735" spans="4:10" ht="12.75">
      <c r="D735"/>
      <c r="E735"/>
      <c r="F735"/>
      <c r="H735"/>
      <c r="I735"/>
      <c r="J735"/>
    </row>
    <row r="736" spans="4:10" ht="12.75">
      <c r="D736"/>
      <c r="E736"/>
      <c r="F736"/>
      <c r="H736"/>
      <c r="I736"/>
      <c r="J736"/>
    </row>
    <row r="737" spans="4:10" ht="12.75">
      <c r="D737"/>
      <c r="E737"/>
      <c r="F737"/>
      <c r="H737"/>
      <c r="I737"/>
      <c r="J737"/>
    </row>
    <row r="738" spans="4:10" ht="12.75">
      <c r="D738"/>
      <c r="E738"/>
      <c r="F738"/>
      <c r="H738"/>
      <c r="I738"/>
      <c r="J738"/>
    </row>
    <row r="739" spans="4:10" ht="12.75">
      <c r="D739"/>
      <c r="E739"/>
      <c r="F739"/>
      <c r="H739"/>
      <c r="I739"/>
      <c r="J739"/>
    </row>
    <row r="740" spans="4:10" ht="12.75">
      <c r="D740"/>
      <c r="E740"/>
      <c r="F740"/>
      <c r="H740"/>
      <c r="I740"/>
      <c r="J740"/>
    </row>
    <row r="741" spans="4:10" ht="12.75">
      <c r="D741"/>
      <c r="E741"/>
      <c r="F741"/>
      <c r="H741"/>
      <c r="I741"/>
      <c r="J741"/>
    </row>
    <row r="742" spans="4:10" ht="12.75">
      <c r="D742"/>
      <c r="E742"/>
      <c r="F742"/>
      <c r="H742"/>
      <c r="I742"/>
      <c r="J742"/>
    </row>
    <row r="743" spans="4:10" ht="12.75">
      <c r="D743"/>
      <c r="E743"/>
      <c r="F743"/>
      <c r="H743"/>
      <c r="I743"/>
      <c r="J743"/>
    </row>
    <row r="744" spans="4:10" ht="12.75">
      <c r="D744"/>
      <c r="E744"/>
      <c r="F744"/>
      <c r="H744"/>
      <c r="I744"/>
      <c r="J744"/>
    </row>
    <row r="745" spans="4:10" ht="12.75">
      <c r="D745"/>
      <c r="E745"/>
      <c r="F745"/>
      <c r="H745"/>
      <c r="I745"/>
      <c r="J745"/>
    </row>
    <row r="746" spans="4:10" ht="12.75">
      <c r="D746"/>
      <c r="E746"/>
      <c r="F746"/>
      <c r="H746"/>
      <c r="I746"/>
      <c r="J746"/>
    </row>
    <row r="747" spans="4:10" ht="12.75">
      <c r="D747"/>
      <c r="E747"/>
      <c r="F747"/>
      <c r="H747"/>
      <c r="I747"/>
      <c r="J747"/>
    </row>
    <row r="748" spans="4:10" ht="12.75">
      <c r="D748"/>
      <c r="E748"/>
      <c r="F748"/>
      <c r="H748"/>
      <c r="I748"/>
      <c r="J748"/>
    </row>
    <row r="749" spans="4:10" ht="12.75">
      <c r="D749"/>
      <c r="E749"/>
      <c r="F749"/>
      <c r="H749"/>
      <c r="I749"/>
      <c r="J749"/>
    </row>
    <row r="750" spans="4:10" ht="12.75">
      <c r="D750"/>
      <c r="E750"/>
      <c r="F750"/>
      <c r="H750"/>
      <c r="I750"/>
      <c r="J750"/>
    </row>
    <row r="751" spans="4:10" ht="12.75">
      <c r="D751"/>
      <c r="E751"/>
      <c r="F751"/>
      <c r="H751"/>
      <c r="I751"/>
      <c r="J751"/>
    </row>
    <row r="752" spans="4:10" ht="12.75">
      <c r="D752"/>
      <c r="E752"/>
      <c r="F752"/>
      <c r="H752"/>
      <c r="I752"/>
      <c r="J752"/>
    </row>
    <row r="753" spans="4:10" ht="12.75">
      <c r="D753"/>
      <c r="E753"/>
      <c r="F753"/>
      <c r="H753"/>
      <c r="I753"/>
      <c r="J753"/>
    </row>
    <row r="754" spans="4:10" ht="12.75">
      <c r="D754"/>
      <c r="E754"/>
      <c r="F754"/>
      <c r="H754"/>
      <c r="I754"/>
      <c r="J754"/>
    </row>
    <row r="755" spans="4:10" ht="12.75">
      <c r="D755"/>
      <c r="E755"/>
      <c r="F755"/>
      <c r="H755"/>
      <c r="I755"/>
      <c r="J755"/>
    </row>
    <row r="756" spans="4:10" ht="12.75">
      <c r="D756"/>
      <c r="E756"/>
      <c r="F756"/>
      <c r="H756"/>
      <c r="I756"/>
      <c r="J756"/>
    </row>
    <row r="757" spans="4:10" ht="12.75">
      <c r="D757"/>
      <c r="E757"/>
      <c r="F757"/>
      <c r="H757"/>
      <c r="I757"/>
      <c r="J757"/>
    </row>
    <row r="758" spans="4:10" ht="12.75">
      <c r="D758"/>
      <c r="E758"/>
      <c r="F758"/>
      <c r="H758"/>
      <c r="I758"/>
      <c r="J758"/>
    </row>
    <row r="759" spans="4:10" ht="12.75">
      <c r="D759"/>
      <c r="E759"/>
      <c r="F759"/>
      <c r="H759"/>
      <c r="I759"/>
      <c r="J759"/>
    </row>
    <row r="760" spans="4:10" ht="12.75">
      <c r="D760"/>
      <c r="E760"/>
      <c r="F760"/>
      <c r="H760"/>
      <c r="I760"/>
      <c r="J760"/>
    </row>
    <row r="761" spans="4:10" ht="12.75">
      <c r="D761"/>
      <c r="E761"/>
      <c r="F761"/>
      <c r="H761"/>
      <c r="I761"/>
      <c r="J761"/>
    </row>
    <row r="762" spans="4:10" ht="12.75">
      <c r="D762"/>
      <c r="E762"/>
      <c r="F762"/>
      <c r="H762"/>
      <c r="I762"/>
      <c r="J762"/>
    </row>
    <row r="763" spans="4:10" ht="12.75">
      <c r="D763"/>
      <c r="E763"/>
      <c r="F763"/>
      <c r="H763"/>
      <c r="I763"/>
      <c r="J763"/>
    </row>
    <row r="764" spans="4:10" ht="12.75">
      <c r="D764"/>
      <c r="E764"/>
      <c r="F764"/>
      <c r="H764"/>
      <c r="I764"/>
      <c r="J764"/>
    </row>
    <row r="765" spans="4:10" ht="12.75">
      <c r="D765"/>
      <c r="E765"/>
      <c r="F765"/>
      <c r="H765"/>
      <c r="I765"/>
      <c r="J765"/>
    </row>
    <row r="766" spans="4:10" ht="12.75">
      <c r="D766"/>
      <c r="E766"/>
      <c r="F766"/>
      <c r="H766"/>
      <c r="I766"/>
      <c r="J766"/>
    </row>
    <row r="767" spans="4:10" ht="12.75">
      <c r="D767"/>
      <c r="E767"/>
      <c r="F767"/>
      <c r="H767"/>
      <c r="I767"/>
      <c r="J767"/>
    </row>
    <row r="768" spans="4:10" ht="12.75">
      <c r="D768"/>
      <c r="E768"/>
      <c r="F768"/>
      <c r="H768"/>
      <c r="I768"/>
      <c r="J768"/>
    </row>
    <row r="769" spans="4:10" ht="12.75">
      <c r="D769"/>
      <c r="E769"/>
      <c r="F769"/>
      <c r="H769"/>
      <c r="I769"/>
      <c r="J769"/>
    </row>
    <row r="770" spans="4:10" ht="12.75">
      <c r="D770"/>
      <c r="E770"/>
      <c r="F770"/>
      <c r="H770"/>
      <c r="I770"/>
      <c r="J770"/>
    </row>
    <row r="771" spans="4:10" ht="12.75">
      <c r="D771"/>
      <c r="E771"/>
      <c r="F771"/>
      <c r="H771"/>
      <c r="I771"/>
      <c r="J771"/>
    </row>
    <row r="772" spans="4:10" ht="12.75">
      <c r="D772"/>
      <c r="E772"/>
      <c r="F772"/>
      <c r="H772"/>
      <c r="I772"/>
      <c r="J772"/>
    </row>
    <row r="773" spans="4:10" ht="12.75">
      <c r="D773"/>
      <c r="E773"/>
      <c r="F773"/>
      <c r="H773"/>
      <c r="I773"/>
      <c r="J773"/>
    </row>
    <row r="774" spans="4:10" ht="12.75">
      <c r="D774"/>
      <c r="E774"/>
      <c r="F774"/>
      <c r="H774"/>
      <c r="I774"/>
      <c r="J774"/>
    </row>
    <row r="775" spans="4:10" ht="12.75">
      <c r="D775"/>
      <c r="E775"/>
      <c r="F775"/>
      <c r="H775"/>
      <c r="I775"/>
      <c r="J775"/>
    </row>
    <row r="776" spans="4:10" ht="12.75">
      <c r="D776"/>
      <c r="E776"/>
      <c r="F776"/>
      <c r="H776"/>
      <c r="I776"/>
      <c r="J776"/>
    </row>
    <row r="777" spans="4:10" ht="12.75">
      <c r="D777"/>
      <c r="E777"/>
      <c r="F777"/>
      <c r="H777"/>
      <c r="I777"/>
      <c r="J777"/>
    </row>
    <row r="778" spans="4:10" ht="12.75">
      <c r="D778"/>
      <c r="E778"/>
      <c r="F778"/>
      <c r="H778"/>
      <c r="I778"/>
      <c r="J778"/>
    </row>
    <row r="779" spans="4:10" ht="12.75">
      <c r="D779"/>
      <c r="E779"/>
      <c r="F779"/>
      <c r="H779"/>
      <c r="I779"/>
      <c r="J779"/>
    </row>
    <row r="780" spans="4:10" ht="12.75">
      <c r="D780"/>
      <c r="E780"/>
      <c r="F780"/>
      <c r="H780"/>
      <c r="I780"/>
      <c r="J780"/>
    </row>
    <row r="781" spans="4:10" ht="12.75">
      <c r="D781"/>
      <c r="E781"/>
      <c r="F781"/>
      <c r="H781"/>
      <c r="I781"/>
      <c r="J781"/>
    </row>
    <row r="782" spans="4:10" ht="12.75">
      <c r="D782"/>
      <c r="E782"/>
      <c r="F782"/>
      <c r="H782"/>
      <c r="I782"/>
      <c r="J782"/>
    </row>
    <row r="783" spans="4:10" ht="12.75">
      <c r="D783"/>
      <c r="E783"/>
      <c r="F783"/>
      <c r="H783"/>
      <c r="I783"/>
      <c r="J783"/>
    </row>
    <row r="784" spans="4:10" ht="12.75">
      <c r="D784"/>
      <c r="E784"/>
      <c r="F784"/>
      <c r="H784"/>
      <c r="I784"/>
      <c r="J784"/>
    </row>
    <row r="785" spans="4:10" ht="12.75">
      <c r="D785"/>
      <c r="E785"/>
      <c r="F785"/>
      <c r="H785"/>
      <c r="I785"/>
      <c r="J785"/>
    </row>
    <row r="786" spans="4:10" ht="12.75">
      <c r="D786"/>
      <c r="E786"/>
      <c r="F786"/>
      <c r="H786"/>
      <c r="I786"/>
      <c r="J786"/>
    </row>
    <row r="787" spans="4:10" ht="12.75">
      <c r="D787"/>
      <c r="E787"/>
      <c r="F787"/>
      <c r="H787"/>
      <c r="I787"/>
      <c r="J787"/>
    </row>
    <row r="788" spans="4:10" ht="12.75">
      <c r="D788"/>
      <c r="E788"/>
      <c r="F788"/>
      <c r="H788"/>
      <c r="I788"/>
      <c r="J788"/>
    </row>
    <row r="789" spans="4:10" ht="12.75">
      <c r="D789"/>
      <c r="E789"/>
      <c r="F789"/>
      <c r="H789"/>
      <c r="I789"/>
      <c r="J789"/>
    </row>
    <row r="790" spans="4:10" ht="12.75">
      <c r="D790"/>
      <c r="E790"/>
      <c r="F790"/>
      <c r="H790"/>
      <c r="I790"/>
      <c r="J790"/>
    </row>
    <row r="791" spans="4:10" ht="12.75">
      <c r="D791"/>
      <c r="E791"/>
      <c r="F791"/>
      <c r="H791"/>
      <c r="I791"/>
      <c r="J791"/>
    </row>
    <row r="792" spans="4:10" ht="12.75">
      <c r="D792"/>
      <c r="E792"/>
      <c r="F792"/>
      <c r="H792"/>
      <c r="I792"/>
      <c r="J792"/>
    </row>
    <row r="793" spans="4:10" ht="12.75">
      <c r="D793"/>
      <c r="E793"/>
      <c r="F793"/>
      <c r="H793"/>
      <c r="I793"/>
      <c r="J793"/>
    </row>
    <row r="794" spans="4:10" ht="12.75">
      <c r="D794"/>
      <c r="E794"/>
      <c r="F794"/>
      <c r="H794"/>
      <c r="I794"/>
      <c r="J794"/>
    </row>
    <row r="795" spans="4:10" ht="12.75">
      <c r="D795"/>
      <c r="E795"/>
      <c r="F795"/>
      <c r="H795"/>
      <c r="I795"/>
      <c r="J795"/>
    </row>
    <row r="796" spans="4:10" ht="12.75">
      <c r="D796"/>
      <c r="E796"/>
      <c r="F796"/>
      <c r="H796"/>
      <c r="I796"/>
      <c r="J796"/>
    </row>
    <row r="797" spans="4:10" ht="12.75">
      <c r="D797"/>
      <c r="E797"/>
      <c r="F797"/>
      <c r="H797"/>
      <c r="I797"/>
      <c r="J797"/>
    </row>
    <row r="798" spans="4:10" ht="12.75">
      <c r="D798"/>
      <c r="E798"/>
      <c r="F798"/>
      <c r="H798"/>
      <c r="I798"/>
      <c r="J798"/>
    </row>
    <row r="799" spans="4:10" ht="12.75">
      <c r="D799"/>
      <c r="E799"/>
      <c r="F799"/>
      <c r="H799"/>
      <c r="I799"/>
      <c r="J799"/>
    </row>
    <row r="800" spans="4:10" ht="12.75">
      <c r="D800"/>
      <c r="E800"/>
      <c r="F800"/>
      <c r="H800"/>
      <c r="I800"/>
      <c r="J800"/>
    </row>
    <row r="801" spans="4:10" ht="12.75">
      <c r="D801"/>
      <c r="E801"/>
      <c r="F801"/>
      <c r="H801"/>
      <c r="I801"/>
      <c r="J801"/>
    </row>
    <row r="802" spans="4:10" ht="12.75">
      <c r="D802"/>
      <c r="E802"/>
      <c r="F802"/>
      <c r="H802"/>
      <c r="I802"/>
      <c r="J802"/>
    </row>
    <row r="803" spans="4:10" ht="12.75">
      <c r="D803"/>
      <c r="E803"/>
      <c r="F803"/>
      <c r="H803"/>
      <c r="I803"/>
      <c r="J803"/>
    </row>
    <row r="804" spans="4:10" ht="12.75">
      <c r="D804"/>
      <c r="E804"/>
      <c r="F804"/>
      <c r="H804"/>
      <c r="I804"/>
      <c r="J804"/>
    </row>
    <row r="805" spans="4:10" ht="12.75">
      <c r="D805"/>
      <c r="E805"/>
      <c r="F805"/>
      <c r="H805"/>
      <c r="I805"/>
      <c r="J805"/>
    </row>
    <row r="806" spans="4:10" ht="12.75">
      <c r="D806"/>
      <c r="E806"/>
      <c r="F806"/>
      <c r="H806"/>
      <c r="I806"/>
      <c r="J806"/>
    </row>
    <row r="807" spans="4:10" ht="12.75">
      <c r="D807"/>
      <c r="E807"/>
      <c r="F807"/>
      <c r="H807"/>
      <c r="I807"/>
      <c r="J807"/>
    </row>
    <row r="808" spans="4:10" ht="12.75">
      <c r="D808"/>
      <c r="E808"/>
      <c r="F808"/>
      <c r="H808"/>
      <c r="I808"/>
      <c r="J808"/>
    </row>
    <row r="809" spans="4:10" ht="12.75">
      <c r="D809"/>
      <c r="E809"/>
      <c r="F809"/>
      <c r="H809"/>
      <c r="I809"/>
      <c r="J809"/>
    </row>
    <row r="810" spans="4:10" ht="12.75">
      <c r="D810"/>
      <c r="E810"/>
      <c r="F810"/>
      <c r="H810"/>
      <c r="I810"/>
      <c r="J810"/>
    </row>
    <row r="811" spans="4:10" ht="12.75">
      <c r="D811"/>
      <c r="E811"/>
      <c r="F811"/>
      <c r="H811"/>
      <c r="I811"/>
      <c r="J811"/>
    </row>
    <row r="812" spans="4:10" ht="12.75">
      <c r="D812"/>
      <c r="E812"/>
      <c r="F812"/>
      <c r="H812"/>
      <c r="I812"/>
      <c r="J812"/>
    </row>
    <row r="813" spans="4:10" ht="12.75">
      <c r="D813"/>
      <c r="E813"/>
      <c r="F813"/>
      <c r="H813"/>
      <c r="I813"/>
      <c r="J813"/>
    </row>
    <row r="814" spans="4:10" ht="12.75">
      <c r="D814"/>
      <c r="E814"/>
      <c r="F814"/>
      <c r="H814"/>
      <c r="I814"/>
      <c r="J814"/>
    </row>
    <row r="815" spans="4:10" ht="12.75">
      <c r="D815"/>
      <c r="E815"/>
      <c r="F815"/>
      <c r="H815"/>
      <c r="I815"/>
      <c r="J815"/>
    </row>
    <row r="816" spans="4:10" ht="12.75">
      <c r="D816"/>
      <c r="E816"/>
      <c r="F816"/>
      <c r="H816"/>
      <c r="I816"/>
      <c r="J816"/>
    </row>
    <row r="817" spans="4:10" ht="12.75">
      <c r="D817"/>
      <c r="E817"/>
      <c r="F817"/>
      <c r="H817"/>
      <c r="I817"/>
      <c r="J817"/>
    </row>
    <row r="818" spans="4:10" ht="12.75">
      <c r="D818"/>
      <c r="E818"/>
      <c r="F818"/>
      <c r="H818"/>
      <c r="I818"/>
      <c r="J818"/>
    </row>
    <row r="819" spans="4:10" ht="12.75">
      <c r="D819"/>
      <c r="E819"/>
      <c r="F819"/>
      <c r="H819"/>
      <c r="I819"/>
      <c r="J819"/>
    </row>
    <row r="820" spans="4:10" ht="12.75">
      <c r="D820"/>
      <c r="E820"/>
      <c r="F820"/>
      <c r="H820"/>
      <c r="I820"/>
      <c r="J820"/>
    </row>
    <row r="821" spans="4:10" ht="12.75">
      <c r="D821"/>
      <c r="E821"/>
      <c r="F821"/>
      <c r="H821"/>
      <c r="I821"/>
      <c r="J821"/>
    </row>
    <row r="822" spans="4:10" ht="12.75">
      <c r="D822"/>
      <c r="E822"/>
      <c r="F822"/>
      <c r="H822"/>
      <c r="I822"/>
      <c r="J822"/>
    </row>
    <row r="823" spans="4:10" ht="12.75">
      <c r="D823"/>
      <c r="E823"/>
      <c r="F823"/>
      <c r="H823"/>
      <c r="I823"/>
      <c r="J823"/>
    </row>
    <row r="824" spans="4:10" ht="12.75">
      <c r="D824"/>
      <c r="E824"/>
      <c r="F824"/>
      <c r="H824"/>
      <c r="I824"/>
      <c r="J824"/>
    </row>
    <row r="825" spans="4:10" ht="12.75">
      <c r="D825"/>
      <c r="E825"/>
      <c r="F825"/>
      <c r="H825"/>
      <c r="I825"/>
      <c r="J825"/>
    </row>
    <row r="826" spans="4:10" ht="12.75">
      <c r="D826"/>
      <c r="E826"/>
      <c r="F826"/>
      <c r="H826"/>
      <c r="I826"/>
      <c r="J826"/>
    </row>
    <row r="827" spans="4:10" ht="12.75">
      <c r="D827"/>
      <c r="E827"/>
      <c r="F827"/>
      <c r="H827"/>
      <c r="I827"/>
      <c r="J827"/>
    </row>
    <row r="828" spans="4:10" ht="12.75">
      <c r="D828"/>
      <c r="E828"/>
      <c r="F828"/>
      <c r="H828"/>
      <c r="I828"/>
      <c r="J828"/>
    </row>
    <row r="829" spans="4:10" ht="12.75">
      <c r="D829"/>
      <c r="E829"/>
      <c r="F829"/>
      <c r="H829"/>
      <c r="I829"/>
      <c r="J829"/>
    </row>
    <row r="830" spans="4:10" ht="12.75">
      <c r="D830"/>
      <c r="E830"/>
      <c r="F830"/>
      <c r="H830"/>
      <c r="I830"/>
      <c r="J830"/>
    </row>
    <row r="831" spans="4:10" ht="12.75">
      <c r="D831"/>
      <c r="E831"/>
      <c r="F831"/>
      <c r="H831"/>
      <c r="I831"/>
      <c r="J831"/>
    </row>
    <row r="832" spans="4:10" ht="12.75">
      <c r="D832"/>
      <c r="E832"/>
      <c r="F832"/>
      <c r="H832"/>
      <c r="I832"/>
      <c r="J832"/>
    </row>
    <row r="833" spans="4:10" ht="12.75">
      <c r="D833"/>
      <c r="E833"/>
      <c r="F833"/>
      <c r="H833"/>
      <c r="I833"/>
      <c r="J833"/>
    </row>
    <row r="834" spans="4:10" ht="12.75">
      <c r="D834"/>
      <c r="E834"/>
      <c r="F834"/>
      <c r="H834"/>
      <c r="I834"/>
      <c r="J834"/>
    </row>
    <row r="835" spans="4:10" ht="12.75">
      <c r="D835"/>
      <c r="E835"/>
      <c r="F835"/>
      <c r="H835"/>
      <c r="I835"/>
      <c r="J835"/>
    </row>
    <row r="836" spans="4:10" ht="12.75">
      <c r="D836"/>
      <c r="E836"/>
      <c r="F836"/>
      <c r="H836"/>
      <c r="I836"/>
      <c r="J836"/>
    </row>
    <row r="837" spans="4:10" ht="12.75">
      <c r="D837"/>
      <c r="E837"/>
      <c r="F837"/>
      <c r="H837"/>
      <c r="I837"/>
      <c r="J837"/>
    </row>
    <row r="838" spans="4:10" ht="12.75">
      <c r="D838"/>
      <c r="E838"/>
      <c r="F838"/>
      <c r="H838"/>
      <c r="I838"/>
      <c r="J838"/>
    </row>
    <row r="839" spans="4:10" ht="12.75">
      <c r="D839"/>
      <c r="E839"/>
      <c r="F839"/>
      <c r="H839"/>
      <c r="I839"/>
      <c r="J839"/>
    </row>
    <row r="840" spans="4:10" ht="12.75">
      <c r="D840"/>
      <c r="E840"/>
      <c r="F840"/>
      <c r="H840"/>
      <c r="I840"/>
      <c r="J840"/>
    </row>
    <row r="841" spans="4:10" ht="12.75">
      <c r="D841"/>
      <c r="E841"/>
      <c r="F841"/>
      <c r="H841"/>
      <c r="I841"/>
      <c r="J841"/>
    </row>
    <row r="842" spans="4:10" ht="12.75">
      <c r="D842"/>
      <c r="E842"/>
      <c r="F842"/>
      <c r="H842"/>
      <c r="I842"/>
      <c r="J842"/>
    </row>
    <row r="843" spans="4:10" ht="12.75">
      <c r="D843"/>
      <c r="E843"/>
      <c r="F843"/>
      <c r="H843"/>
      <c r="I843"/>
      <c r="J843"/>
    </row>
    <row r="844" spans="4:10" ht="12.75">
      <c r="D844"/>
      <c r="E844"/>
      <c r="F844"/>
      <c r="H844"/>
      <c r="I844"/>
      <c r="J844"/>
    </row>
    <row r="845" spans="4:10" ht="12.75">
      <c r="D845"/>
      <c r="E845"/>
      <c r="F845"/>
      <c r="H845"/>
      <c r="I845"/>
      <c r="J845"/>
    </row>
    <row r="846" spans="4:10" ht="12.75">
      <c r="D846"/>
      <c r="E846"/>
      <c r="F846"/>
      <c r="H846"/>
      <c r="I846"/>
      <c r="J846"/>
    </row>
    <row r="847" spans="4:10" ht="12.75">
      <c r="D847"/>
      <c r="E847"/>
      <c r="F847"/>
      <c r="H847"/>
      <c r="I847"/>
      <c r="J847"/>
    </row>
    <row r="848" spans="4:10" ht="12.75">
      <c r="D848"/>
      <c r="E848"/>
      <c r="F848"/>
      <c r="H848"/>
      <c r="I848"/>
      <c r="J848"/>
    </row>
    <row r="849" spans="4:10" ht="12.75">
      <c r="D849"/>
      <c r="E849"/>
      <c r="F849"/>
      <c r="H849"/>
      <c r="I849"/>
      <c r="J849"/>
    </row>
    <row r="850" spans="4:10" ht="12.75">
      <c r="D850"/>
      <c r="E850"/>
      <c r="F850"/>
      <c r="H850"/>
      <c r="I850"/>
      <c r="J850"/>
    </row>
    <row r="851" spans="4:10" ht="12.75">
      <c r="D851"/>
      <c r="E851"/>
      <c r="F851"/>
      <c r="H851"/>
      <c r="I851"/>
      <c r="J851"/>
    </row>
    <row r="852" spans="4:10" ht="12.75">
      <c r="D852"/>
      <c r="E852"/>
      <c r="F852"/>
      <c r="H852"/>
      <c r="I852"/>
      <c r="J852"/>
    </row>
    <row r="853" spans="4:10" ht="12.75">
      <c r="D853"/>
      <c r="E853"/>
      <c r="F853"/>
      <c r="H853"/>
      <c r="I853"/>
      <c r="J853"/>
    </row>
    <row r="854" spans="4:10" ht="12.75">
      <c r="D854"/>
      <c r="E854"/>
      <c r="F854"/>
      <c r="H854"/>
      <c r="I854"/>
      <c r="J854"/>
    </row>
    <row r="855" spans="4:10" ht="12.75">
      <c r="D855"/>
      <c r="E855"/>
      <c r="F855"/>
      <c r="H855"/>
      <c r="I855"/>
      <c r="J855"/>
    </row>
    <row r="856" spans="4:10" ht="12.75">
      <c r="D856"/>
      <c r="E856"/>
      <c r="F856"/>
      <c r="H856"/>
      <c r="I856"/>
      <c r="J856"/>
    </row>
    <row r="857" spans="4:10" ht="12.75">
      <c r="D857"/>
      <c r="E857"/>
      <c r="F857"/>
      <c r="H857"/>
      <c r="I857"/>
      <c r="J857"/>
    </row>
    <row r="858" spans="4:10" ht="12.75">
      <c r="D858"/>
      <c r="E858"/>
      <c r="F858"/>
      <c r="H858"/>
      <c r="I858"/>
      <c r="J858"/>
    </row>
    <row r="859" spans="4:10" ht="12.75">
      <c r="D859"/>
      <c r="E859"/>
      <c r="F859"/>
      <c r="H859"/>
      <c r="I859"/>
      <c r="J859"/>
    </row>
    <row r="860" spans="4:10" ht="12.75">
      <c r="D860"/>
      <c r="E860"/>
      <c r="F860"/>
      <c r="H860"/>
      <c r="I860"/>
      <c r="J860"/>
    </row>
    <row r="861" spans="4:10" ht="12.75">
      <c r="D861"/>
      <c r="E861"/>
      <c r="F861"/>
      <c r="H861"/>
      <c r="I861"/>
      <c r="J861"/>
    </row>
    <row r="862" spans="4:10" ht="12.75">
      <c r="D862"/>
      <c r="E862"/>
      <c r="F862"/>
      <c r="H862"/>
      <c r="I862"/>
      <c r="J862"/>
    </row>
    <row r="863" spans="4:10" ht="12.75">
      <c r="D863"/>
      <c r="E863"/>
      <c r="F863"/>
      <c r="H863"/>
      <c r="I863"/>
      <c r="J863"/>
    </row>
    <row r="864" spans="4:10" ht="12.75">
      <c r="D864"/>
      <c r="E864"/>
      <c r="F864"/>
      <c r="H864"/>
      <c r="I864"/>
      <c r="J864"/>
    </row>
    <row r="865" spans="4:10" ht="12.75">
      <c r="D865"/>
      <c r="E865"/>
      <c r="F865"/>
      <c r="H865"/>
      <c r="I865"/>
      <c r="J865"/>
    </row>
    <row r="866" spans="4:10" ht="12.75">
      <c r="D866"/>
      <c r="E866"/>
      <c r="F866"/>
      <c r="H866"/>
      <c r="I866"/>
      <c r="J866"/>
    </row>
    <row r="867" spans="4:10" ht="12.75">
      <c r="D867"/>
      <c r="E867"/>
      <c r="F867"/>
      <c r="H867"/>
      <c r="I867"/>
      <c r="J867"/>
    </row>
    <row r="868" spans="4:10" ht="12.75">
      <c r="D868"/>
      <c r="E868"/>
      <c r="F868"/>
      <c r="H868"/>
      <c r="I868"/>
      <c r="J868"/>
    </row>
    <row r="869" spans="4:10" ht="12.75">
      <c r="D869"/>
      <c r="E869"/>
      <c r="F869"/>
      <c r="H869"/>
      <c r="I869"/>
      <c r="J869"/>
    </row>
    <row r="870" spans="4:10" ht="12.75">
      <c r="D870"/>
      <c r="E870"/>
      <c r="F870"/>
      <c r="H870"/>
      <c r="I870"/>
      <c r="J870"/>
    </row>
    <row r="871" spans="4:10" ht="12.75">
      <c r="D871"/>
      <c r="E871"/>
      <c r="F871"/>
      <c r="H871"/>
      <c r="I871"/>
      <c r="J871"/>
    </row>
    <row r="872" spans="4:10" ht="12.75">
      <c r="D872"/>
      <c r="E872"/>
      <c r="F872"/>
      <c r="H872"/>
      <c r="I872"/>
      <c r="J872"/>
    </row>
    <row r="873" spans="4:10" ht="12.75">
      <c r="D873"/>
      <c r="E873"/>
      <c r="F873"/>
      <c r="H873"/>
      <c r="I873"/>
      <c r="J873"/>
    </row>
    <row r="874" spans="4:10" ht="12.75">
      <c r="D874"/>
      <c r="E874"/>
      <c r="F874"/>
      <c r="H874"/>
      <c r="I874"/>
      <c r="J874"/>
    </row>
    <row r="875" spans="4:10" ht="12.75">
      <c r="D875"/>
      <c r="E875"/>
      <c r="F875"/>
      <c r="H875"/>
      <c r="I875"/>
      <c r="J875"/>
    </row>
    <row r="876" spans="4:10" ht="12.75">
      <c r="D876"/>
      <c r="E876"/>
      <c r="F876"/>
      <c r="H876"/>
      <c r="I876"/>
      <c r="J876"/>
    </row>
    <row r="877" spans="4:10" ht="12.75">
      <c r="D877"/>
      <c r="E877"/>
      <c r="F877"/>
      <c r="H877"/>
      <c r="I877"/>
      <c r="J877"/>
    </row>
    <row r="878" spans="4:10" ht="12.75">
      <c r="D878"/>
      <c r="E878"/>
      <c r="F878"/>
      <c r="H878"/>
      <c r="I878"/>
      <c r="J878"/>
    </row>
    <row r="879" spans="4:10" ht="12.75">
      <c r="D879"/>
      <c r="E879"/>
      <c r="F879"/>
      <c r="H879"/>
      <c r="I879"/>
      <c r="J879"/>
    </row>
    <row r="880" spans="4:10" ht="12.75">
      <c r="D880"/>
      <c r="E880"/>
      <c r="F880"/>
      <c r="H880"/>
      <c r="I880"/>
      <c r="J880"/>
    </row>
    <row r="881" spans="4:10" ht="12.75">
      <c r="D881"/>
      <c r="E881"/>
      <c r="F881"/>
      <c r="H881"/>
      <c r="I881"/>
      <c r="J881"/>
    </row>
    <row r="882" spans="4:10" ht="12.75">
      <c r="D882"/>
      <c r="E882"/>
      <c r="F882"/>
      <c r="H882"/>
      <c r="I882"/>
      <c r="J882"/>
    </row>
    <row r="883" spans="4:10" ht="12.75">
      <c r="D883"/>
      <c r="E883"/>
      <c r="F883"/>
      <c r="H883"/>
      <c r="I883"/>
      <c r="J883"/>
    </row>
    <row r="884" spans="4:10" ht="12.75">
      <c r="D884"/>
      <c r="E884"/>
      <c r="F884"/>
      <c r="H884"/>
      <c r="I884"/>
      <c r="J884"/>
    </row>
    <row r="885" spans="4:10" ht="12.75">
      <c r="D885"/>
      <c r="E885"/>
      <c r="F885"/>
      <c r="H885"/>
      <c r="I885"/>
      <c r="J885"/>
    </row>
    <row r="886" spans="4:10" ht="12.75">
      <c r="D886"/>
      <c r="E886"/>
      <c r="F886"/>
      <c r="H886"/>
      <c r="I886"/>
      <c r="J886"/>
    </row>
    <row r="887" spans="4:10" ht="12.75">
      <c r="D887"/>
      <c r="E887"/>
      <c r="F887"/>
      <c r="H887"/>
      <c r="I887"/>
      <c r="J887"/>
    </row>
    <row r="888" spans="4:10" ht="12.75">
      <c r="D888"/>
      <c r="E888"/>
      <c r="F888"/>
      <c r="H888"/>
      <c r="I888"/>
      <c r="J888"/>
    </row>
    <row r="889" spans="4:10" ht="12.75">
      <c r="D889"/>
      <c r="E889"/>
      <c r="F889"/>
      <c r="H889"/>
      <c r="I889"/>
      <c r="J889"/>
    </row>
    <row r="890" spans="4:10" ht="12.75">
      <c r="D890"/>
      <c r="E890"/>
      <c r="F890"/>
      <c r="H890"/>
      <c r="I890"/>
      <c r="J890"/>
    </row>
    <row r="891" spans="4:10" ht="12.75">
      <c r="D891"/>
      <c r="E891"/>
      <c r="F891"/>
      <c r="H891"/>
      <c r="I891"/>
      <c r="J891"/>
    </row>
    <row r="892" spans="4:10" ht="12.75">
      <c r="D892"/>
      <c r="E892"/>
      <c r="F892"/>
      <c r="H892"/>
      <c r="I892"/>
      <c r="J892"/>
    </row>
    <row r="893" spans="4:10" ht="12.75">
      <c r="D893"/>
      <c r="E893"/>
      <c r="F893"/>
      <c r="H893"/>
      <c r="I893"/>
      <c r="J893"/>
    </row>
    <row r="894" spans="4:10" ht="12.75">
      <c r="D894"/>
      <c r="E894"/>
      <c r="F894"/>
      <c r="H894"/>
      <c r="I894"/>
      <c r="J894"/>
    </row>
    <row r="895" spans="4:10" ht="12.75">
      <c r="D895"/>
      <c r="E895"/>
      <c r="F895"/>
      <c r="H895"/>
      <c r="I895"/>
      <c r="J895"/>
    </row>
    <row r="896" spans="4:10" ht="12.75">
      <c r="D896"/>
      <c r="E896"/>
      <c r="F896"/>
      <c r="H896"/>
      <c r="I896"/>
      <c r="J896"/>
    </row>
    <row r="897" spans="4:10" ht="12.75">
      <c r="D897"/>
      <c r="E897"/>
      <c r="F897"/>
      <c r="H897"/>
      <c r="I897"/>
      <c r="J897"/>
    </row>
    <row r="898" spans="4:10" ht="12.75">
      <c r="D898"/>
      <c r="E898"/>
      <c r="F898"/>
      <c r="H898"/>
      <c r="I898"/>
      <c r="J898"/>
    </row>
    <row r="899" spans="4:10" ht="12.75">
      <c r="D899"/>
      <c r="E899"/>
      <c r="F899"/>
      <c r="H899"/>
      <c r="I899"/>
      <c r="J899"/>
    </row>
    <row r="900" spans="4:10" ht="12.75">
      <c r="D900"/>
      <c r="E900"/>
      <c r="F900"/>
      <c r="H900"/>
      <c r="I900"/>
      <c r="J900"/>
    </row>
    <row r="901" spans="4:10" ht="12.75">
      <c r="D901"/>
      <c r="E901"/>
      <c r="F901"/>
      <c r="H901"/>
      <c r="I901"/>
      <c r="J901"/>
    </row>
    <row r="902" spans="4:10" ht="12.75">
      <c r="D902"/>
      <c r="E902"/>
      <c r="F902"/>
      <c r="H902"/>
      <c r="I902"/>
      <c r="J902"/>
    </row>
    <row r="903" spans="4:10" ht="12.75">
      <c r="D903"/>
      <c r="E903"/>
      <c r="F903"/>
      <c r="H903"/>
      <c r="I903"/>
      <c r="J903"/>
    </row>
    <row r="904" spans="4:10" ht="12.75">
      <c r="D904"/>
      <c r="E904"/>
      <c r="F904"/>
      <c r="H904"/>
      <c r="I904"/>
      <c r="J904"/>
    </row>
    <row r="905" spans="4:10" ht="12.75">
      <c r="D905"/>
      <c r="E905"/>
      <c r="F905"/>
      <c r="H905"/>
      <c r="I905"/>
      <c r="J905"/>
    </row>
    <row r="906" spans="4:10" ht="12.75">
      <c r="D906"/>
      <c r="E906"/>
      <c r="F906"/>
      <c r="H906"/>
      <c r="I906"/>
      <c r="J906"/>
    </row>
    <row r="907" spans="4:10" ht="12.75">
      <c r="D907"/>
      <c r="E907"/>
      <c r="F907"/>
      <c r="H907"/>
      <c r="I907"/>
      <c r="J907"/>
    </row>
    <row r="908" spans="4:10" ht="12.75">
      <c r="D908"/>
      <c r="E908"/>
      <c r="F908"/>
      <c r="H908"/>
      <c r="I908"/>
      <c r="J908"/>
    </row>
    <row r="909" spans="4:10" ht="12.75">
      <c r="D909"/>
      <c r="E909"/>
      <c r="F909"/>
      <c r="H909"/>
      <c r="I909"/>
      <c r="J909"/>
    </row>
    <row r="910" spans="4:10" ht="12.75">
      <c r="D910"/>
      <c r="E910"/>
      <c r="F910"/>
      <c r="H910"/>
      <c r="I910"/>
      <c r="J910"/>
    </row>
    <row r="911" spans="4:10" ht="12.75">
      <c r="D911"/>
      <c r="E911"/>
      <c r="F911"/>
      <c r="H911"/>
      <c r="I911"/>
      <c r="J911"/>
    </row>
    <row r="912" spans="4:10" ht="12.75">
      <c r="D912"/>
      <c r="E912"/>
      <c r="F912"/>
      <c r="H912"/>
      <c r="I912"/>
      <c r="J912"/>
    </row>
    <row r="913" spans="4:10" ht="12.75">
      <c r="D913"/>
      <c r="E913"/>
      <c r="F913"/>
      <c r="H913"/>
      <c r="I913"/>
      <c r="J913"/>
    </row>
    <row r="914" spans="4:10" ht="12.75">
      <c r="D914"/>
      <c r="E914"/>
      <c r="F914"/>
      <c r="H914"/>
      <c r="I914"/>
      <c r="J914"/>
    </row>
    <row r="915" spans="4:10" ht="12.75">
      <c r="D915"/>
      <c r="E915"/>
      <c r="F915"/>
      <c r="H915"/>
      <c r="I915"/>
      <c r="J915"/>
    </row>
    <row r="916" spans="4:10" ht="12.75">
      <c r="D916"/>
      <c r="E916"/>
      <c r="F916"/>
      <c r="H916"/>
      <c r="I916"/>
      <c r="J916"/>
    </row>
    <row r="917" spans="4:10" ht="12.75">
      <c r="D917"/>
      <c r="E917"/>
      <c r="F917"/>
      <c r="H917"/>
      <c r="I917"/>
      <c r="J917"/>
    </row>
    <row r="918" spans="4:10" ht="12.75">
      <c r="D918"/>
      <c r="E918"/>
      <c r="F918"/>
      <c r="H918"/>
      <c r="I918"/>
      <c r="J918"/>
    </row>
    <row r="919" spans="4:10" ht="12.75">
      <c r="D919"/>
      <c r="E919"/>
      <c r="F919"/>
      <c r="H919"/>
      <c r="I919"/>
      <c r="J919"/>
    </row>
    <row r="920" spans="4:10" ht="12.75">
      <c r="D920"/>
      <c r="E920"/>
      <c r="F920"/>
      <c r="H920"/>
      <c r="I920"/>
      <c r="J920"/>
    </row>
    <row r="921" spans="4:10" ht="12.75">
      <c r="D921"/>
      <c r="E921"/>
      <c r="F921"/>
      <c r="H921"/>
      <c r="I921"/>
      <c r="J921"/>
    </row>
    <row r="922" spans="4:10" ht="12.75">
      <c r="D922"/>
      <c r="E922"/>
      <c r="F922"/>
      <c r="H922"/>
      <c r="I922"/>
      <c r="J922"/>
    </row>
    <row r="923" spans="4:10" ht="12.75">
      <c r="D923"/>
      <c r="E923"/>
      <c r="F923"/>
      <c r="H923"/>
      <c r="I923"/>
      <c r="J923"/>
    </row>
    <row r="924" spans="4:10" ht="12.75">
      <c r="D924"/>
      <c r="E924"/>
      <c r="F924"/>
      <c r="H924"/>
      <c r="I924"/>
      <c r="J924"/>
    </row>
    <row r="925" spans="4:10" ht="12.75">
      <c r="D925"/>
      <c r="E925"/>
      <c r="F925"/>
      <c r="H925"/>
      <c r="I925"/>
      <c r="J925"/>
    </row>
    <row r="926" spans="4:10" ht="12.75">
      <c r="D926"/>
      <c r="E926"/>
      <c r="F926"/>
      <c r="H926"/>
      <c r="I926"/>
      <c r="J926"/>
    </row>
    <row r="927" spans="4:10" ht="12.75">
      <c r="D927"/>
      <c r="E927"/>
      <c r="F927"/>
      <c r="H927"/>
      <c r="I927"/>
      <c r="J927"/>
    </row>
    <row r="928" spans="4:10" ht="12.75">
      <c r="D928"/>
      <c r="E928"/>
      <c r="F928"/>
      <c r="H928"/>
      <c r="I928"/>
      <c r="J928"/>
    </row>
    <row r="929" spans="4:10" ht="12.75">
      <c r="D929"/>
      <c r="E929"/>
      <c r="F929"/>
      <c r="H929"/>
      <c r="I929"/>
      <c r="J929"/>
    </row>
    <row r="930" spans="4:10" ht="12.75">
      <c r="D930"/>
      <c r="E930"/>
      <c r="F930"/>
      <c r="H930"/>
      <c r="I930"/>
      <c r="J930"/>
    </row>
    <row r="931" spans="4:10" ht="12.75">
      <c r="D931"/>
      <c r="E931"/>
      <c r="F931"/>
      <c r="H931"/>
      <c r="I931"/>
      <c r="J931"/>
    </row>
    <row r="932" spans="4:10" ht="12.75">
      <c r="D932"/>
      <c r="E932"/>
      <c r="F932"/>
      <c r="H932"/>
      <c r="I932"/>
      <c r="J932"/>
    </row>
    <row r="933" spans="4:10" ht="12.75">
      <c r="D933"/>
      <c r="E933"/>
      <c r="F933"/>
      <c r="H933"/>
      <c r="I933"/>
      <c r="J933"/>
    </row>
    <row r="934" spans="4:10" ht="12.75">
      <c r="D934"/>
      <c r="E934"/>
      <c r="F934"/>
      <c r="H934"/>
      <c r="I934"/>
      <c r="J934"/>
    </row>
    <row r="935" spans="4:10" ht="12.75">
      <c r="D935"/>
      <c r="E935"/>
      <c r="F935"/>
      <c r="H935"/>
      <c r="I935"/>
      <c r="J935"/>
    </row>
    <row r="936" spans="4:10" ht="12.75">
      <c r="D936"/>
      <c r="E936"/>
      <c r="F936"/>
      <c r="H936"/>
      <c r="I936"/>
      <c r="J936"/>
    </row>
    <row r="937" spans="4:10" ht="12.75">
      <c r="D937"/>
      <c r="E937"/>
      <c r="F937"/>
      <c r="H937"/>
      <c r="I937"/>
      <c r="J937"/>
    </row>
    <row r="938" spans="4:10" ht="12.75">
      <c r="D938"/>
      <c r="E938"/>
      <c r="F938"/>
      <c r="H938"/>
      <c r="I938"/>
      <c r="J938"/>
    </row>
    <row r="939" spans="4:10" ht="12.75">
      <c r="D939"/>
      <c r="E939"/>
      <c r="F939"/>
      <c r="H939"/>
      <c r="I939"/>
      <c r="J939"/>
    </row>
    <row r="940" spans="4:10" ht="12.75">
      <c r="D940"/>
      <c r="E940"/>
      <c r="F940"/>
      <c r="H940"/>
      <c r="I940"/>
      <c r="J940"/>
    </row>
    <row r="941" spans="4:10" ht="12.75">
      <c r="D941"/>
      <c r="E941"/>
      <c r="F941"/>
      <c r="H941"/>
      <c r="I941"/>
      <c r="J941"/>
    </row>
    <row r="942" spans="4:10" ht="12.75">
      <c r="D942"/>
      <c r="E942"/>
      <c r="F942"/>
      <c r="H942"/>
      <c r="I942"/>
      <c r="J942"/>
    </row>
    <row r="943" spans="4:10" ht="12.75">
      <c r="D943"/>
      <c r="E943"/>
      <c r="F943"/>
      <c r="H943"/>
      <c r="I943"/>
      <c r="J943"/>
    </row>
    <row r="944" spans="4:10" ht="12.75">
      <c r="D944"/>
      <c r="E944"/>
      <c r="F944"/>
      <c r="H944"/>
      <c r="I944"/>
      <c r="J944"/>
    </row>
    <row r="945" spans="4:10" ht="12.75">
      <c r="D945"/>
      <c r="E945"/>
      <c r="F945"/>
      <c r="H945"/>
      <c r="I945"/>
      <c r="J945"/>
    </row>
    <row r="946" spans="4:10" ht="12.75">
      <c r="D946"/>
      <c r="E946"/>
      <c r="F946"/>
      <c r="H946"/>
      <c r="I946"/>
      <c r="J946"/>
    </row>
    <row r="947" spans="4:10" ht="12.75">
      <c r="D947"/>
      <c r="E947"/>
      <c r="F947"/>
      <c r="H947"/>
      <c r="I947"/>
      <c r="J947"/>
    </row>
    <row r="948" spans="4:10" ht="12.75">
      <c r="D948"/>
      <c r="E948"/>
      <c r="F948"/>
      <c r="H948"/>
      <c r="I948"/>
      <c r="J948"/>
    </row>
    <row r="949" spans="4:10" ht="12.75">
      <c r="D949"/>
      <c r="E949"/>
      <c r="F949"/>
      <c r="H949"/>
      <c r="I949"/>
      <c r="J949"/>
    </row>
    <row r="950" spans="4:10" ht="12.75">
      <c r="D950"/>
      <c r="E950"/>
      <c r="F950"/>
      <c r="H950"/>
      <c r="I950"/>
      <c r="J950"/>
    </row>
    <row r="951" spans="4:10" ht="12.75">
      <c r="D951"/>
      <c r="E951"/>
      <c r="F951"/>
      <c r="H951"/>
      <c r="I951"/>
      <c r="J951"/>
    </row>
    <row r="952" spans="4:10" ht="12.75">
      <c r="D952"/>
      <c r="E952"/>
      <c r="F952"/>
      <c r="H952"/>
      <c r="I952"/>
      <c r="J952"/>
    </row>
    <row r="953" spans="4:10" ht="12.75">
      <c r="D953"/>
      <c r="E953"/>
      <c r="F953"/>
      <c r="H953"/>
      <c r="I953"/>
      <c r="J953"/>
    </row>
    <row r="954" spans="4:10" ht="12.75">
      <c r="D954"/>
      <c r="E954"/>
      <c r="F954"/>
      <c r="H954"/>
      <c r="I954"/>
      <c r="J954"/>
    </row>
    <row r="955" spans="4:10" ht="12.75">
      <c r="D955"/>
      <c r="E955"/>
      <c r="F955"/>
      <c r="H955"/>
      <c r="I955"/>
      <c r="J955"/>
    </row>
    <row r="956" spans="4:10" ht="12.75">
      <c r="D956"/>
      <c r="E956"/>
      <c r="F956"/>
      <c r="H956"/>
      <c r="I956"/>
      <c r="J956"/>
    </row>
    <row r="957" spans="4:10" ht="12.75">
      <c r="D957"/>
      <c r="E957"/>
      <c r="F957"/>
      <c r="H957"/>
      <c r="I957"/>
      <c r="J957"/>
    </row>
    <row r="958" spans="4:10" ht="12.75">
      <c r="D958"/>
      <c r="E958"/>
      <c r="F958"/>
      <c r="H958"/>
      <c r="I958"/>
      <c r="J958"/>
    </row>
    <row r="959" spans="4:10" ht="12.75">
      <c r="D959"/>
      <c r="E959"/>
      <c r="F959"/>
      <c r="H959"/>
      <c r="I959"/>
      <c r="J959"/>
    </row>
    <row r="960" spans="4:10" ht="12.75">
      <c r="D960"/>
      <c r="E960"/>
      <c r="F960"/>
      <c r="H960"/>
      <c r="I960"/>
      <c r="J960"/>
    </row>
    <row r="961" spans="4:10" ht="12.75">
      <c r="D961"/>
      <c r="E961"/>
      <c r="F961"/>
      <c r="H961"/>
      <c r="I961"/>
      <c r="J961"/>
    </row>
    <row r="962" spans="4:10" ht="12.75">
      <c r="D962"/>
      <c r="E962"/>
      <c r="F962"/>
      <c r="H962"/>
      <c r="I962"/>
      <c r="J962"/>
    </row>
    <row r="963" spans="4:10" ht="12.75">
      <c r="D963"/>
      <c r="E963"/>
      <c r="F963"/>
      <c r="H963"/>
      <c r="I963"/>
      <c r="J963"/>
    </row>
    <row r="964" spans="4:10" ht="12.75">
      <c r="D964"/>
      <c r="E964"/>
      <c r="F964"/>
      <c r="H964"/>
      <c r="I964"/>
      <c r="J964"/>
    </row>
    <row r="965" spans="4:10" ht="12.75">
      <c r="D965"/>
      <c r="E965"/>
      <c r="F965"/>
      <c r="H965"/>
      <c r="I965"/>
      <c r="J965"/>
    </row>
    <row r="966" spans="4:10" ht="12.75">
      <c r="D966"/>
      <c r="E966"/>
      <c r="F966"/>
      <c r="H966"/>
      <c r="I966"/>
      <c r="J966"/>
    </row>
    <row r="967" spans="4:10" ht="12.75">
      <c r="D967"/>
      <c r="E967"/>
      <c r="F967"/>
      <c r="H967"/>
      <c r="I967"/>
      <c r="J967"/>
    </row>
    <row r="968" spans="4:10" ht="12.75">
      <c r="D968"/>
      <c r="E968"/>
      <c r="F968"/>
      <c r="H968"/>
      <c r="I968"/>
      <c r="J968"/>
    </row>
    <row r="969" spans="4:10" ht="12.75">
      <c r="D969"/>
      <c r="E969"/>
      <c r="F969"/>
      <c r="H969"/>
      <c r="I969"/>
      <c r="J969"/>
    </row>
    <row r="970" spans="4:10" ht="12.75">
      <c r="D970"/>
      <c r="E970"/>
      <c r="F970"/>
      <c r="H970"/>
      <c r="I970"/>
      <c r="J970"/>
    </row>
    <row r="971" spans="4:10" ht="12.75">
      <c r="D971"/>
      <c r="E971"/>
      <c r="F971"/>
      <c r="H971"/>
      <c r="I971"/>
      <c r="J971"/>
    </row>
    <row r="972" spans="4:10" ht="12.75">
      <c r="D972"/>
      <c r="E972"/>
      <c r="F972"/>
      <c r="H972"/>
      <c r="I972"/>
      <c r="J972"/>
    </row>
    <row r="973" spans="4:10" ht="12.75">
      <c r="D973"/>
      <c r="E973"/>
      <c r="F973"/>
      <c r="H973"/>
      <c r="I973"/>
      <c r="J973"/>
    </row>
    <row r="974" spans="4:10" ht="12.75">
      <c r="D974"/>
      <c r="E974"/>
      <c r="F974"/>
      <c r="H974"/>
      <c r="I974"/>
      <c r="J974"/>
    </row>
    <row r="975" spans="4:10" ht="12.75">
      <c r="D975"/>
      <c r="E975"/>
      <c r="F975"/>
      <c r="H975"/>
      <c r="I975"/>
      <c r="J975"/>
    </row>
    <row r="976" spans="4:10" ht="12.75">
      <c r="D976"/>
      <c r="E976"/>
      <c r="F976"/>
      <c r="H976"/>
      <c r="I976"/>
      <c r="J976"/>
    </row>
    <row r="977" spans="4:10" ht="12.75">
      <c r="D977"/>
      <c r="E977"/>
      <c r="F977"/>
      <c r="H977"/>
      <c r="I977"/>
      <c r="J977"/>
    </row>
    <row r="978" spans="4:10" ht="12.75">
      <c r="D978"/>
      <c r="E978"/>
      <c r="F978"/>
      <c r="H978"/>
      <c r="I978"/>
      <c r="J978"/>
    </row>
    <row r="979" spans="4:10" ht="12.75">
      <c r="D979"/>
      <c r="E979"/>
      <c r="F979"/>
      <c r="H979"/>
      <c r="I979"/>
      <c r="J979"/>
    </row>
    <row r="980" spans="4:10" ht="12.75">
      <c r="D980"/>
      <c r="E980"/>
      <c r="F980"/>
      <c r="H980"/>
      <c r="I980"/>
      <c r="J980"/>
    </row>
    <row r="981" spans="4:10" ht="12.75">
      <c r="D981"/>
      <c r="E981"/>
      <c r="F981"/>
      <c r="H981"/>
      <c r="I981"/>
      <c r="J981"/>
    </row>
    <row r="982" spans="4:10" ht="12.75">
      <c r="D982"/>
      <c r="E982"/>
      <c r="F982"/>
      <c r="H982"/>
      <c r="I982"/>
      <c r="J982"/>
    </row>
    <row r="983" spans="4:10" ht="12.75">
      <c r="D983"/>
      <c r="E983"/>
      <c r="F983"/>
      <c r="H983"/>
      <c r="I983"/>
      <c r="J983"/>
    </row>
    <row r="984" spans="4:10" ht="12.75">
      <c r="D984"/>
      <c r="E984"/>
      <c r="F984"/>
      <c r="H984"/>
      <c r="I984"/>
      <c r="J984"/>
    </row>
    <row r="985" spans="4:10" ht="12.75">
      <c r="D985"/>
      <c r="E985"/>
      <c r="F985"/>
      <c r="H985"/>
      <c r="I985"/>
      <c r="J985"/>
    </row>
    <row r="986" spans="4:10" ht="12.75">
      <c r="D986"/>
      <c r="E986"/>
      <c r="F986"/>
      <c r="H986"/>
      <c r="I986"/>
      <c r="J986"/>
    </row>
    <row r="987" spans="4:10" ht="12.75">
      <c r="D987"/>
      <c r="E987"/>
      <c r="F987"/>
      <c r="H987"/>
      <c r="I987"/>
      <c r="J987"/>
    </row>
    <row r="988" spans="4:10" ht="12.75">
      <c r="D988"/>
      <c r="E988"/>
      <c r="F988"/>
      <c r="H988"/>
      <c r="I988"/>
      <c r="J988"/>
    </row>
    <row r="989" spans="4:10" ht="12.75">
      <c r="D989"/>
      <c r="E989"/>
      <c r="F989"/>
      <c r="H989"/>
      <c r="I989"/>
      <c r="J989"/>
    </row>
    <row r="990" spans="4:10" ht="12.75">
      <c r="D990"/>
      <c r="E990"/>
      <c r="F990"/>
      <c r="H990"/>
      <c r="I990"/>
      <c r="J990"/>
    </row>
    <row r="991" spans="4:10" ht="12.75">
      <c r="D991"/>
      <c r="E991"/>
      <c r="F991"/>
      <c r="H991"/>
      <c r="I991"/>
      <c r="J991"/>
    </row>
    <row r="992" spans="4:10" ht="12.75">
      <c r="D992"/>
      <c r="E992"/>
      <c r="F992"/>
      <c r="H992"/>
      <c r="I992"/>
      <c r="J992"/>
    </row>
    <row r="993" spans="4:10" ht="12.75">
      <c r="D993"/>
      <c r="E993"/>
      <c r="F993"/>
      <c r="H993"/>
      <c r="I993"/>
      <c r="J993"/>
    </row>
    <row r="994" spans="4:10" ht="12.75">
      <c r="D994"/>
      <c r="E994"/>
      <c r="F994"/>
      <c r="H994"/>
      <c r="I994"/>
      <c r="J994"/>
    </row>
    <row r="995" spans="4:10" ht="12.75">
      <c r="D995"/>
      <c r="E995"/>
      <c r="F995"/>
      <c r="H995"/>
      <c r="I995"/>
      <c r="J995"/>
    </row>
    <row r="996" spans="4:10" ht="12.75">
      <c r="D996"/>
      <c r="E996"/>
      <c r="F996"/>
      <c r="H996"/>
      <c r="I996"/>
      <c r="J996"/>
    </row>
    <row r="997" spans="4:10" ht="12.75">
      <c r="D997"/>
      <c r="E997"/>
      <c r="F997"/>
      <c r="H997"/>
      <c r="I997"/>
      <c r="J997"/>
    </row>
    <row r="998" spans="4:10" ht="12.75">
      <c r="D998"/>
      <c r="E998"/>
      <c r="F998"/>
      <c r="H998"/>
      <c r="I998"/>
      <c r="J998"/>
    </row>
    <row r="999" spans="4:10" ht="12.75">
      <c r="D999"/>
      <c r="E999"/>
      <c r="F999"/>
      <c r="H999"/>
      <c r="I999"/>
      <c r="J999"/>
    </row>
    <row r="1000" spans="4:10" ht="12.75">
      <c r="D1000"/>
      <c r="E1000"/>
      <c r="F1000"/>
      <c r="H1000"/>
      <c r="I1000"/>
      <c r="J1000"/>
    </row>
    <row r="1001" spans="4:10" ht="12.75">
      <c r="D1001"/>
      <c r="E1001"/>
      <c r="F1001"/>
      <c r="H1001"/>
      <c r="I1001"/>
      <c r="J1001"/>
    </row>
    <row r="1002" spans="4:10" ht="12.75">
      <c r="D1002"/>
      <c r="E1002"/>
      <c r="F1002"/>
      <c r="H1002"/>
      <c r="I1002"/>
      <c r="J1002"/>
    </row>
    <row r="1003" spans="4:10" ht="12.75">
      <c r="D1003"/>
      <c r="E1003"/>
      <c r="F1003"/>
      <c r="H1003"/>
      <c r="I1003"/>
      <c r="J1003"/>
    </row>
    <row r="1004" spans="4:10" ht="12.75">
      <c r="D1004"/>
      <c r="E1004"/>
      <c r="F1004"/>
      <c r="H1004"/>
      <c r="I1004"/>
      <c r="J1004"/>
    </row>
    <row r="1005" spans="4:10" ht="12.75">
      <c r="D1005"/>
      <c r="E1005"/>
      <c r="F1005"/>
      <c r="H1005"/>
      <c r="I1005"/>
      <c r="J1005"/>
    </row>
    <row r="1006" spans="4:10" ht="12.75">
      <c r="D1006"/>
      <c r="E1006"/>
      <c r="F1006"/>
      <c r="H1006"/>
      <c r="I1006"/>
      <c r="J1006"/>
    </row>
    <row r="1007" spans="4:10" ht="12.75">
      <c r="D1007"/>
      <c r="E1007"/>
      <c r="F1007"/>
      <c r="H1007"/>
      <c r="I1007"/>
      <c r="J1007"/>
    </row>
    <row r="1008" spans="4:10" ht="12.75">
      <c r="D1008"/>
      <c r="E1008"/>
      <c r="F1008"/>
      <c r="H1008"/>
      <c r="I1008"/>
      <c r="J1008"/>
    </row>
    <row r="1009" spans="4:10" ht="12.75">
      <c r="D1009"/>
      <c r="E1009"/>
      <c r="F1009"/>
      <c r="H1009"/>
      <c r="I1009"/>
      <c r="J1009"/>
    </row>
    <row r="1010" spans="4:10" ht="12.75">
      <c r="D1010"/>
      <c r="E1010"/>
      <c r="F1010"/>
      <c r="H1010"/>
      <c r="I1010"/>
      <c r="J1010"/>
    </row>
    <row r="1011" spans="4:10" ht="12.75">
      <c r="D1011"/>
      <c r="E1011"/>
      <c r="F1011"/>
      <c r="H1011"/>
      <c r="I1011"/>
      <c r="J1011"/>
    </row>
    <row r="1012" spans="4:10" ht="12.75">
      <c r="D1012"/>
      <c r="E1012"/>
      <c r="F1012"/>
      <c r="H1012"/>
      <c r="I1012"/>
      <c r="J1012"/>
    </row>
    <row r="1013" spans="4:10" ht="12.75">
      <c r="D1013"/>
      <c r="E1013"/>
      <c r="F1013"/>
      <c r="H1013"/>
      <c r="I1013"/>
      <c r="J1013"/>
    </row>
    <row r="1014" spans="4:10" ht="12.75">
      <c r="D1014"/>
      <c r="E1014"/>
      <c r="F1014"/>
      <c r="H1014"/>
      <c r="I1014"/>
      <c r="J1014"/>
    </row>
    <row r="1015" spans="4:10" ht="12.75">
      <c r="D1015"/>
      <c r="E1015"/>
      <c r="F1015"/>
      <c r="H1015"/>
      <c r="I1015"/>
      <c r="J1015"/>
    </row>
    <row r="1016" spans="4:10" ht="12.75">
      <c r="D1016"/>
      <c r="E1016"/>
      <c r="F1016"/>
      <c r="H1016"/>
      <c r="I1016"/>
      <c r="J1016"/>
    </row>
    <row r="1017" spans="4:10" ht="12.75">
      <c r="D1017"/>
      <c r="E1017"/>
      <c r="F1017"/>
      <c r="H1017"/>
      <c r="I1017"/>
      <c r="J1017"/>
    </row>
    <row r="1018" spans="4:10" ht="12.75">
      <c r="D1018"/>
      <c r="E1018"/>
      <c r="F1018"/>
      <c r="H1018"/>
      <c r="I1018"/>
      <c r="J1018"/>
    </row>
    <row r="1019" spans="4:10" ht="12.75">
      <c r="D1019"/>
      <c r="E1019"/>
      <c r="F1019"/>
      <c r="H1019"/>
      <c r="I1019"/>
      <c r="J1019"/>
    </row>
    <row r="1020" spans="4:10" ht="12.75">
      <c r="D1020"/>
      <c r="E1020"/>
      <c r="F1020"/>
      <c r="H1020"/>
      <c r="I1020"/>
      <c r="J1020"/>
    </row>
    <row r="1021" spans="4:10" ht="12.75">
      <c r="D1021"/>
      <c r="E1021"/>
      <c r="F1021"/>
      <c r="H1021"/>
      <c r="I1021"/>
      <c r="J1021"/>
    </row>
    <row r="1022" spans="4:10" ht="12.75">
      <c r="D1022"/>
      <c r="E1022"/>
      <c r="F1022"/>
      <c r="H1022"/>
      <c r="I1022"/>
      <c r="J1022"/>
    </row>
    <row r="1023" spans="4:10" ht="12.75">
      <c r="D1023"/>
      <c r="E1023"/>
      <c r="F1023"/>
      <c r="H1023"/>
      <c r="I1023"/>
      <c r="J1023"/>
    </row>
    <row r="1024" spans="4:10" ht="12.75">
      <c r="D1024"/>
      <c r="E1024"/>
      <c r="F1024"/>
      <c r="H1024"/>
      <c r="I1024"/>
      <c r="J1024"/>
    </row>
    <row r="1025" spans="4:10" ht="12.75">
      <c r="D1025"/>
      <c r="E1025"/>
      <c r="F1025"/>
      <c r="H1025"/>
      <c r="I1025"/>
      <c r="J1025"/>
    </row>
    <row r="1026" spans="4:10" ht="12.75">
      <c r="D1026"/>
      <c r="E1026"/>
      <c r="F1026"/>
      <c r="H1026"/>
      <c r="I1026"/>
      <c r="J1026"/>
    </row>
    <row r="1027" spans="4:10" ht="12.75">
      <c r="D1027"/>
      <c r="E1027"/>
      <c r="F1027"/>
      <c r="H1027"/>
      <c r="I1027"/>
      <c r="J1027"/>
    </row>
    <row r="1028" spans="4:10" ht="12.75">
      <c r="D1028"/>
      <c r="E1028"/>
      <c r="F1028"/>
      <c r="H1028"/>
      <c r="I1028"/>
      <c r="J1028"/>
    </row>
    <row r="1029" spans="4:10" ht="12.75">
      <c r="D1029"/>
      <c r="E1029"/>
      <c r="F1029"/>
      <c r="H1029"/>
      <c r="I1029"/>
      <c r="J1029"/>
    </row>
    <row r="1030" spans="4:10" ht="12.75">
      <c r="D1030"/>
      <c r="E1030"/>
      <c r="F1030"/>
      <c r="H1030"/>
      <c r="I1030"/>
      <c r="J1030"/>
    </row>
    <row r="1031" spans="4:10" ht="12.75">
      <c r="D1031"/>
      <c r="E1031"/>
      <c r="F1031"/>
      <c r="H1031"/>
      <c r="I1031"/>
      <c r="J1031"/>
    </row>
    <row r="1032" spans="4:10" ht="12.75">
      <c r="D1032"/>
      <c r="E1032"/>
      <c r="F1032"/>
      <c r="H1032"/>
      <c r="I1032"/>
      <c r="J1032"/>
    </row>
    <row r="1033" spans="4:10" ht="12.75">
      <c r="D1033"/>
      <c r="E1033"/>
      <c r="F1033"/>
      <c r="H1033"/>
      <c r="I1033"/>
      <c r="J1033"/>
    </row>
    <row r="1034" spans="4:10" ht="12.75">
      <c r="D1034"/>
      <c r="E1034"/>
      <c r="F1034"/>
      <c r="H1034"/>
      <c r="I1034"/>
      <c r="J1034"/>
    </row>
    <row r="1035" spans="4:10" ht="12.75">
      <c r="D1035"/>
      <c r="E1035"/>
      <c r="F1035"/>
      <c r="H1035"/>
      <c r="I1035"/>
      <c r="J1035"/>
    </row>
    <row r="1036" spans="4:10" ht="12.75">
      <c r="D1036"/>
      <c r="E1036"/>
      <c r="F1036"/>
      <c r="H1036"/>
      <c r="I1036"/>
      <c r="J1036"/>
    </row>
    <row r="1037" spans="4:10" ht="12.75">
      <c r="D1037"/>
      <c r="E1037"/>
      <c r="F1037"/>
      <c r="H1037"/>
      <c r="I1037"/>
      <c r="J1037"/>
    </row>
    <row r="1038" spans="4:10" ht="12.75">
      <c r="D1038"/>
      <c r="E1038"/>
      <c r="F1038"/>
      <c r="H1038"/>
      <c r="I1038"/>
      <c r="J1038"/>
    </row>
    <row r="1039" spans="4:10" ht="12.75">
      <c r="D1039"/>
      <c r="E1039"/>
      <c r="F1039"/>
      <c r="H1039"/>
      <c r="I1039"/>
      <c r="J1039"/>
    </row>
    <row r="1040" spans="4:10" ht="12.75">
      <c r="D1040"/>
      <c r="E1040"/>
      <c r="F1040"/>
      <c r="H1040"/>
      <c r="I1040"/>
      <c r="J1040"/>
    </row>
    <row r="1041" spans="4:10" ht="12.75">
      <c r="D1041"/>
      <c r="E1041"/>
      <c r="F1041"/>
      <c r="H1041"/>
      <c r="I1041"/>
      <c r="J1041"/>
    </row>
    <row r="1042" spans="4:10" ht="12.75">
      <c r="D1042"/>
      <c r="E1042"/>
      <c r="F1042"/>
      <c r="H1042"/>
      <c r="I1042"/>
      <c r="J1042"/>
    </row>
    <row r="1043" spans="4:10" ht="12.75">
      <c r="D1043"/>
      <c r="E1043"/>
      <c r="F1043"/>
      <c r="H1043"/>
      <c r="I1043"/>
      <c r="J1043"/>
    </row>
    <row r="1044" spans="4:10" ht="12.75">
      <c r="D1044"/>
      <c r="E1044"/>
      <c r="F1044"/>
      <c r="H1044"/>
      <c r="I1044"/>
      <c r="J1044"/>
    </row>
    <row r="1045" spans="4:10" ht="12.75">
      <c r="D1045"/>
      <c r="E1045"/>
      <c r="F1045"/>
      <c r="H1045"/>
      <c r="I1045"/>
      <c r="J1045"/>
    </row>
    <row r="1046" spans="4:10" ht="12.75">
      <c r="D1046"/>
      <c r="E1046"/>
      <c r="F1046"/>
      <c r="H1046"/>
      <c r="I1046"/>
      <c r="J1046"/>
    </row>
    <row r="1047" spans="4:10" ht="12.75">
      <c r="D1047"/>
      <c r="E1047"/>
      <c r="F1047"/>
      <c r="H1047"/>
      <c r="I1047"/>
      <c r="J1047"/>
    </row>
    <row r="1048" spans="4:10" ht="12.75">
      <c r="D1048"/>
      <c r="E1048"/>
      <c r="F1048"/>
      <c r="H1048"/>
      <c r="I1048"/>
      <c r="J1048"/>
    </row>
    <row r="1049" spans="4:10" ht="12.75">
      <c r="D1049"/>
      <c r="E1049"/>
      <c r="F1049"/>
      <c r="H1049"/>
      <c r="I1049"/>
      <c r="J1049"/>
    </row>
    <row r="1050" spans="4:10" ht="12.75">
      <c r="D1050"/>
      <c r="E1050"/>
      <c r="F1050"/>
      <c r="H1050"/>
      <c r="I1050"/>
      <c r="J1050"/>
    </row>
    <row r="1051" spans="4:10" ht="12.75">
      <c r="D1051"/>
      <c r="E1051"/>
      <c r="F1051"/>
      <c r="H1051"/>
      <c r="I1051"/>
      <c r="J1051"/>
    </row>
    <row r="1052" spans="4:10" ht="12.75">
      <c r="D1052"/>
      <c r="E1052"/>
      <c r="F1052"/>
      <c r="H1052"/>
      <c r="I1052"/>
      <c r="J1052"/>
    </row>
    <row r="1053" spans="4:10" ht="12.75">
      <c r="D1053"/>
      <c r="E1053"/>
      <c r="F1053"/>
      <c r="H1053"/>
      <c r="I1053"/>
      <c r="J1053"/>
    </row>
    <row r="1054" spans="4:10" ht="12.75">
      <c r="D1054"/>
      <c r="E1054"/>
      <c r="F1054"/>
      <c r="H1054"/>
      <c r="I1054"/>
      <c r="J1054"/>
    </row>
    <row r="1055" spans="4:10" ht="12.75">
      <c r="D1055"/>
      <c r="E1055"/>
      <c r="F1055"/>
      <c r="H1055"/>
      <c r="I1055"/>
      <c r="J1055"/>
    </row>
    <row r="1056" spans="4:10" ht="12.75">
      <c r="D1056"/>
      <c r="E1056"/>
      <c r="F1056"/>
      <c r="H1056"/>
      <c r="I1056"/>
      <c r="J1056"/>
    </row>
    <row r="1057" spans="4:10" ht="12.75">
      <c r="D1057"/>
      <c r="E1057"/>
      <c r="F1057"/>
      <c r="H1057"/>
      <c r="I1057"/>
      <c r="J1057"/>
    </row>
    <row r="1058" spans="4:10" ht="12.75">
      <c r="D1058"/>
      <c r="E1058"/>
      <c r="F1058"/>
      <c r="H1058"/>
      <c r="I1058"/>
      <c r="J1058"/>
    </row>
    <row r="1059" spans="4:10" ht="12.75">
      <c r="D1059"/>
      <c r="E1059"/>
      <c r="F1059"/>
      <c r="H1059"/>
      <c r="I1059"/>
      <c r="J1059"/>
    </row>
    <row r="1060" spans="4:10" ht="12.75">
      <c r="D1060"/>
      <c r="E1060"/>
      <c r="F1060"/>
      <c r="H1060"/>
      <c r="I1060"/>
      <c r="J1060"/>
    </row>
    <row r="1061" spans="4:10" ht="12.75">
      <c r="D1061"/>
      <c r="E1061"/>
      <c r="F1061"/>
      <c r="H1061"/>
      <c r="I1061"/>
      <c r="J1061"/>
    </row>
    <row r="1062" spans="4:10" ht="12.75">
      <c r="D1062"/>
      <c r="E1062"/>
      <c r="F1062"/>
      <c r="H1062"/>
      <c r="I1062"/>
      <c r="J1062"/>
    </row>
    <row r="1063" spans="4:10" ht="12.75">
      <c r="D1063"/>
      <c r="E1063"/>
      <c r="F1063"/>
      <c r="H1063"/>
      <c r="I1063"/>
      <c r="J1063"/>
    </row>
    <row r="1064" spans="4:10" ht="12.75">
      <c r="D1064"/>
      <c r="E1064"/>
      <c r="F1064"/>
      <c r="H1064"/>
      <c r="I1064"/>
      <c r="J1064"/>
    </row>
    <row r="1065" spans="4:10" ht="12.75">
      <c r="D1065"/>
      <c r="E1065"/>
      <c r="F1065"/>
      <c r="H1065"/>
      <c r="I1065"/>
      <c r="J1065"/>
    </row>
    <row r="1066" spans="4:10" ht="12.75">
      <c r="D1066"/>
      <c r="E1066"/>
      <c r="F1066"/>
      <c r="H1066"/>
      <c r="I1066"/>
      <c r="J1066"/>
    </row>
    <row r="1067" spans="4:10" ht="12.75">
      <c r="D1067"/>
      <c r="E1067"/>
      <c r="F1067"/>
      <c r="H1067"/>
      <c r="I1067"/>
      <c r="J1067"/>
    </row>
    <row r="1068" spans="4:10" ht="12.75">
      <c r="D1068"/>
      <c r="E1068"/>
      <c r="F1068"/>
      <c r="H1068"/>
      <c r="I1068"/>
      <c r="J1068"/>
    </row>
    <row r="1069" spans="4:10" ht="12.75">
      <c r="D1069"/>
      <c r="E1069"/>
      <c r="F1069"/>
      <c r="H1069"/>
      <c r="I1069"/>
      <c r="J1069"/>
    </row>
    <row r="1070" spans="4:10" ht="12.75">
      <c r="D1070"/>
      <c r="E1070"/>
      <c r="F1070"/>
      <c r="H1070"/>
      <c r="I1070"/>
      <c r="J1070"/>
    </row>
    <row r="1071" spans="4:10" ht="12.75">
      <c r="D1071"/>
      <c r="E1071"/>
      <c r="F1071"/>
      <c r="H1071"/>
      <c r="I1071"/>
      <c r="J1071"/>
    </row>
    <row r="1072" spans="4:10" ht="12.75">
      <c r="D1072"/>
      <c r="E1072"/>
      <c r="F1072"/>
      <c r="H1072"/>
      <c r="I1072"/>
      <c r="J1072"/>
    </row>
    <row r="1073" spans="4:10" ht="12.75">
      <c r="D1073"/>
      <c r="E1073"/>
      <c r="F1073"/>
      <c r="H1073"/>
      <c r="I1073"/>
      <c r="J1073"/>
    </row>
    <row r="1074" spans="4:10" ht="12.75">
      <c r="D1074"/>
      <c r="E1074"/>
      <c r="F1074"/>
      <c r="H1074"/>
      <c r="I1074"/>
      <c r="J1074"/>
    </row>
    <row r="1075" spans="4:10" ht="12.75">
      <c r="D1075"/>
      <c r="E1075"/>
      <c r="F1075"/>
      <c r="H1075"/>
      <c r="I1075"/>
      <c r="J1075"/>
    </row>
    <row r="1076" spans="4:10" ht="12.75">
      <c r="D1076"/>
      <c r="E1076"/>
      <c r="F1076"/>
      <c r="H1076"/>
      <c r="I1076"/>
      <c r="J1076"/>
    </row>
    <row r="1077" spans="4:10" ht="12.75">
      <c r="D1077"/>
      <c r="E1077"/>
      <c r="F1077"/>
      <c r="H1077"/>
      <c r="I1077"/>
      <c r="J1077"/>
    </row>
    <row r="1078" spans="4:10" ht="12.75">
      <c r="D1078"/>
      <c r="E1078"/>
      <c r="F1078"/>
      <c r="H1078"/>
      <c r="I1078"/>
      <c r="J1078"/>
    </row>
    <row r="1079" spans="4:10" ht="12.75">
      <c r="D1079"/>
      <c r="E1079"/>
      <c r="F1079"/>
      <c r="H1079"/>
      <c r="I1079"/>
      <c r="J1079"/>
    </row>
    <row r="1080" spans="4:10" ht="12.75">
      <c r="D1080"/>
      <c r="E1080"/>
      <c r="F1080"/>
      <c r="H1080"/>
      <c r="I1080"/>
      <c r="J1080"/>
    </row>
    <row r="1081" spans="4:10" ht="12.75">
      <c r="D1081"/>
      <c r="E1081"/>
      <c r="F1081"/>
      <c r="H1081"/>
      <c r="I1081"/>
      <c r="J1081"/>
    </row>
    <row r="1082" spans="4:10" ht="12.75">
      <c r="D1082"/>
      <c r="E1082"/>
      <c r="F1082"/>
      <c r="H1082"/>
      <c r="I1082"/>
      <c r="J1082"/>
    </row>
    <row r="1083" spans="4:10" ht="12.75">
      <c r="D1083"/>
      <c r="E1083"/>
      <c r="F1083"/>
      <c r="H1083"/>
      <c r="I1083"/>
      <c r="J1083"/>
    </row>
    <row r="1084" spans="4:10" ht="12.75">
      <c r="D1084"/>
      <c r="E1084"/>
      <c r="F1084"/>
      <c r="H1084"/>
      <c r="I1084"/>
      <c r="J1084"/>
    </row>
    <row r="1085" spans="4:10" ht="12.75">
      <c r="D1085"/>
      <c r="E1085"/>
      <c r="F1085"/>
      <c r="H1085"/>
      <c r="I1085"/>
      <c r="J1085"/>
    </row>
    <row r="1086" spans="4:10" ht="12.75">
      <c r="D1086"/>
      <c r="E1086"/>
      <c r="F1086"/>
      <c r="H1086"/>
      <c r="I1086"/>
      <c r="J1086"/>
    </row>
    <row r="1087" spans="4:10" ht="12.75">
      <c r="D1087"/>
      <c r="E1087"/>
      <c r="F1087"/>
      <c r="H1087"/>
      <c r="I1087"/>
      <c r="J1087"/>
    </row>
    <row r="1088" spans="4:10" ht="12.75">
      <c r="D1088"/>
      <c r="E1088"/>
      <c r="F1088"/>
      <c r="H1088"/>
      <c r="I1088"/>
      <c r="J1088"/>
    </row>
    <row r="1089" spans="4:10" ht="12.75">
      <c r="D1089"/>
      <c r="E1089"/>
      <c r="F1089"/>
      <c r="H1089"/>
      <c r="I1089"/>
      <c r="J1089"/>
    </row>
    <row r="1090" spans="4:10" ht="12.75">
      <c r="D1090"/>
      <c r="E1090"/>
      <c r="F1090"/>
      <c r="H1090"/>
      <c r="I1090"/>
      <c r="J1090"/>
    </row>
    <row r="1091" spans="4:10" ht="12.75">
      <c r="D1091"/>
      <c r="E1091"/>
      <c r="F1091"/>
      <c r="H1091"/>
      <c r="I1091"/>
      <c r="J1091"/>
    </row>
    <row r="1092" spans="4:10" ht="12.75">
      <c r="D1092"/>
      <c r="E1092"/>
      <c r="F1092"/>
      <c r="H1092"/>
      <c r="I1092"/>
      <c r="J1092"/>
    </row>
    <row r="1093" spans="4:10" ht="12.75">
      <c r="D1093"/>
      <c r="E1093"/>
      <c r="F1093"/>
      <c r="H1093"/>
      <c r="I1093"/>
      <c r="J1093"/>
    </row>
    <row r="1094" spans="4:10" ht="12.75">
      <c r="D1094"/>
      <c r="E1094"/>
      <c r="F1094"/>
      <c r="H1094"/>
      <c r="I1094"/>
      <c r="J1094"/>
    </row>
    <row r="1095" spans="4:10" ht="12.75">
      <c r="D1095"/>
      <c r="E1095"/>
      <c r="F1095"/>
      <c r="H1095"/>
      <c r="I1095"/>
      <c r="J1095"/>
    </row>
    <row r="1096" spans="4:10" ht="12.75">
      <c r="D1096"/>
      <c r="E1096"/>
      <c r="F1096"/>
      <c r="H1096"/>
      <c r="I1096"/>
      <c r="J1096"/>
    </row>
    <row r="1097" spans="4:10" ht="12.75">
      <c r="D1097"/>
      <c r="E1097"/>
      <c r="F1097"/>
      <c r="H1097"/>
      <c r="I1097"/>
      <c r="J1097"/>
    </row>
    <row r="1098" spans="4:10" ht="12.75">
      <c r="D1098"/>
      <c r="E1098"/>
      <c r="F1098"/>
      <c r="H1098"/>
      <c r="I1098"/>
      <c r="J1098"/>
    </row>
    <row r="1099" spans="4:10" ht="12.75">
      <c r="D1099"/>
      <c r="E1099"/>
      <c r="F1099"/>
      <c r="H1099"/>
      <c r="I1099"/>
      <c r="J1099"/>
    </row>
    <row r="1100" spans="4:10" ht="12.75">
      <c r="D1100"/>
      <c r="E1100"/>
      <c r="F1100"/>
      <c r="H1100"/>
      <c r="I1100"/>
      <c r="J1100"/>
    </row>
    <row r="1101" spans="4:10" ht="12.75">
      <c r="D1101"/>
      <c r="E1101"/>
      <c r="F1101"/>
      <c r="H1101"/>
      <c r="I1101"/>
      <c r="J1101"/>
    </row>
    <row r="1102" spans="4:10" ht="12.75">
      <c r="D1102"/>
      <c r="E1102"/>
      <c r="F1102"/>
      <c r="H1102"/>
      <c r="I1102"/>
      <c r="J1102"/>
    </row>
    <row r="1103" spans="4:10" ht="12.75">
      <c r="D1103"/>
      <c r="E1103"/>
      <c r="F1103"/>
      <c r="H1103"/>
      <c r="I1103"/>
      <c r="J1103"/>
    </row>
    <row r="1104" spans="4:10" ht="12.75">
      <c r="D1104"/>
      <c r="E1104"/>
      <c r="F1104"/>
      <c r="H1104"/>
      <c r="I1104"/>
      <c r="J1104"/>
    </row>
    <row r="1105" spans="4:10" ht="12.75">
      <c r="D1105"/>
      <c r="E1105"/>
      <c r="F1105"/>
      <c r="H1105"/>
      <c r="I1105"/>
      <c r="J1105"/>
    </row>
    <row r="1106" spans="4:10" ht="12.75">
      <c r="D1106"/>
      <c r="E1106"/>
      <c r="F1106"/>
      <c r="H1106"/>
      <c r="I1106"/>
      <c r="J1106"/>
    </row>
    <row r="1107" spans="4:10" ht="12.75">
      <c r="D1107"/>
      <c r="E1107"/>
      <c r="F1107"/>
      <c r="H1107"/>
      <c r="I1107"/>
      <c r="J1107"/>
    </row>
    <row r="1108" spans="4:10" ht="12.75">
      <c r="D1108"/>
      <c r="E1108"/>
      <c r="F1108"/>
      <c r="H1108"/>
      <c r="I1108"/>
      <c r="J1108"/>
    </row>
    <row r="1109" spans="4:10" ht="12.75">
      <c r="D1109"/>
      <c r="E1109"/>
      <c r="F1109"/>
      <c r="H1109"/>
      <c r="I1109"/>
      <c r="J1109"/>
    </row>
    <row r="1110" spans="4:10" ht="12.75">
      <c r="D1110"/>
      <c r="E1110"/>
      <c r="F1110"/>
      <c r="H1110"/>
      <c r="I1110"/>
      <c r="J1110"/>
    </row>
    <row r="1111" spans="4:10" ht="12.75">
      <c r="D1111"/>
      <c r="E1111"/>
      <c r="F1111"/>
      <c r="H1111"/>
      <c r="I1111"/>
      <c r="J1111"/>
    </row>
    <row r="1112" spans="4:10" ht="12.75">
      <c r="D1112"/>
      <c r="E1112"/>
      <c r="F1112"/>
      <c r="H1112"/>
      <c r="I1112"/>
      <c r="J1112"/>
    </row>
    <row r="1113" spans="4:10" ht="12.75">
      <c r="D1113"/>
      <c r="E1113"/>
      <c r="F1113"/>
      <c r="H1113"/>
      <c r="I1113"/>
      <c r="J1113"/>
    </row>
    <row r="1114" spans="4:10" ht="12.75">
      <c r="D1114"/>
      <c r="E1114"/>
      <c r="F1114"/>
      <c r="H1114"/>
      <c r="I1114"/>
      <c r="J1114"/>
    </row>
    <row r="1115" spans="4:10" ht="12.75">
      <c r="D1115"/>
      <c r="E1115"/>
      <c r="F1115"/>
      <c r="H1115"/>
      <c r="I1115"/>
      <c r="J1115"/>
    </row>
    <row r="1116" spans="4:10" ht="12.75">
      <c r="D1116"/>
      <c r="E1116"/>
      <c r="F1116"/>
      <c r="H1116"/>
      <c r="I1116"/>
      <c r="J1116"/>
    </row>
    <row r="1117" spans="4:10" ht="12.75">
      <c r="D1117"/>
      <c r="E1117"/>
      <c r="F1117"/>
      <c r="H1117"/>
      <c r="I1117"/>
      <c r="J1117"/>
    </row>
    <row r="1118" spans="4:10" ht="12.75">
      <c r="D1118"/>
      <c r="E1118"/>
      <c r="F1118"/>
      <c r="H1118"/>
      <c r="I1118"/>
      <c r="J1118"/>
    </row>
    <row r="1119" spans="4:10" ht="12.75">
      <c r="D1119"/>
      <c r="E1119"/>
      <c r="F1119"/>
      <c r="H1119"/>
      <c r="I1119"/>
      <c r="J1119"/>
    </row>
    <row r="1120" spans="4:10" ht="12.75">
      <c r="D1120"/>
      <c r="E1120"/>
      <c r="F1120"/>
      <c r="H1120"/>
      <c r="I1120"/>
      <c r="J1120"/>
    </row>
    <row r="1121" spans="4:10" ht="12.75">
      <c r="D1121"/>
      <c r="E1121"/>
      <c r="F1121"/>
      <c r="H1121"/>
      <c r="I1121"/>
      <c r="J1121"/>
    </row>
    <row r="1122" spans="4:10" ht="12.75">
      <c r="D1122"/>
      <c r="E1122"/>
      <c r="F1122"/>
      <c r="H1122"/>
      <c r="I1122"/>
      <c r="J1122"/>
    </row>
    <row r="1123" spans="4:10" ht="12.75">
      <c r="D1123"/>
      <c r="E1123"/>
      <c r="F1123"/>
      <c r="H1123"/>
      <c r="I1123"/>
      <c r="J1123"/>
    </row>
    <row r="1124" spans="4:10" ht="12.75">
      <c r="D1124"/>
      <c r="E1124"/>
      <c r="F1124"/>
      <c r="H1124"/>
      <c r="I1124"/>
      <c r="J1124"/>
    </row>
    <row r="1125" spans="4:10" ht="12.75">
      <c r="D1125"/>
      <c r="E1125"/>
      <c r="F1125"/>
      <c r="H1125"/>
      <c r="I1125"/>
      <c r="J1125"/>
    </row>
    <row r="1126" spans="4:10" ht="12.75">
      <c r="D1126"/>
      <c r="E1126"/>
      <c r="F1126"/>
      <c r="H1126"/>
      <c r="I1126"/>
      <c r="J1126"/>
    </row>
    <row r="1127" spans="4:10" ht="12.75">
      <c r="D1127"/>
      <c r="E1127"/>
      <c r="F1127"/>
      <c r="H1127"/>
      <c r="I1127"/>
      <c r="J1127"/>
    </row>
    <row r="1128" spans="4:10" ht="12.75">
      <c r="D1128"/>
      <c r="E1128"/>
      <c r="F1128"/>
      <c r="H1128"/>
      <c r="I1128"/>
      <c r="J1128"/>
    </row>
    <row r="1129" spans="4:10" ht="12.75">
      <c r="D1129"/>
      <c r="E1129"/>
      <c r="F1129"/>
      <c r="H1129"/>
      <c r="I1129"/>
      <c r="J1129"/>
    </row>
    <row r="1130" spans="4:10" ht="12.75">
      <c r="D1130"/>
      <c r="E1130"/>
      <c r="F1130"/>
      <c r="H1130"/>
      <c r="I1130"/>
      <c r="J1130"/>
    </row>
    <row r="1131" spans="4:10" ht="12.75">
      <c r="D1131"/>
      <c r="E1131"/>
      <c r="F1131"/>
      <c r="H1131"/>
      <c r="I1131"/>
      <c r="J1131"/>
    </row>
    <row r="1132" spans="4:10" ht="12.75">
      <c r="D1132"/>
      <c r="E1132"/>
      <c r="F1132"/>
      <c r="H1132"/>
      <c r="I1132"/>
      <c r="J1132"/>
    </row>
    <row r="1133" spans="4:10" ht="12.75">
      <c r="D1133"/>
      <c r="E1133"/>
      <c r="F1133"/>
      <c r="H1133"/>
      <c r="I1133"/>
      <c r="J1133"/>
    </row>
    <row r="1134" spans="4:10" ht="12.75">
      <c r="D1134"/>
      <c r="E1134"/>
      <c r="F1134"/>
      <c r="H1134"/>
      <c r="I1134"/>
      <c r="J1134"/>
    </row>
    <row r="1135" spans="4:10" ht="12.75">
      <c r="D1135"/>
      <c r="E1135"/>
      <c r="F1135"/>
      <c r="H1135"/>
      <c r="I1135"/>
      <c r="J1135"/>
    </row>
    <row r="1136" spans="4:10" ht="12.75">
      <c r="D1136"/>
      <c r="E1136"/>
      <c r="F1136"/>
      <c r="H1136"/>
      <c r="I1136"/>
      <c r="J1136"/>
    </row>
    <row r="1137" spans="4:10" ht="12.75">
      <c r="D1137"/>
      <c r="E1137"/>
      <c r="F1137"/>
      <c r="H1137"/>
      <c r="I1137"/>
      <c r="J1137"/>
    </row>
    <row r="1138" spans="4:10" ht="12.75">
      <c r="D1138"/>
      <c r="E1138"/>
      <c r="F1138"/>
      <c r="H1138"/>
      <c r="I1138"/>
      <c r="J1138"/>
    </row>
    <row r="1139" spans="4:10" ht="12.75">
      <c r="D1139"/>
      <c r="E1139"/>
      <c r="F1139"/>
      <c r="H1139"/>
      <c r="I1139"/>
      <c r="J1139"/>
    </row>
    <row r="1140" spans="4:10" ht="12.75">
      <c r="D1140"/>
      <c r="E1140"/>
      <c r="F1140"/>
      <c r="H1140"/>
      <c r="I1140"/>
      <c r="J1140"/>
    </row>
    <row r="1141" spans="4:10" ht="12.75">
      <c r="D1141"/>
      <c r="E1141"/>
      <c r="F1141"/>
      <c r="H1141"/>
      <c r="I1141"/>
      <c r="J1141"/>
    </row>
    <row r="1142" spans="4:10" ht="12.75">
      <c r="D1142"/>
      <c r="E1142"/>
      <c r="F1142"/>
      <c r="H1142"/>
      <c r="I1142"/>
      <c r="J1142"/>
    </row>
    <row r="1143" spans="4:10" ht="12.75">
      <c r="D1143"/>
      <c r="E1143"/>
      <c r="F1143"/>
      <c r="H1143"/>
      <c r="I1143"/>
      <c r="J1143"/>
    </row>
    <row r="1144" spans="4:10" ht="12.75">
      <c r="D1144"/>
      <c r="E1144"/>
      <c r="F1144"/>
      <c r="H1144"/>
      <c r="I1144"/>
      <c r="J1144"/>
    </row>
    <row r="1145" spans="4:10" ht="12.75">
      <c r="D1145"/>
      <c r="E1145"/>
      <c r="F1145"/>
      <c r="H1145"/>
      <c r="I1145"/>
      <c r="J1145"/>
    </row>
    <row r="1146" spans="4:10" ht="12.75">
      <c r="D1146"/>
      <c r="E1146"/>
      <c r="F1146"/>
      <c r="H1146"/>
      <c r="I1146"/>
      <c r="J1146"/>
    </row>
    <row r="1147" spans="4:10" ht="12.75">
      <c r="D1147"/>
      <c r="E1147"/>
      <c r="F1147"/>
      <c r="H1147"/>
      <c r="I1147"/>
      <c r="J1147"/>
    </row>
    <row r="1148" spans="4:10" ht="12.75">
      <c r="D1148"/>
      <c r="E1148"/>
      <c r="F1148"/>
      <c r="H1148"/>
      <c r="I1148"/>
      <c r="J1148"/>
    </row>
    <row r="1149" spans="4:10" ht="12.75">
      <c r="D1149"/>
      <c r="E1149"/>
      <c r="F1149"/>
      <c r="H1149"/>
      <c r="I1149"/>
      <c r="J1149"/>
    </row>
    <row r="1150" spans="4:10" ht="12.75">
      <c r="D1150"/>
      <c r="E1150"/>
      <c r="F1150"/>
      <c r="H1150"/>
      <c r="I1150"/>
      <c r="J1150"/>
    </row>
    <row r="1151" spans="4:10" ht="12.75">
      <c r="D1151"/>
      <c r="E1151"/>
      <c r="F1151"/>
      <c r="H1151"/>
      <c r="I1151"/>
      <c r="J1151"/>
    </row>
    <row r="1152" spans="4:10" ht="12.75">
      <c r="D1152"/>
      <c r="E1152"/>
      <c r="F1152"/>
      <c r="H1152"/>
      <c r="I1152"/>
      <c r="J1152"/>
    </row>
    <row r="1153" spans="4:10" ht="12.75">
      <c r="D1153"/>
      <c r="E1153"/>
      <c r="F1153"/>
      <c r="H1153"/>
      <c r="I1153"/>
      <c r="J1153"/>
    </row>
    <row r="1154" spans="4:10" ht="12.75">
      <c r="D1154"/>
      <c r="E1154"/>
      <c r="F1154"/>
      <c r="H1154"/>
      <c r="I1154"/>
      <c r="J1154"/>
    </row>
    <row r="1155" spans="4:10" ht="12.75">
      <c r="D1155"/>
      <c r="E1155"/>
      <c r="F1155"/>
      <c r="H1155"/>
      <c r="I1155"/>
      <c r="J1155"/>
    </row>
    <row r="1156" spans="4:10" ht="12.75">
      <c r="D1156"/>
      <c r="E1156"/>
      <c r="F1156"/>
      <c r="H1156"/>
      <c r="I1156"/>
      <c r="J1156"/>
    </row>
    <row r="1157" spans="4:10" ht="12.75">
      <c r="D1157"/>
      <c r="E1157"/>
      <c r="F1157"/>
      <c r="H1157"/>
      <c r="I1157"/>
      <c r="J1157"/>
    </row>
    <row r="1158" spans="4:10" ht="12.75">
      <c r="D1158"/>
      <c r="E1158"/>
      <c r="F1158"/>
      <c r="H1158"/>
      <c r="I1158"/>
      <c r="J1158"/>
    </row>
    <row r="1159" spans="4:10" ht="12.75">
      <c r="D1159"/>
      <c r="E1159"/>
      <c r="F1159"/>
      <c r="H1159"/>
      <c r="I1159"/>
      <c r="J1159"/>
    </row>
    <row r="1160" spans="4:10" ht="12.75">
      <c r="D1160"/>
      <c r="E1160"/>
      <c r="F1160"/>
      <c r="H1160"/>
      <c r="I1160"/>
      <c r="J1160"/>
    </row>
    <row r="1161" spans="4:10" ht="12.75">
      <c r="D1161"/>
      <c r="E1161"/>
      <c r="F1161"/>
      <c r="H1161"/>
      <c r="I1161"/>
      <c r="J1161"/>
    </row>
    <row r="1162" spans="4:10" ht="12.75">
      <c r="D1162"/>
      <c r="E1162"/>
      <c r="F1162"/>
      <c r="H1162"/>
      <c r="I1162"/>
      <c r="J1162"/>
    </row>
    <row r="1163" spans="4:10" ht="12.75">
      <c r="D1163"/>
      <c r="E1163"/>
      <c r="F1163"/>
      <c r="H1163"/>
      <c r="I1163"/>
      <c r="J1163"/>
    </row>
    <row r="1164" spans="4:10" ht="12.75">
      <c r="D1164"/>
      <c r="E1164"/>
      <c r="F1164"/>
      <c r="H1164"/>
      <c r="I1164"/>
      <c r="J1164"/>
    </row>
    <row r="1165" spans="4:10" ht="12.75">
      <c r="D1165"/>
      <c r="E1165"/>
      <c r="F1165"/>
      <c r="H1165"/>
      <c r="I1165"/>
      <c r="J1165"/>
    </row>
    <row r="1166" spans="4:10" ht="12.75">
      <c r="D1166"/>
      <c r="E1166"/>
      <c r="F1166"/>
      <c r="H1166"/>
      <c r="I1166"/>
      <c r="J1166"/>
    </row>
    <row r="1167" spans="4:10" ht="12.75">
      <c r="D1167"/>
      <c r="E1167"/>
      <c r="F1167"/>
      <c r="H1167"/>
      <c r="I1167"/>
      <c r="J1167"/>
    </row>
    <row r="1168" spans="4:10" ht="12.75">
      <c r="D1168"/>
      <c r="E1168"/>
      <c r="F1168"/>
      <c r="H1168"/>
      <c r="I1168"/>
      <c r="J1168"/>
    </row>
    <row r="1169" spans="4:10" ht="12.75">
      <c r="D1169"/>
      <c r="E1169"/>
      <c r="F1169"/>
      <c r="H1169"/>
      <c r="I1169"/>
      <c r="J1169"/>
    </row>
    <row r="1170" spans="4:10" ht="12.75">
      <c r="D1170"/>
      <c r="E1170"/>
      <c r="F1170"/>
      <c r="H1170"/>
      <c r="I1170"/>
      <c r="J1170"/>
    </row>
    <row r="1171" spans="4:10" ht="12.75">
      <c r="D1171"/>
      <c r="E1171"/>
      <c r="F1171"/>
      <c r="H1171"/>
      <c r="I1171"/>
      <c r="J1171"/>
    </row>
    <row r="1172" spans="4:10" ht="12.75">
      <c r="D1172"/>
      <c r="E1172"/>
      <c r="F1172"/>
      <c r="H1172"/>
      <c r="I1172"/>
      <c r="J1172"/>
    </row>
    <row r="1173" spans="4:10" ht="12.75">
      <c r="D1173"/>
      <c r="E1173"/>
      <c r="F1173"/>
      <c r="H1173"/>
      <c r="I1173"/>
      <c r="J1173"/>
    </row>
    <row r="1174" spans="4:10" ht="12.75">
      <c r="D1174"/>
      <c r="E1174"/>
      <c r="F1174"/>
      <c r="H1174"/>
      <c r="I1174"/>
      <c r="J1174"/>
    </row>
    <row r="1175" spans="4:10" ht="12.75">
      <c r="D1175"/>
      <c r="E1175"/>
      <c r="F1175"/>
      <c r="H1175"/>
      <c r="I1175"/>
      <c r="J1175"/>
    </row>
    <row r="1176" spans="4:10" ht="12.75">
      <c r="D1176"/>
      <c r="E1176"/>
      <c r="F1176"/>
      <c r="H1176"/>
      <c r="I1176"/>
      <c r="J1176"/>
    </row>
    <row r="1177" spans="4:10" ht="12.75">
      <c r="D1177"/>
      <c r="E1177"/>
      <c r="F1177"/>
      <c r="H1177"/>
      <c r="I1177"/>
      <c r="J1177"/>
    </row>
    <row r="1178" spans="4:10" ht="12.75">
      <c r="D1178"/>
      <c r="E1178"/>
      <c r="F1178"/>
      <c r="H1178"/>
      <c r="I1178"/>
      <c r="J1178"/>
    </row>
    <row r="1179" spans="4:10" ht="12.75">
      <c r="D1179"/>
      <c r="E1179"/>
      <c r="F1179"/>
      <c r="H1179"/>
      <c r="I1179"/>
      <c r="J1179"/>
    </row>
    <row r="1180" spans="4:10" ht="12.75">
      <c r="D1180"/>
      <c r="E1180"/>
      <c r="F1180"/>
      <c r="H1180"/>
      <c r="I1180"/>
      <c r="J1180"/>
    </row>
    <row r="1181" spans="4:10" ht="12.75">
      <c r="D1181"/>
      <c r="E1181"/>
      <c r="F1181"/>
      <c r="H1181"/>
      <c r="I1181"/>
      <c r="J1181"/>
    </row>
    <row r="1182" spans="4:10" ht="12.75">
      <c r="D1182"/>
      <c r="E1182"/>
      <c r="F1182"/>
      <c r="H1182"/>
      <c r="I1182"/>
      <c r="J1182"/>
    </row>
    <row r="1183" spans="4:10" ht="12.75">
      <c r="D1183"/>
      <c r="E1183"/>
      <c r="F1183"/>
      <c r="H1183"/>
      <c r="I1183"/>
      <c r="J1183"/>
    </row>
    <row r="1184" spans="4:10" ht="12.75">
      <c r="D1184"/>
      <c r="E1184"/>
      <c r="F1184"/>
      <c r="H1184"/>
      <c r="I1184"/>
      <c r="J1184"/>
    </row>
    <row r="1185" spans="4:10" ht="12.75">
      <c r="D1185"/>
      <c r="E1185"/>
      <c r="F1185"/>
      <c r="H1185"/>
      <c r="I1185"/>
      <c r="J1185"/>
    </row>
    <row r="1186" spans="4:10" ht="12.75">
      <c r="D1186"/>
      <c r="E1186"/>
      <c r="F1186"/>
      <c r="H1186"/>
      <c r="I1186"/>
      <c r="J1186"/>
    </row>
    <row r="1187" spans="4:10" ht="12.75">
      <c r="D1187"/>
      <c r="E1187"/>
      <c r="F1187"/>
      <c r="H1187"/>
      <c r="I1187"/>
      <c r="J1187"/>
    </row>
    <row r="1188" spans="4:10" ht="12.75">
      <c r="D1188"/>
      <c r="E1188"/>
      <c r="F1188"/>
      <c r="H1188"/>
      <c r="I1188"/>
      <c r="J1188"/>
    </row>
    <row r="1189" spans="4:10" ht="12.75">
      <c r="D1189"/>
      <c r="E1189"/>
      <c r="F1189"/>
      <c r="H1189"/>
      <c r="I1189"/>
      <c r="J1189"/>
    </row>
    <row r="1190" spans="4:10" ht="12.75">
      <c r="D1190"/>
      <c r="E1190"/>
      <c r="F1190"/>
      <c r="H1190"/>
      <c r="I1190"/>
      <c r="J1190"/>
    </row>
    <row r="1191" spans="4:10" ht="12.75">
      <c r="D1191"/>
      <c r="E1191"/>
      <c r="F1191"/>
      <c r="H1191"/>
      <c r="I1191"/>
      <c r="J1191"/>
    </row>
    <row r="1192" spans="4:10" ht="12.75">
      <c r="D1192"/>
      <c r="E1192"/>
      <c r="F1192"/>
      <c r="H1192"/>
      <c r="I1192"/>
      <c r="J1192"/>
    </row>
    <row r="1193" spans="4:10" ht="12.75">
      <c r="D1193"/>
      <c r="E1193"/>
      <c r="F1193"/>
      <c r="H1193"/>
      <c r="I1193"/>
      <c r="J1193"/>
    </row>
    <row r="1194" spans="4:10" ht="12.75">
      <c r="D1194"/>
      <c r="E1194"/>
      <c r="F1194"/>
      <c r="H1194"/>
      <c r="I1194"/>
      <c r="J1194"/>
    </row>
    <row r="1195" spans="4:10" ht="12.75">
      <c r="D1195"/>
      <c r="E1195"/>
      <c r="F1195"/>
      <c r="H1195"/>
      <c r="I1195"/>
      <c r="J1195"/>
    </row>
    <row r="1196" spans="4:10" ht="12.75">
      <c r="D1196"/>
      <c r="E1196"/>
      <c r="F1196"/>
      <c r="H1196"/>
      <c r="I1196"/>
      <c r="J1196"/>
    </row>
    <row r="1197" spans="4:10" ht="12.75">
      <c r="D1197"/>
      <c r="E1197"/>
      <c r="F1197"/>
      <c r="H1197"/>
      <c r="I1197"/>
      <c r="J1197"/>
    </row>
    <row r="1198" spans="4:10" ht="12.75">
      <c r="D1198"/>
      <c r="E1198"/>
      <c r="F1198"/>
      <c r="H1198"/>
      <c r="I1198"/>
      <c r="J1198"/>
    </row>
    <row r="1199" spans="4:10" ht="12.75">
      <c r="D1199"/>
      <c r="E1199"/>
      <c r="F1199"/>
      <c r="H1199"/>
      <c r="I1199"/>
      <c r="J1199"/>
    </row>
    <row r="1200" spans="4:10" ht="12.75">
      <c r="D1200"/>
      <c r="E1200"/>
      <c r="F1200"/>
      <c r="H1200"/>
      <c r="I1200"/>
      <c r="J1200"/>
    </row>
    <row r="1201" spans="4:10" ht="12.75">
      <c r="D1201"/>
      <c r="E1201"/>
      <c r="F1201"/>
      <c r="H1201"/>
      <c r="I1201"/>
      <c r="J1201"/>
    </row>
    <row r="1202" spans="4:10" ht="12.75">
      <c r="D1202"/>
      <c r="E1202"/>
      <c r="F1202"/>
      <c r="H1202"/>
      <c r="I1202"/>
      <c r="J1202"/>
    </row>
    <row r="1203" spans="4:10" ht="12.75">
      <c r="D1203"/>
      <c r="E1203"/>
      <c r="F1203"/>
      <c r="H1203"/>
      <c r="I1203"/>
      <c r="J1203"/>
    </row>
    <row r="1204" spans="4:10" ht="12.75">
      <c r="D1204"/>
      <c r="E1204"/>
      <c r="F1204"/>
      <c r="H1204"/>
      <c r="I1204"/>
      <c r="J1204"/>
    </row>
    <row r="1205" spans="4:10" ht="12.75">
      <c r="D1205"/>
      <c r="E1205"/>
      <c r="F1205"/>
      <c r="H1205"/>
      <c r="I1205"/>
      <c r="J1205"/>
    </row>
    <row r="1206" spans="4:10" ht="12.75">
      <c r="D1206"/>
      <c r="E1206"/>
      <c r="F1206"/>
      <c r="H1206"/>
      <c r="I1206"/>
      <c r="J1206"/>
    </row>
    <row r="1207" spans="4:10" ht="12.75">
      <c r="D1207"/>
      <c r="E1207"/>
      <c r="F1207"/>
      <c r="H1207"/>
      <c r="I1207"/>
      <c r="J1207"/>
    </row>
    <row r="1208" spans="4:10" ht="12.75">
      <c r="D1208"/>
      <c r="E1208"/>
      <c r="F1208"/>
      <c r="H1208"/>
      <c r="I1208"/>
      <c r="J1208"/>
    </row>
    <row r="1209" spans="4:10" ht="12.75">
      <c r="D1209"/>
      <c r="E1209"/>
      <c r="F1209"/>
      <c r="H1209"/>
      <c r="I1209"/>
      <c r="J1209"/>
    </row>
    <row r="1210" spans="4:10" ht="12.75">
      <c r="D1210"/>
      <c r="E1210"/>
      <c r="F1210"/>
      <c r="H1210"/>
      <c r="I1210"/>
      <c r="J1210"/>
    </row>
    <row r="1211" spans="4:10" ht="12.75">
      <c r="D1211"/>
      <c r="E1211"/>
      <c r="F1211"/>
      <c r="H1211"/>
      <c r="I1211"/>
      <c r="J1211"/>
    </row>
    <row r="1212" spans="4:10" ht="12.75">
      <c r="D1212"/>
      <c r="E1212"/>
      <c r="F1212"/>
      <c r="H1212"/>
      <c r="I1212"/>
      <c r="J1212"/>
    </row>
    <row r="1213" spans="4:10" ht="12.75">
      <c r="D1213"/>
      <c r="E1213"/>
      <c r="F1213"/>
      <c r="H1213"/>
      <c r="I1213"/>
      <c r="J1213"/>
    </row>
    <row r="1214" spans="4:10" ht="12.75">
      <c r="D1214"/>
      <c r="E1214"/>
      <c r="F1214"/>
      <c r="H1214"/>
      <c r="I1214"/>
      <c r="J1214"/>
    </row>
    <row r="1215" spans="4:10" ht="12.75">
      <c r="D1215"/>
      <c r="E1215"/>
      <c r="F1215"/>
      <c r="H1215"/>
      <c r="I1215"/>
      <c r="J1215"/>
    </row>
    <row r="1216" spans="4:10" ht="12.75">
      <c r="D1216"/>
      <c r="E1216"/>
      <c r="F1216"/>
      <c r="H1216"/>
      <c r="I1216"/>
      <c r="J1216"/>
    </row>
    <row r="1217" spans="4:10" ht="12.75">
      <c r="D1217"/>
      <c r="E1217"/>
      <c r="F1217"/>
      <c r="H1217"/>
      <c r="I1217"/>
      <c r="J1217"/>
    </row>
    <row r="1218" spans="4:10" ht="12.75">
      <c r="D1218"/>
      <c r="E1218"/>
      <c r="F1218"/>
      <c r="H1218"/>
      <c r="I1218"/>
      <c r="J1218"/>
    </row>
    <row r="1219" spans="4:10" ht="12.75">
      <c r="D1219"/>
      <c r="E1219"/>
      <c r="F1219"/>
      <c r="H1219"/>
      <c r="I1219"/>
      <c r="J1219"/>
    </row>
    <row r="1220" spans="4:10" ht="12.75">
      <c r="D1220"/>
      <c r="E1220"/>
      <c r="F1220"/>
      <c r="H1220"/>
      <c r="I1220"/>
      <c r="J1220"/>
    </row>
    <row r="1221" spans="4:10" ht="12.75">
      <c r="D1221"/>
      <c r="E1221"/>
      <c r="F1221"/>
      <c r="H1221"/>
      <c r="I1221"/>
      <c r="J1221"/>
    </row>
    <row r="1222" spans="4:10" ht="12.75">
      <c r="D1222"/>
      <c r="E1222"/>
      <c r="F1222"/>
      <c r="H1222"/>
      <c r="I1222"/>
      <c r="J1222"/>
    </row>
    <row r="1223" spans="4:10" ht="12.75">
      <c r="D1223"/>
      <c r="E1223"/>
      <c r="F1223"/>
      <c r="H1223"/>
      <c r="I1223"/>
      <c r="J1223"/>
    </row>
    <row r="1224" spans="4:10" ht="12.75">
      <c r="D1224"/>
      <c r="E1224"/>
      <c r="F1224"/>
      <c r="H1224"/>
      <c r="I1224"/>
      <c r="J1224"/>
    </row>
    <row r="1225" spans="4:10" ht="12.75">
      <c r="D1225"/>
      <c r="E1225"/>
      <c r="F1225"/>
      <c r="H1225"/>
      <c r="I1225"/>
      <c r="J1225"/>
    </row>
    <row r="1226" spans="4:10" ht="12.75">
      <c r="D1226"/>
      <c r="E1226"/>
      <c r="F1226"/>
      <c r="H1226"/>
      <c r="I1226"/>
      <c r="J1226"/>
    </row>
    <row r="1227" spans="4:10" ht="12.75">
      <c r="D1227"/>
      <c r="E1227"/>
      <c r="F1227"/>
      <c r="H1227"/>
      <c r="I1227"/>
      <c r="J1227"/>
    </row>
    <row r="1228" spans="4:10" ht="12.75">
      <c r="D1228"/>
      <c r="E1228"/>
      <c r="F1228"/>
      <c r="H1228"/>
      <c r="I1228"/>
      <c r="J1228"/>
    </row>
    <row r="1229" spans="4:10" ht="12.75">
      <c r="D1229"/>
      <c r="E1229"/>
      <c r="F1229"/>
      <c r="H1229"/>
      <c r="I1229"/>
      <c r="J1229"/>
    </row>
    <row r="1230" spans="4:10" ht="12.75">
      <c r="D1230"/>
      <c r="E1230"/>
      <c r="F1230"/>
      <c r="H1230"/>
      <c r="I1230"/>
      <c r="J1230"/>
    </row>
    <row r="1231" spans="4:10" ht="12.75">
      <c r="D1231"/>
      <c r="E1231"/>
      <c r="F1231"/>
      <c r="H1231"/>
      <c r="I1231"/>
      <c r="J1231"/>
    </row>
    <row r="1232" spans="4:10" ht="12.75">
      <c r="D1232"/>
      <c r="E1232"/>
      <c r="F1232"/>
      <c r="H1232"/>
      <c r="I1232"/>
      <c r="J1232"/>
    </row>
    <row r="1233" spans="4:10" ht="12.75">
      <c r="D1233"/>
      <c r="E1233"/>
      <c r="F1233"/>
      <c r="H1233"/>
      <c r="I1233"/>
      <c r="J1233"/>
    </row>
    <row r="1234" spans="4:10" ht="12.75">
      <c r="D1234"/>
      <c r="E1234"/>
      <c r="F1234"/>
      <c r="H1234"/>
      <c r="I1234"/>
      <c r="J1234"/>
    </row>
    <row r="1235" spans="4:10" ht="12.75">
      <c r="D1235"/>
      <c r="E1235"/>
      <c r="F1235"/>
      <c r="H1235"/>
      <c r="I1235"/>
      <c r="J1235"/>
    </row>
    <row r="1236" spans="4:10" ht="12.75">
      <c r="D1236"/>
      <c r="E1236"/>
      <c r="F1236"/>
      <c r="H1236"/>
      <c r="I1236"/>
      <c r="J1236"/>
    </row>
    <row r="1237" spans="4:10" ht="12.75">
      <c r="D1237"/>
      <c r="E1237"/>
      <c r="F1237"/>
      <c r="H1237"/>
      <c r="I1237"/>
      <c r="J1237"/>
    </row>
    <row r="1238" spans="4:10" ht="12.75">
      <c r="D1238"/>
      <c r="E1238"/>
      <c r="F1238"/>
      <c r="H1238"/>
      <c r="I1238"/>
      <c r="J1238"/>
    </row>
    <row r="1239" spans="4:10" ht="12.75">
      <c r="D1239"/>
      <c r="E1239"/>
      <c r="F1239"/>
      <c r="H1239"/>
      <c r="I1239"/>
      <c r="J1239"/>
    </row>
    <row r="1240" spans="4:10" ht="12.75">
      <c r="D1240"/>
      <c r="E1240"/>
      <c r="F1240"/>
      <c r="H1240"/>
      <c r="I1240"/>
      <c r="J1240"/>
    </row>
    <row r="1241" spans="4:10" ht="12.75">
      <c r="D1241"/>
      <c r="E1241"/>
      <c r="F1241"/>
      <c r="H1241"/>
      <c r="I1241"/>
      <c r="J1241"/>
    </row>
    <row r="1242" spans="4:10" ht="12.75">
      <c r="D1242"/>
      <c r="E1242"/>
      <c r="F1242"/>
      <c r="H1242"/>
      <c r="I1242"/>
      <c r="J1242"/>
    </row>
    <row r="1243" spans="4:10" ht="12.75">
      <c r="D1243"/>
      <c r="E1243"/>
      <c r="F1243"/>
      <c r="H1243"/>
      <c r="I1243"/>
      <c r="J1243"/>
    </row>
    <row r="1244" spans="4:10" ht="12.75">
      <c r="D1244"/>
      <c r="E1244"/>
      <c r="F1244"/>
      <c r="H1244"/>
      <c r="I1244"/>
      <c r="J1244"/>
    </row>
    <row r="1245" spans="4:10" ht="12.75">
      <c r="D1245"/>
      <c r="E1245"/>
      <c r="F1245"/>
      <c r="H1245"/>
      <c r="I1245"/>
      <c r="J1245"/>
    </row>
    <row r="1246" spans="4:10" ht="12.75">
      <c r="D1246"/>
      <c r="E1246"/>
      <c r="F1246"/>
      <c r="H1246"/>
      <c r="I1246"/>
      <c r="J1246"/>
    </row>
    <row r="1247" spans="4:10" ht="12.75">
      <c r="D1247"/>
      <c r="E1247"/>
      <c r="F1247"/>
      <c r="H1247"/>
      <c r="I1247"/>
      <c r="J1247"/>
    </row>
    <row r="1248" spans="4:10" ht="12.75">
      <c r="D1248"/>
      <c r="E1248"/>
      <c r="F1248"/>
      <c r="H1248"/>
      <c r="I1248"/>
      <c r="J1248"/>
    </row>
    <row r="1249" spans="4:10" ht="12.75">
      <c r="D1249"/>
      <c r="E1249"/>
      <c r="F1249"/>
      <c r="H1249"/>
      <c r="I1249"/>
      <c r="J1249"/>
    </row>
    <row r="1250" spans="4:10" ht="12.75">
      <c r="D1250"/>
      <c r="E1250"/>
      <c r="F1250"/>
      <c r="H1250"/>
      <c r="I1250"/>
      <c r="J1250"/>
    </row>
    <row r="1251" spans="4:10" ht="12.75">
      <c r="D1251"/>
      <c r="E1251"/>
      <c r="F1251"/>
      <c r="H1251"/>
      <c r="I1251"/>
      <c r="J1251"/>
    </row>
    <row r="1252" spans="4:10" ht="12.75">
      <c r="D1252"/>
      <c r="E1252"/>
      <c r="F1252"/>
      <c r="H1252"/>
      <c r="I1252"/>
      <c r="J1252"/>
    </row>
    <row r="1253" spans="4:10" ht="12.75">
      <c r="D1253"/>
      <c r="E1253"/>
      <c r="F1253"/>
      <c r="H1253"/>
      <c r="I1253"/>
      <c r="J1253"/>
    </row>
    <row r="1254" spans="4:10" ht="12.75">
      <c r="D1254"/>
      <c r="E1254"/>
      <c r="F1254"/>
      <c r="H1254"/>
      <c r="I1254"/>
      <c r="J1254"/>
    </row>
    <row r="1255" spans="4:10" ht="12.75">
      <c r="D1255"/>
      <c r="E1255"/>
      <c r="F1255"/>
      <c r="H1255"/>
      <c r="I1255"/>
      <c r="J1255"/>
    </row>
    <row r="1256" spans="4:10" ht="12.75">
      <c r="D1256"/>
      <c r="E1256"/>
      <c r="F1256"/>
      <c r="H1256"/>
      <c r="I1256"/>
      <c r="J1256"/>
    </row>
    <row r="1257" spans="4:10" ht="12.75">
      <c r="D1257"/>
      <c r="E1257"/>
      <c r="F1257"/>
      <c r="H1257"/>
      <c r="I1257"/>
      <c r="J1257"/>
    </row>
    <row r="1258" spans="4:10" ht="12.75">
      <c r="D1258"/>
      <c r="E1258"/>
      <c r="F1258"/>
      <c r="H1258"/>
      <c r="I1258"/>
      <c r="J1258"/>
    </row>
    <row r="1259" spans="4:10" ht="12.75">
      <c r="D1259"/>
      <c r="E1259"/>
      <c r="F1259"/>
      <c r="H1259"/>
      <c r="I1259"/>
      <c r="J1259"/>
    </row>
    <row r="1260" spans="4:10" ht="12.75">
      <c r="D1260"/>
      <c r="E1260"/>
      <c r="F1260"/>
      <c r="H1260"/>
      <c r="I1260"/>
      <c r="J1260"/>
    </row>
    <row r="1261" spans="4:10" ht="12.75">
      <c r="D1261"/>
      <c r="E1261"/>
      <c r="F1261"/>
      <c r="H1261"/>
      <c r="I1261"/>
      <c r="J1261"/>
    </row>
    <row r="1262" spans="4:10" ht="12.75">
      <c r="D1262"/>
      <c r="E1262"/>
      <c r="F1262"/>
      <c r="H1262"/>
      <c r="I1262"/>
      <c r="J1262"/>
    </row>
    <row r="1263" spans="4:10" ht="12.75">
      <c r="D1263"/>
      <c r="E1263"/>
      <c r="F1263"/>
      <c r="H1263"/>
      <c r="I1263"/>
      <c r="J1263"/>
    </row>
    <row r="1264" spans="4:10" ht="12.75">
      <c r="D1264"/>
      <c r="E1264"/>
      <c r="F1264"/>
      <c r="H1264"/>
      <c r="I1264"/>
      <c r="J1264"/>
    </row>
    <row r="1265" spans="4:10" ht="12.75">
      <c r="D1265"/>
      <c r="E1265"/>
      <c r="F1265"/>
      <c r="H1265"/>
      <c r="I1265"/>
      <c r="J1265"/>
    </row>
    <row r="1266" spans="4:10" ht="12.75">
      <c r="D1266"/>
      <c r="E1266"/>
      <c r="F1266"/>
      <c r="H1266"/>
      <c r="I1266"/>
      <c r="J1266"/>
    </row>
    <row r="1267" spans="4:10" ht="12.75">
      <c r="D1267"/>
      <c r="E1267"/>
      <c r="F1267"/>
      <c r="H1267"/>
      <c r="I1267"/>
      <c r="J1267"/>
    </row>
    <row r="1268" spans="4:10" ht="12.75">
      <c r="D1268"/>
      <c r="E1268"/>
      <c r="F1268"/>
      <c r="H1268"/>
      <c r="I1268"/>
      <c r="J1268"/>
    </row>
    <row r="1269" spans="4:10" ht="12.75">
      <c r="D1269"/>
      <c r="E1269"/>
      <c r="F1269"/>
      <c r="H1269"/>
      <c r="I1269"/>
      <c r="J1269"/>
    </row>
    <row r="1270" spans="4:10" ht="12.75">
      <c r="D1270"/>
      <c r="E1270"/>
      <c r="F1270"/>
      <c r="H1270"/>
      <c r="I1270"/>
      <c r="J1270"/>
    </row>
    <row r="1271" spans="4:10" ht="12.75">
      <c r="D1271"/>
      <c r="E1271"/>
      <c r="F1271"/>
      <c r="H1271"/>
      <c r="I1271"/>
      <c r="J1271"/>
    </row>
    <row r="1272" spans="4:10" ht="12.75">
      <c r="D1272"/>
      <c r="E1272"/>
      <c r="F1272"/>
      <c r="H1272"/>
      <c r="I1272"/>
      <c r="J1272"/>
    </row>
    <row r="1273" spans="4:10" ht="12.75">
      <c r="D1273"/>
      <c r="E1273"/>
      <c r="F1273"/>
      <c r="H1273"/>
      <c r="I1273"/>
      <c r="J1273"/>
    </row>
    <row r="1274" spans="4:10" ht="12.75">
      <c r="D1274"/>
      <c r="E1274"/>
      <c r="F1274"/>
      <c r="H1274"/>
      <c r="I1274"/>
      <c r="J1274"/>
    </row>
    <row r="1275" spans="4:10" ht="12.75">
      <c r="D1275"/>
      <c r="E1275"/>
      <c r="F1275"/>
      <c r="H1275"/>
      <c r="I1275"/>
      <c r="J1275"/>
    </row>
    <row r="1276" spans="4:10" ht="12.75">
      <c r="D1276"/>
      <c r="E1276"/>
      <c r="F1276"/>
      <c r="H1276"/>
      <c r="I1276"/>
      <c r="J1276"/>
    </row>
    <row r="1277" spans="4:10" ht="12.75">
      <c r="D1277"/>
      <c r="E1277"/>
      <c r="F1277"/>
      <c r="H1277"/>
      <c r="I1277"/>
      <c r="J1277"/>
    </row>
    <row r="1278" spans="4:10" ht="12.75">
      <c r="D1278"/>
      <c r="E1278"/>
      <c r="F1278"/>
      <c r="H1278"/>
      <c r="I1278"/>
      <c r="J1278"/>
    </row>
    <row r="1279" spans="4:10" ht="12.75">
      <c r="D1279"/>
      <c r="E1279"/>
      <c r="F1279"/>
      <c r="H1279"/>
      <c r="I1279"/>
      <c r="J1279"/>
    </row>
    <row r="1280" spans="4:10" ht="12.75">
      <c r="D1280"/>
      <c r="E1280"/>
      <c r="F1280"/>
      <c r="H1280"/>
      <c r="I1280"/>
      <c r="J1280"/>
    </row>
    <row r="1281" spans="4:10" ht="12.75">
      <c r="D1281"/>
      <c r="E1281"/>
      <c r="F1281"/>
      <c r="H1281"/>
      <c r="I1281"/>
      <c r="J1281"/>
    </row>
    <row r="1282" spans="4:10" ht="12.75">
      <c r="D1282"/>
      <c r="E1282"/>
      <c r="F1282"/>
      <c r="H1282"/>
      <c r="I1282"/>
      <c r="J1282"/>
    </row>
    <row r="1283" spans="4:10" ht="12.75">
      <c r="D1283"/>
      <c r="E1283"/>
      <c r="F1283"/>
      <c r="H1283"/>
      <c r="I1283"/>
      <c r="J1283"/>
    </row>
    <row r="1284" spans="4:10" ht="12.75">
      <c r="D1284"/>
      <c r="E1284"/>
      <c r="F1284"/>
      <c r="H1284"/>
      <c r="I1284"/>
      <c r="J1284"/>
    </row>
    <row r="1285" spans="4:10" ht="12.75">
      <c r="D1285"/>
      <c r="E1285"/>
      <c r="F1285"/>
      <c r="H1285"/>
      <c r="I1285"/>
      <c r="J1285"/>
    </row>
    <row r="1286" spans="4:10" ht="12.75">
      <c r="D1286"/>
      <c r="E1286"/>
      <c r="F1286"/>
      <c r="H1286"/>
      <c r="I1286"/>
      <c r="J1286"/>
    </row>
    <row r="1287" spans="4:10" ht="12.75">
      <c r="D1287"/>
      <c r="E1287"/>
      <c r="F1287"/>
      <c r="H1287"/>
      <c r="I1287"/>
      <c r="J1287"/>
    </row>
    <row r="1288" spans="4:10" ht="12.75">
      <c r="D1288"/>
      <c r="E1288"/>
      <c r="F1288"/>
      <c r="H1288"/>
      <c r="I1288"/>
      <c r="J1288"/>
    </row>
    <row r="1289" spans="4:10" ht="12.75">
      <c r="D1289"/>
      <c r="E1289"/>
      <c r="F1289"/>
      <c r="H1289"/>
      <c r="I1289"/>
      <c r="J1289"/>
    </row>
    <row r="1290" spans="4:10" ht="12.75">
      <c r="D1290"/>
      <c r="E1290"/>
      <c r="F1290"/>
      <c r="H1290"/>
      <c r="I1290"/>
      <c r="J1290"/>
    </row>
    <row r="1291" spans="4:10" ht="12.75">
      <c r="D1291"/>
      <c r="E1291"/>
      <c r="F1291"/>
      <c r="H1291"/>
      <c r="I1291"/>
      <c r="J1291"/>
    </row>
    <row r="1292" spans="4:10" ht="12.75">
      <c r="D1292"/>
      <c r="E1292"/>
      <c r="F1292"/>
      <c r="H1292"/>
      <c r="I1292"/>
      <c r="J1292"/>
    </row>
    <row r="1293" spans="4:10" ht="12.75">
      <c r="D1293"/>
      <c r="E1293"/>
      <c r="F1293"/>
      <c r="H1293"/>
      <c r="I1293"/>
      <c r="J1293"/>
    </row>
    <row r="1294" spans="4:10" ht="12.75">
      <c r="D1294"/>
      <c r="E1294"/>
      <c r="F1294"/>
      <c r="H1294"/>
      <c r="I1294"/>
      <c r="J1294"/>
    </row>
    <row r="1295" spans="4:10" ht="12.75">
      <c r="D1295"/>
      <c r="E1295"/>
      <c r="F1295"/>
      <c r="H1295"/>
      <c r="I1295"/>
      <c r="J1295"/>
    </row>
    <row r="1296" spans="4:10" ht="12.75">
      <c r="D1296"/>
      <c r="E1296"/>
      <c r="F1296"/>
      <c r="H1296"/>
      <c r="I1296"/>
      <c r="J1296"/>
    </row>
    <row r="1297" spans="4:10" ht="12.75">
      <c r="D1297"/>
      <c r="E1297"/>
      <c r="F1297"/>
      <c r="H1297"/>
      <c r="I1297"/>
      <c r="J1297"/>
    </row>
    <row r="1298" spans="4:10" ht="12.75">
      <c r="D1298"/>
      <c r="E1298"/>
      <c r="F1298"/>
      <c r="H1298"/>
      <c r="I1298"/>
      <c r="J1298"/>
    </row>
    <row r="1299" spans="4:10" ht="12.75">
      <c r="D1299"/>
      <c r="E1299"/>
      <c r="F1299"/>
      <c r="H1299"/>
      <c r="I1299"/>
      <c r="J1299"/>
    </row>
    <row r="1300" spans="4:10" ht="12.75">
      <c r="D1300"/>
      <c r="E1300"/>
      <c r="F1300"/>
      <c r="H1300"/>
      <c r="I1300"/>
      <c r="J1300"/>
    </row>
    <row r="1301" spans="4:10" ht="12.75">
      <c r="D1301"/>
      <c r="E1301"/>
      <c r="F1301"/>
      <c r="H1301"/>
      <c r="I1301"/>
      <c r="J1301"/>
    </row>
    <row r="1302" spans="4:10" ht="12.75">
      <c r="D1302"/>
      <c r="E1302"/>
      <c r="F1302"/>
      <c r="H1302"/>
      <c r="I1302"/>
      <c r="J1302"/>
    </row>
    <row r="1303" spans="4:10" ht="12.75">
      <c r="D1303"/>
      <c r="E1303"/>
      <c r="F1303"/>
      <c r="H1303"/>
      <c r="I1303"/>
      <c r="J1303"/>
    </row>
    <row r="1304" spans="4:10" ht="12.75">
      <c r="D1304"/>
      <c r="E1304"/>
      <c r="F1304"/>
      <c r="H1304"/>
      <c r="I1304"/>
      <c r="J1304"/>
    </row>
    <row r="1305" spans="4:10" ht="12.75">
      <c r="D1305"/>
      <c r="E1305"/>
      <c r="F1305"/>
      <c r="H1305"/>
      <c r="I1305"/>
      <c r="J1305"/>
    </row>
    <row r="1306" spans="4:10" ht="12.75">
      <c r="D1306"/>
      <c r="E1306"/>
      <c r="F1306"/>
      <c r="H1306"/>
      <c r="I1306"/>
      <c r="J1306"/>
    </row>
    <row r="1307" spans="4:10" ht="12.75">
      <c r="D1307"/>
      <c r="E1307"/>
      <c r="F1307"/>
      <c r="H1307"/>
      <c r="I1307"/>
      <c r="J1307"/>
    </row>
    <row r="1308" spans="4:10" ht="12.75">
      <c r="D1308"/>
      <c r="E1308"/>
      <c r="F1308"/>
      <c r="H1308"/>
      <c r="I1308"/>
      <c r="J1308"/>
    </row>
    <row r="1309" spans="4:10" ht="12.75">
      <c r="D1309"/>
      <c r="E1309"/>
      <c r="F1309"/>
      <c r="H1309"/>
      <c r="I1309"/>
      <c r="J1309"/>
    </row>
    <row r="1310" spans="4:10" ht="12.75">
      <c r="D1310"/>
      <c r="E1310"/>
      <c r="F1310"/>
      <c r="H1310"/>
      <c r="I1310"/>
      <c r="J1310"/>
    </row>
    <row r="1311" spans="4:10" ht="12.75">
      <c r="D1311"/>
      <c r="E1311"/>
      <c r="F1311"/>
      <c r="H1311"/>
      <c r="I1311"/>
      <c r="J1311"/>
    </row>
    <row r="1312" spans="4:10" ht="12.75">
      <c r="D1312"/>
      <c r="E1312"/>
      <c r="F1312"/>
      <c r="H1312"/>
      <c r="I1312"/>
      <c r="J1312"/>
    </row>
    <row r="1313" spans="4:10" ht="12.75">
      <c r="D1313"/>
      <c r="E1313"/>
      <c r="F1313"/>
      <c r="H1313"/>
      <c r="I1313"/>
      <c r="J1313"/>
    </row>
    <row r="1314" spans="4:10" ht="12.75">
      <c r="D1314"/>
      <c r="E1314"/>
      <c r="F1314"/>
      <c r="H1314"/>
      <c r="I1314"/>
      <c r="J1314"/>
    </row>
    <row r="1315" spans="4:10" ht="12.75">
      <c r="D1315"/>
      <c r="E1315"/>
      <c r="F1315"/>
      <c r="H1315"/>
      <c r="I1315"/>
      <c r="J1315"/>
    </row>
    <row r="1316" spans="4:10" ht="12.75">
      <c r="D1316"/>
      <c r="E1316"/>
      <c r="F1316"/>
      <c r="H1316"/>
      <c r="I1316"/>
      <c r="J1316"/>
    </row>
    <row r="1317" spans="4:10" ht="12.75">
      <c r="D1317"/>
      <c r="E1317"/>
      <c r="F1317"/>
      <c r="H1317"/>
      <c r="I1317"/>
      <c r="J1317"/>
    </row>
    <row r="1318" spans="4:10" ht="12.75">
      <c r="D1318"/>
      <c r="E1318"/>
      <c r="F1318"/>
      <c r="H1318"/>
      <c r="I1318"/>
      <c r="J1318"/>
    </row>
    <row r="1319" spans="4:10" ht="12.75">
      <c r="D1319"/>
      <c r="E1319"/>
      <c r="F1319"/>
      <c r="H1319"/>
      <c r="I1319"/>
      <c r="J1319"/>
    </row>
    <row r="1320" spans="4:10" ht="12.75">
      <c r="D1320"/>
      <c r="E1320"/>
      <c r="F1320"/>
      <c r="H1320"/>
      <c r="I1320"/>
      <c r="J1320"/>
    </row>
    <row r="1321" spans="4:10" ht="12.75">
      <c r="D1321"/>
      <c r="E1321"/>
      <c r="F1321"/>
      <c r="H1321"/>
      <c r="I1321"/>
      <c r="J1321"/>
    </row>
    <row r="1322" spans="4:10" ht="12.75">
      <c r="D1322"/>
      <c r="E1322"/>
      <c r="F1322"/>
      <c r="H1322"/>
      <c r="I1322"/>
      <c r="J1322"/>
    </row>
    <row r="1323" spans="4:10" ht="12.75">
      <c r="D1323"/>
      <c r="E1323"/>
      <c r="F1323"/>
      <c r="H1323"/>
      <c r="I1323"/>
      <c r="J1323"/>
    </row>
    <row r="1324" spans="4:10" ht="12.75">
      <c r="D1324"/>
      <c r="E1324"/>
      <c r="F1324"/>
      <c r="H1324"/>
      <c r="I1324"/>
      <c r="J1324"/>
    </row>
    <row r="1325" spans="4:10" ht="12.75">
      <c r="D1325"/>
      <c r="E1325"/>
      <c r="F1325"/>
      <c r="H1325"/>
      <c r="I1325"/>
      <c r="J1325"/>
    </row>
    <row r="1326" spans="4:10" ht="12.75">
      <c r="D1326"/>
      <c r="E1326"/>
      <c r="F1326"/>
      <c r="H1326"/>
      <c r="I1326"/>
      <c r="J1326"/>
    </row>
    <row r="1327" spans="4:10" ht="12.75">
      <c r="D1327"/>
      <c r="E1327"/>
      <c r="F1327"/>
      <c r="H1327"/>
      <c r="I1327"/>
      <c r="J1327"/>
    </row>
    <row r="1328" spans="4:10" ht="12.75">
      <c r="D1328"/>
      <c r="E1328"/>
      <c r="F1328"/>
      <c r="H1328"/>
      <c r="I1328"/>
      <c r="J1328"/>
    </row>
    <row r="1329" spans="4:10" ht="12.75">
      <c r="D1329"/>
      <c r="E1329"/>
      <c r="F1329"/>
      <c r="H1329"/>
      <c r="I1329"/>
      <c r="J1329"/>
    </row>
    <row r="1330" spans="4:10" ht="12.75">
      <c r="D1330"/>
      <c r="E1330"/>
      <c r="F1330"/>
      <c r="H1330"/>
      <c r="I1330"/>
      <c r="J1330"/>
    </row>
    <row r="1331" spans="4:10" ht="12.75">
      <c r="D1331"/>
      <c r="E1331"/>
      <c r="F1331"/>
      <c r="H1331"/>
      <c r="I1331"/>
      <c r="J1331"/>
    </row>
    <row r="1332" spans="4:10" ht="12.75">
      <c r="D1332"/>
      <c r="E1332"/>
      <c r="F1332"/>
      <c r="H1332"/>
      <c r="I1332"/>
      <c r="J1332"/>
    </row>
    <row r="1333" spans="4:10" ht="12.75">
      <c r="D1333"/>
      <c r="E1333"/>
      <c r="F1333"/>
      <c r="H1333"/>
      <c r="I1333"/>
      <c r="J1333"/>
    </row>
    <row r="1334" spans="4:10" ht="12.75">
      <c r="D1334"/>
      <c r="E1334"/>
      <c r="F1334"/>
      <c r="H1334"/>
      <c r="I1334"/>
      <c r="J1334"/>
    </row>
    <row r="1335" spans="4:10" ht="12.75">
      <c r="D1335"/>
      <c r="E1335"/>
      <c r="F1335"/>
      <c r="H1335"/>
      <c r="I1335"/>
      <c r="J1335"/>
    </row>
    <row r="1336" spans="4:10" ht="12.75">
      <c r="D1336"/>
      <c r="E1336"/>
      <c r="F1336"/>
      <c r="H1336"/>
      <c r="I1336"/>
      <c r="J1336"/>
    </row>
    <row r="1337" spans="4:10" ht="12.75">
      <c r="D1337"/>
      <c r="E1337"/>
      <c r="F1337"/>
      <c r="H1337"/>
      <c r="I1337"/>
      <c r="J1337"/>
    </row>
    <row r="1338" spans="4:10" ht="12.75">
      <c r="D1338"/>
      <c r="E1338"/>
      <c r="F1338"/>
      <c r="H1338"/>
      <c r="I1338"/>
      <c r="J1338"/>
    </row>
    <row r="1339" spans="4:10" ht="12.75">
      <c r="D1339"/>
      <c r="E1339"/>
      <c r="F1339"/>
      <c r="H1339"/>
      <c r="I1339"/>
      <c r="J1339"/>
    </row>
    <row r="1340" spans="4:10" ht="12.75">
      <c r="D1340"/>
      <c r="E1340"/>
      <c r="F1340"/>
      <c r="H1340"/>
      <c r="I1340"/>
      <c r="J1340"/>
    </row>
    <row r="1341" spans="4:10" ht="12.75">
      <c r="D1341"/>
      <c r="E1341"/>
      <c r="F1341"/>
      <c r="H1341"/>
      <c r="I1341"/>
      <c r="J1341"/>
    </row>
    <row r="1342" spans="4:10" ht="12.75">
      <c r="D1342"/>
      <c r="E1342"/>
      <c r="F1342"/>
      <c r="H1342"/>
      <c r="I1342"/>
      <c r="J1342"/>
    </row>
    <row r="1343" spans="4:10" ht="12.75">
      <c r="D1343"/>
      <c r="E1343"/>
      <c r="F1343"/>
      <c r="H1343"/>
      <c r="I1343"/>
      <c r="J1343"/>
    </row>
    <row r="1344" spans="4:10" ht="12.75">
      <c r="D1344"/>
      <c r="E1344"/>
      <c r="F1344"/>
      <c r="H1344"/>
      <c r="I1344"/>
      <c r="J1344"/>
    </row>
    <row r="1345" spans="4:10" ht="12.75">
      <c r="D1345"/>
      <c r="E1345"/>
      <c r="F1345"/>
      <c r="H1345"/>
      <c r="I1345"/>
      <c r="J1345"/>
    </row>
    <row r="1346" spans="4:10" ht="12.75">
      <c r="D1346"/>
      <c r="E1346"/>
      <c r="F1346"/>
      <c r="H1346"/>
      <c r="I1346"/>
      <c r="J1346"/>
    </row>
    <row r="1347" spans="4:10" ht="12.75">
      <c r="D1347"/>
      <c r="E1347"/>
      <c r="F1347"/>
      <c r="H1347"/>
      <c r="I1347"/>
      <c r="J1347"/>
    </row>
    <row r="1348" spans="4:10" ht="12.75">
      <c r="D1348"/>
      <c r="E1348"/>
      <c r="F1348"/>
      <c r="H1348"/>
      <c r="I1348"/>
      <c r="J1348"/>
    </row>
    <row r="1349" spans="4:10" ht="12.75">
      <c r="D1349"/>
      <c r="E1349"/>
      <c r="F1349"/>
      <c r="H1349"/>
      <c r="I1349"/>
      <c r="J1349"/>
    </row>
    <row r="1350" spans="4:10" ht="12.75">
      <c r="D1350"/>
      <c r="E1350"/>
      <c r="F1350"/>
      <c r="H1350"/>
      <c r="I1350"/>
      <c r="J1350"/>
    </row>
    <row r="1351" spans="4:10" ht="12.75">
      <c r="D1351"/>
      <c r="E1351"/>
      <c r="F1351"/>
      <c r="H1351"/>
      <c r="I1351"/>
      <c r="J1351"/>
    </row>
    <row r="1352" spans="4:10" ht="12.75">
      <c r="D1352"/>
      <c r="E1352"/>
      <c r="F1352"/>
      <c r="H1352"/>
      <c r="I1352"/>
      <c r="J1352"/>
    </row>
    <row r="1353" spans="4:10" ht="12.75">
      <c r="D1353"/>
      <c r="E1353"/>
      <c r="F1353"/>
      <c r="H1353"/>
      <c r="I1353"/>
      <c r="J1353"/>
    </row>
    <row r="1354" spans="4:10" ht="12.75">
      <c r="D1354"/>
      <c r="E1354"/>
      <c r="F1354"/>
      <c r="H1354"/>
      <c r="I1354"/>
      <c r="J1354"/>
    </row>
    <row r="1355" spans="4:10" ht="12.75">
      <c r="D1355"/>
      <c r="E1355"/>
      <c r="F1355"/>
      <c r="H1355"/>
      <c r="I1355"/>
      <c r="J1355"/>
    </row>
    <row r="1356" spans="4:10" ht="12.75">
      <c r="D1356"/>
      <c r="E1356"/>
      <c r="F1356"/>
      <c r="H1356"/>
      <c r="I1356"/>
      <c r="J1356"/>
    </row>
    <row r="1357" spans="4:10" ht="12.75">
      <c r="D1357"/>
      <c r="E1357"/>
      <c r="F1357"/>
      <c r="H1357"/>
      <c r="I1357"/>
      <c r="J1357"/>
    </row>
    <row r="1358" spans="4:10" ht="12.75">
      <c r="D1358"/>
      <c r="E1358"/>
      <c r="F1358"/>
      <c r="H1358"/>
      <c r="I1358"/>
      <c r="J1358"/>
    </row>
    <row r="1359" spans="4:10" ht="12.75">
      <c r="D1359"/>
      <c r="E1359"/>
      <c r="F1359"/>
      <c r="H1359"/>
      <c r="I1359"/>
      <c r="J1359"/>
    </row>
    <row r="1360" spans="4:10" ht="12.75">
      <c r="D1360"/>
      <c r="E1360"/>
      <c r="F1360"/>
      <c r="H1360"/>
      <c r="I1360"/>
      <c r="J1360"/>
    </row>
    <row r="1361" spans="4:10" ht="12.75">
      <c r="D1361"/>
      <c r="E1361"/>
      <c r="F1361"/>
      <c r="H1361"/>
      <c r="I1361"/>
      <c r="J1361"/>
    </row>
  </sheetData>
  <printOptions/>
  <pageMargins left="0.7874015748031497" right="0.7874015748031497" top="0.7874015748031497" bottom="0.7874015748031497" header="0.5118110236220472" footer="0.5118110236220472"/>
  <pageSetup fitToHeight="3" orientation="landscape" paperSize="9" scale="60" r:id="rId1"/>
  <headerFooter alignWithMargins="0">
    <oddFooter>&amp;C&amp;"Arial,Grassetto"Cespiti al 31/12/2005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2"/>
  <sheetViews>
    <sheetView zoomScale="85" zoomScaleNormal="85" workbookViewId="0" topLeftCell="A1">
      <pane xSplit="1" ySplit="1" topLeftCell="B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9" sqref="B59"/>
    </sheetView>
  </sheetViews>
  <sheetFormatPr defaultColWidth="9.140625" defaultRowHeight="12.75"/>
  <cols>
    <col min="1" max="1" width="42.8515625" style="0" customWidth="1"/>
    <col min="2" max="2" width="15.7109375" style="0" customWidth="1"/>
    <col min="3" max="3" width="6.57421875" style="0" customWidth="1"/>
    <col min="4" max="4" width="17.7109375" style="31" customWidth="1"/>
    <col min="5" max="5" width="19.00390625" style="31" customWidth="1"/>
    <col min="6" max="6" width="17.421875" style="31" customWidth="1"/>
    <col min="7" max="7" width="7.8515625" style="0" customWidth="1"/>
    <col min="8" max="10" width="16.421875" style="31" customWidth="1"/>
    <col min="11" max="11" width="21.8515625" style="0" customWidth="1"/>
  </cols>
  <sheetData>
    <row r="1" spans="1:11" ht="36.75" customHeight="1">
      <c r="A1" s="27" t="s">
        <v>0</v>
      </c>
      <c r="B1" s="22"/>
      <c r="C1" s="134" t="s">
        <v>3</v>
      </c>
      <c r="D1" s="133" t="s">
        <v>57</v>
      </c>
      <c r="E1" s="133" t="s">
        <v>54</v>
      </c>
      <c r="F1" s="133" t="s">
        <v>399</v>
      </c>
      <c r="G1" s="134" t="s">
        <v>21</v>
      </c>
      <c r="H1" s="133" t="s">
        <v>56</v>
      </c>
      <c r="I1" s="133" t="s">
        <v>64</v>
      </c>
      <c r="J1" s="133" t="s">
        <v>65</v>
      </c>
      <c r="K1" s="134" t="s">
        <v>55</v>
      </c>
    </row>
    <row r="2" ht="25.5" customHeight="1"/>
    <row r="3" spans="1:7" ht="18.75">
      <c r="A3" s="23"/>
      <c r="D3" s="14"/>
      <c r="E3" s="32"/>
      <c r="F3" s="32"/>
      <c r="G3" s="16"/>
    </row>
    <row r="4" ht="16.5" customHeight="1"/>
    <row r="5" spans="1:11" ht="24" customHeight="1">
      <c r="A5" s="1" t="s">
        <v>125</v>
      </c>
      <c r="B5" s="8"/>
      <c r="C5" s="8"/>
      <c r="D5" s="11"/>
      <c r="E5" s="11"/>
      <c r="F5" s="11"/>
      <c r="G5" s="10"/>
      <c r="H5" s="11"/>
      <c r="I5" s="11"/>
      <c r="J5" s="11"/>
      <c r="K5" s="12"/>
    </row>
    <row r="6" spans="1:11" ht="16.5" customHeight="1">
      <c r="A6" s="4"/>
      <c r="K6" s="3"/>
    </row>
    <row r="7" spans="1:11" ht="12.75">
      <c r="A7" s="18" t="s">
        <v>61</v>
      </c>
      <c r="G7" s="63"/>
      <c r="K7" s="3"/>
    </row>
    <row r="8" spans="1:11" ht="12.75">
      <c r="A8" s="18"/>
      <c r="G8" s="63"/>
      <c r="K8" s="3"/>
    </row>
    <row r="9" spans="1:11" ht="12.75">
      <c r="A9" s="19" t="s">
        <v>23</v>
      </c>
      <c r="B9" t="s">
        <v>24</v>
      </c>
      <c r="C9">
        <v>1996</v>
      </c>
      <c r="D9" s="91">
        <f>391510/1936.27</f>
        <v>202.19804056252485</v>
      </c>
      <c r="E9" s="31">
        <v>0</v>
      </c>
      <c r="F9" s="91">
        <f aca="true" t="shared" si="0" ref="F9:F27">+D9+E9</f>
        <v>202.19804056252485</v>
      </c>
      <c r="G9" s="63">
        <v>6</v>
      </c>
      <c r="H9" s="91">
        <f aca="true" t="shared" si="1" ref="H9:H47">F9*G9/100</f>
        <v>12.13188243375149</v>
      </c>
      <c r="I9" s="91">
        <f>90.99+12.13+12.13</f>
        <v>115.24999999999999</v>
      </c>
      <c r="J9" s="91">
        <f aca="true" t="shared" si="2" ref="J9:J47">+H9+I9</f>
        <v>127.38188243375147</v>
      </c>
      <c r="K9" s="87">
        <f aca="true" t="shared" si="3" ref="K9:K47">+F9-J9</f>
        <v>74.81615812877338</v>
      </c>
    </row>
    <row r="10" spans="1:11" ht="12.75">
      <c r="A10" s="19" t="s">
        <v>25</v>
      </c>
      <c r="C10">
        <v>1996</v>
      </c>
      <c r="D10" s="91">
        <f>2002000/1936.27</f>
        <v>1033.946711977152</v>
      </c>
      <c r="E10" s="31">
        <v>0</v>
      </c>
      <c r="F10" s="91">
        <f t="shared" si="0"/>
        <v>1033.946711977152</v>
      </c>
      <c r="G10" s="63">
        <v>6</v>
      </c>
      <c r="H10" s="91">
        <f t="shared" si="1"/>
        <v>62.036802718629126</v>
      </c>
      <c r="I10" s="91">
        <f>465.27+62.04+62.04</f>
        <v>589.3499999999999</v>
      </c>
      <c r="J10" s="91">
        <f t="shared" si="2"/>
        <v>651.386802718629</v>
      </c>
      <c r="K10" s="87">
        <f t="shared" si="3"/>
        <v>382.559909258523</v>
      </c>
    </row>
    <row r="11" spans="1:11" ht="12.75">
      <c r="A11" s="19" t="s">
        <v>26</v>
      </c>
      <c r="C11">
        <v>1996</v>
      </c>
      <c r="D11" s="91">
        <f>397341/1936.27</f>
        <v>205.20950074111565</v>
      </c>
      <c r="E11" s="31">
        <v>0</v>
      </c>
      <c r="F11" s="91">
        <f t="shared" si="0"/>
        <v>205.20950074111565</v>
      </c>
      <c r="G11" s="63">
        <v>6</v>
      </c>
      <c r="H11" s="91">
        <f t="shared" si="1"/>
        <v>12.312570044466938</v>
      </c>
      <c r="I11" s="91">
        <f>92.34+12.31+12.31</f>
        <v>116.96000000000001</v>
      </c>
      <c r="J11" s="91">
        <f t="shared" si="2"/>
        <v>129.27257004446693</v>
      </c>
      <c r="K11" s="87">
        <f t="shared" si="3"/>
        <v>75.93693069664872</v>
      </c>
    </row>
    <row r="12" spans="1:11" ht="12.75">
      <c r="A12" s="19" t="s">
        <v>27</v>
      </c>
      <c r="C12">
        <v>1996</v>
      </c>
      <c r="D12" s="91">
        <f>3415300/1936.27</f>
        <v>1763.8552474603232</v>
      </c>
      <c r="E12" s="31">
        <v>0</v>
      </c>
      <c r="F12" s="91">
        <f t="shared" si="0"/>
        <v>1763.8552474603232</v>
      </c>
      <c r="G12" s="63">
        <v>6</v>
      </c>
      <c r="H12" s="91">
        <f t="shared" si="1"/>
        <v>105.8313148476194</v>
      </c>
      <c r="I12" s="91">
        <f>793.74+105.83+105.83</f>
        <v>1005.4000000000001</v>
      </c>
      <c r="J12" s="91">
        <f t="shared" si="2"/>
        <v>1111.2313148476194</v>
      </c>
      <c r="K12" s="87">
        <f t="shared" si="3"/>
        <v>652.6239326127038</v>
      </c>
    </row>
    <row r="13" spans="1:11" ht="12.75">
      <c r="A13" s="19" t="s">
        <v>28</v>
      </c>
      <c r="C13">
        <v>1996</v>
      </c>
      <c r="D13" s="91">
        <f>1216180/1936.27</f>
        <v>628.1045515346517</v>
      </c>
      <c r="E13" s="31">
        <v>0</v>
      </c>
      <c r="F13" s="91">
        <f t="shared" si="0"/>
        <v>628.1045515346517</v>
      </c>
      <c r="G13" s="63">
        <v>6</v>
      </c>
      <c r="H13" s="91">
        <f t="shared" si="1"/>
        <v>37.6862730920791</v>
      </c>
      <c r="I13" s="91">
        <f>282.65+37.69+37.69</f>
        <v>358.03</v>
      </c>
      <c r="J13" s="91">
        <f t="shared" si="2"/>
        <v>395.71627309207906</v>
      </c>
      <c r="K13" s="87">
        <f t="shared" si="3"/>
        <v>232.38827844257264</v>
      </c>
    </row>
    <row r="14" spans="1:11" ht="12.75">
      <c r="A14" s="19" t="s">
        <v>29</v>
      </c>
      <c r="C14">
        <v>1996</v>
      </c>
      <c r="D14" s="91">
        <f>1349460/1936.27</f>
        <v>696.9379270452985</v>
      </c>
      <c r="E14" s="31">
        <v>0</v>
      </c>
      <c r="F14" s="91">
        <f t="shared" si="0"/>
        <v>696.9379270452985</v>
      </c>
      <c r="G14" s="63">
        <v>6</v>
      </c>
      <c r="H14" s="91">
        <f t="shared" si="1"/>
        <v>41.81627562271791</v>
      </c>
      <c r="I14" s="91">
        <f>313.62+41.82+41.82</f>
        <v>397.26</v>
      </c>
      <c r="J14" s="91">
        <f t="shared" si="2"/>
        <v>439.0762756227179</v>
      </c>
      <c r="K14" s="87">
        <f t="shared" si="3"/>
        <v>257.86165142258056</v>
      </c>
    </row>
    <row r="15" spans="1:11" ht="12.75">
      <c r="A15" s="19" t="s">
        <v>30</v>
      </c>
      <c r="C15">
        <v>1996</v>
      </c>
      <c r="D15" s="91">
        <f>463148/1936.27</f>
        <v>239.1959798994975</v>
      </c>
      <c r="E15" s="31">
        <v>0</v>
      </c>
      <c r="F15" s="91">
        <f t="shared" si="0"/>
        <v>239.1959798994975</v>
      </c>
      <c r="G15" s="63">
        <v>6</v>
      </c>
      <c r="H15" s="91">
        <f t="shared" si="1"/>
        <v>14.35175879396985</v>
      </c>
      <c r="I15" s="91">
        <f>107.64+14.35+14.35</f>
        <v>136.34</v>
      </c>
      <c r="J15" s="91">
        <f t="shared" si="2"/>
        <v>150.69175879396985</v>
      </c>
      <c r="K15" s="87">
        <f t="shared" si="3"/>
        <v>88.50422110552765</v>
      </c>
    </row>
    <row r="16" spans="1:11" ht="12.75">
      <c r="A16" s="19" t="s">
        <v>31</v>
      </c>
      <c r="C16">
        <v>1996</v>
      </c>
      <c r="D16" s="91">
        <f>382347/1936.27</f>
        <v>197.4657459961679</v>
      </c>
      <c r="E16" s="31">
        <v>0</v>
      </c>
      <c r="F16" s="91">
        <f t="shared" si="0"/>
        <v>197.4657459961679</v>
      </c>
      <c r="G16" s="63">
        <v>6</v>
      </c>
      <c r="H16" s="91">
        <f t="shared" si="1"/>
        <v>11.847944759770073</v>
      </c>
      <c r="I16" s="91">
        <f>88.86+11.85+11.85</f>
        <v>112.55999999999999</v>
      </c>
      <c r="J16" s="91">
        <f t="shared" si="2"/>
        <v>124.40794475977006</v>
      </c>
      <c r="K16" s="87">
        <f t="shared" si="3"/>
        <v>73.05780123639784</v>
      </c>
    </row>
    <row r="17" spans="1:11" ht="12.75">
      <c r="A17" s="19" t="s">
        <v>32</v>
      </c>
      <c r="C17">
        <v>1996</v>
      </c>
      <c r="D17" s="91">
        <f>4689790/1936.27</f>
        <v>2422.074400780883</v>
      </c>
      <c r="E17" s="31">
        <v>0</v>
      </c>
      <c r="F17" s="91">
        <f t="shared" si="0"/>
        <v>2422.074400780883</v>
      </c>
      <c r="G17" s="63">
        <v>6</v>
      </c>
      <c r="H17" s="91">
        <f>(F17*G17/100)-111.01</f>
        <v>34.31446404685299</v>
      </c>
      <c r="I17" s="91">
        <f>1089.93+145.32+145.32</f>
        <v>1380.57</v>
      </c>
      <c r="J17" s="91">
        <v>1414.87</v>
      </c>
      <c r="K17" s="87">
        <f t="shared" si="3"/>
        <v>1007.2044007808831</v>
      </c>
    </row>
    <row r="18" spans="1:11" ht="12.75">
      <c r="A18" s="19" t="s">
        <v>33</v>
      </c>
      <c r="C18">
        <v>1996</v>
      </c>
      <c r="D18" s="91">
        <f>2149140/1936.27</f>
        <v>1109.938180109179</v>
      </c>
      <c r="E18" s="31">
        <v>0</v>
      </c>
      <c r="F18" s="91">
        <f t="shared" si="0"/>
        <v>1109.938180109179</v>
      </c>
      <c r="G18" s="63">
        <v>6</v>
      </c>
      <c r="H18" s="91">
        <f t="shared" si="1"/>
        <v>66.59629080655074</v>
      </c>
      <c r="I18" s="91">
        <f>499.47+66.6+66.6</f>
        <v>632.6700000000001</v>
      </c>
      <c r="J18" s="91">
        <f t="shared" si="2"/>
        <v>699.2662908065508</v>
      </c>
      <c r="K18" s="87">
        <f t="shared" si="3"/>
        <v>410.6718893026282</v>
      </c>
    </row>
    <row r="19" spans="1:11" ht="12.75">
      <c r="A19" s="19" t="s">
        <v>34</v>
      </c>
      <c r="C19">
        <v>1997</v>
      </c>
      <c r="D19" s="91">
        <f>4094553/1936.27</f>
        <v>2114.6601455375544</v>
      </c>
      <c r="E19" s="31">
        <v>0</v>
      </c>
      <c r="F19" s="91">
        <f t="shared" si="0"/>
        <v>2114.6601455375544</v>
      </c>
      <c r="G19" s="63">
        <v>6</v>
      </c>
      <c r="H19" s="91">
        <f t="shared" si="1"/>
        <v>126.87960873225326</v>
      </c>
      <c r="I19" s="91">
        <f>951.6+126.88+126.88</f>
        <v>1205.3600000000001</v>
      </c>
      <c r="J19" s="91">
        <f t="shared" si="2"/>
        <v>1332.2396087322534</v>
      </c>
      <c r="K19" s="87">
        <f t="shared" si="3"/>
        <v>782.420536805301</v>
      </c>
    </row>
    <row r="20" spans="1:11" ht="12.75">
      <c r="A20" s="19" t="s">
        <v>35</v>
      </c>
      <c r="C20">
        <v>1997</v>
      </c>
      <c r="D20" s="91">
        <f>393473/1936.27</f>
        <v>203.21184545543753</v>
      </c>
      <c r="E20" s="31">
        <v>0</v>
      </c>
      <c r="F20" s="91">
        <f t="shared" si="0"/>
        <v>203.21184545543753</v>
      </c>
      <c r="G20" s="63">
        <v>6</v>
      </c>
      <c r="H20" s="93">
        <f t="shared" si="1"/>
        <v>12.192710727326252</v>
      </c>
      <c r="I20" s="91">
        <f>91.46+12.2+12.2</f>
        <v>115.86</v>
      </c>
      <c r="J20" s="91">
        <f t="shared" si="2"/>
        <v>128.05271072732626</v>
      </c>
      <c r="K20" s="87">
        <f t="shared" si="3"/>
        <v>75.15913472811127</v>
      </c>
    </row>
    <row r="21" spans="1:11" ht="12.75">
      <c r="A21" s="19" t="s">
        <v>36</v>
      </c>
      <c r="C21">
        <v>1997</v>
      </c>
      <c r="D21" s="91">
        <f>2346680/1936.27</f>
        <v>1211.9590759553162</v>
      </c>
      <c r="E21" s="31">
        <v>0</v>
      </c>
      <c r="F21" s="91">
        <f t="shared" si="0"/>
        <v>1211.9590759553162</v>
      </c>
      <c r="G21" s="63">
        <v>6</v>
      </c>
      <c r="H21" s="91">
        <f t="shared" si="1"/>
        <v>72.71754455731897</v>
      </c>
      <c r="I21" s="91">
        <f>545.38+72.72+72.72</f>
        <v>690.82</v>
      </c>
      <c r="J21" s="91">
        <f t="shared" si="2"/>
        <v>763.537544557319</v>
      </c>
      <c r="K21" s="87">
        <f t="shared" si="3"/>
        <v>448.4215313979971</v>
      </c>
    </row>
    <row r="22" spans="1:11" ht="12.75">
      <c r="A22" s="19" t="s">
        <v>37</v>
      </c>
      <c r="C22">
        <v>1997</v>
      </c>
      <c r="D22" s="91">
        <f>441014/1936.27</f>
        <v>227.7647228950508</v>
      </c>
      <c r="E22" s="31">
        <v>0</v>
      </c>
      <c r="F22" s="91">
        <f t="shared" si="0"/>
        <v>227.7647228950508</v>
      </c>
      <c r="G22" s="63">
        <v>6</v>
      </c>
      <c r="H22" s="91">
        <f t="shared" si="1"/>
        <v>13.665883373703048</v>
      </c>
      <c r="I22" s="91">
        <f>102.49+13.67+13.67</f>
        <v>129.82999999999998</v>
      </c>
      <c r="J22" s="91">
        <f t="shared" si="2"/>
        <v>143.49588337370304</v>
      </c>
      <c r="K22" s="87">
        <f t="shared" si="3"/>
        <v>84.26883952134776</v>
      </c>
    </row>
    <row r="23" spans="1:11" ht="12.75">
      <c r="A23" s="19" t="s">
        <v>38</v>
      </c>
      <c r="C23">
        <v>1997</v>
      </c>
      <c r="D23" s="91">
        <f>650394/1936.27</f>
        <v>335.9004684264075</v>
      </c>
      <c r="E23" s="31">
        <v>0</v>
      </c>
      <c r="F23" s="91">
        <f t="shared" si="0"/>
        <v>335.9004684264075</v>
      </c>
      <c r="G23" s="63">
        <v>6</v>
      </c>
      <c r="H23" s="91">
        <f t="shared" si="1"/>
        <v>20.154028105584448</v>
      </c>
      <c r="I23" s="91">
        <f>151.16+20.15+20.15</f>
        <v>191.46</v>
      </c>
      <c r="J23" s="91">
        <f t="shared" si="2"/>
        <v>211.61402810558445</v>
      </c>
      <c r="K23" s="87">
        <f t="shared" si="3"/>
        <v>124.28644032082303</v>
      </c>
    </row>
    <row r="24" spans="1:11" ht="12.75">
      <c r="A24" s="19" t="s">
        <v>39</v>
      </c>
      <c r="C24">
        <v>1996</v>
      </c>
      <c r="D24" s="91">
        <f>749700/1936.27</f>
        <v>387.18773724738804</v>
      </c>
      <c r="E24" s="31">
        <v>0</v>
      </c>
      <c r="F24" s="91">
        <f t="shared" si="0"/>
        <v>387.18773724738804</v>
      </c>
      <c r="G24" s="63">
        <v>6</v>
      </c>
      <c r="H24" s="91">
        <f t="shared" si="1"/>
        <v>23.231264234843284</v>
      </c>
      <c r="I24" s="91">
        <f>174.24+23.23+23.23</f>
        <v>220.7</v>
      </c>
      <c r="J24" s="91">
        <f t="shared" si="2"/>
        <v>243.93126423484327</v>
      </c>
      <c r="K24" s="87">
        <f t="shared" si="3"/>
        <v>143.25647301254477</v>
      </c>
    </row>
    <row r="25" spans="1:11" ht="12.75">
      <c r="A25" s="19" t="s">
        <v>40</v>
      </c>
      <c r="C25">
        <v>1996</v>
      </c>
      <c r="D25" s="91">
        <f>175000/1936.27</f>
        <v>90.37995734066014</v>
      </c>
      <c r="E25" s="31">
        <v>0</v>
      </c>
      <c r="F25" s="91">
        <f t="shared" si="0"/>
        <v>90.37995734066014</v>
      </c>
      <c r="G25" s="63">
        <v>6</v>
      </c>
      <c r="H25" s="91">
        <f t="shared" si="1"/>
        <v>5.422797440439608</v>
      </c>
      <c r="I25" s="91">
        <f>40.67+5.42+5.42</f>
        <v>51.510000000000005</v>
      </c>
      <c r="J25" s="91">
        <f t="shared" si="2"/>
        <v>56.932797440439614</v>
      </c>
      <c r="K25" s="87">
        <f t="shared" si="3"/>
        <v>33.44715990022053</v>
      </c>
    </row>
    <row r="26" spans="1:11" ht="12.75">
      <c r="A26" s="19" t="s">
        <v>52</v>
      </c>
      <c r="C26">
        <v>1996</v>
      </c>
      <c r="D26" s="91">
        <f>1005431/1936.27</f>
        <v>519.2617765084415</v>
      </c>
      <c r="E26" s="31">
        <v>0</v>
      </c>
      <c r="F26" s="91">
        <f t="shared" si="0"/>
        <v>519.2617765084415</v>
      </c>
      <c r="G26" s="63">
        <v>6</v>
      </c>
      <c r="H26" s="91">
        <f t="shared" si="1"/>
        <v>31.155706590506487</v>
      </c>
      <c r="I26" s="91">
        <f>186.93+31.16+31.16</f>
        <v>249.25</v>
      </c>
      <c r="J26" s="91">
        <f t="shared" si="2"/>
        <v>280.4057065905065</v>
      </c>
      <c r="K26" s="87">
        <f t="shared" si="3"/>
        <v>238.85606991793497</v>
      </c>
    </row>
    <row r="27" spans="1:11" ht="12.75">
      <c r="A27" s="19" t="s">
        <v>53</v>
      </c>
      <c r="C27">
        <v>1996</v>
      </c>
      <c r="D27" s="91">
        <f>761362/1936.27</f>
        <v>393.21065760456963</v>
      </c>
      <c r="E27" s="31">
        <v>0</v>
      </c>
      <c r="F27" s="91">
        <f t="shared" si="0"/>
        <v>393.21065760456963</v>
      </c>
      <c r="G27" s="63">
        <v>6</v>
      </c>
      <c r="H27" s="91">
        <f t="shared" si="1"/>
        <v>23.592639456274178</v>
      </c>
      <c r="I27" s="91">
        <f>141.56+23.59+23.59</f>
        <v>188.74</v>
      </c>
      <c r="J27" s="91">
        <f t="shared" si="2"/>
        <v>212.3326394562742</v>
      </c>
      <c r="K27" s="87">
        <f t="shared" si="3"/>
        <v>180.87801814829544</v>
      </c>
    </row>
    <row r="28" spans="1:11" s="63" customFormat="1" ht="12.75">
      <c r="A28" s="76" t="s">
        <v>87</v>
      </c>
      <c r="B28" s="113" t="s">
        <v>68</v>
      </c>
      <c r="C28" s="63">
        <v>1999</v>
      </c>
      <c r="D28" s="109">
        <f>714720/1936.27</f>
        <v>369.1220749172378</v>
      </c>
      <c r="E28" s="109">
        <v>0</v>
      </c>
      <c r="F28" s="109">
        <f>+D28+E28</f>
        <v>369.1220749172378</v>
      </c>
      <c r="G28" s="71">
        <v>6</v>
      </c>
      <c r="H28" s="109">
        <f>F28*G28/100</f>
        <v>22.14732449503427</v>
      </c>
      <c r="I28" s="109">
        <f>110.73+22.15+22.15+22.15</f>
        <v>177.18</v>
      </c>
      <c r="J28" s="109">
        <f>+H28+I28</f>
        <v>199.32732449503428</v>
      </c>
      <c r="K28" s="112">
        <f>+F28-J28</f>
        <v>169.79475042220352</v>
      </c>
    </row>
    <row r="29" spans="1:11" s="63" customFormat="1" ht="12.75">
      <c r="A29" s="76" t="s">
        <v>145</v>
      </c>
      <c r="B29" s="113" t="s">
        <v>68</v>
      </c>
      <c r="C29" s="63">
        <v>2000</v>
      </c>
      <c r="D29" s="109">
        <f>432000/1936.27</f>
        <v>223.10938040665818</v>
      </c>
      <c r="E29" s="109">
        <v>0</v>
      </c>
      <c r="F29" s="109">
        <f aca="true" t="shared" si="4" ref="F29:F34">+D29+E29</f>
        <v>223.10938040665818</v>
      </c>
      <c r="G29" s="71">
        <v>6</v>
      </c>
      <c r="H29" s="109">
        <f>F29*G29/100</f>
        <v>13.38656282439949</v>
      </c>
      <c r="I29" s="109">
        <f>40.16+13.39+13.39+13.39</f>
        <v>80.33</v>
      </c>
      <c r="J29" s="109">
        <f aca="true" t="shared" si="5" ref="J29:J35">+H29+I29</f>
        <v>93.71656282439949</v>
      </c>
      <c r="K29" s="112">
        <f aca="true" t="shared" si="6" ref="K29:K35">+F29-J29</f>
        <v>129.3928175822587</v>
      </c>
    </row>
    <row r="30" spans="1:11" s="63" customFormat="1" ht="12.75">
      <c r="A30" s="76" t="s">
        <v>147</v>
      </c>
      <c r="B30" s="113" t="s">
        <v>68</v>
      </c>
      <c r="C30" s="63">
        <v>2000</v>
      </c>
      <c r="D30" s="109">
        <f>1732050/1936.27</f>
        <v>894.5291720679451</v>
      </c>
      <c r="E30" s="109">
        <v>0</v>
      </c>
      <c r="F30" s="109">
        <f t="shared" si="4"/>
        <v>894.5291720679451</v>
      </c>
      <c r="G30" s="71">
        <v>6</v>
      </c>
      <c r="H30" s="109">
        <f>(F30*G30/100)-22.59</f>
        <v>31.081750324076705</v>
      </c>
      <c r="I30" s="109">
        <f>161.01+53.67+31.08+31.08</f>
        <v>276.84</v>
      </c>
      <c r="J30" s="109">
        <f t="shared" si="5"/>
        <v>307.9217503240767</v>
      </c>
      <c r="K30" s="112">
        <f t="shared" si="6"/>
        <v>586.6074217438684</v>
      </c>
    </row>
    <row r="31" spans="1:11" s="63" customFormat="1" ht="12.75">
      <c r="A31" s="76" t="s">
        <v>148</v>
      </c>
      <c r="B31" s="113" t="s">
        <v>149</v>
      </c>
      <c r="C31" s="63">
        <v>2000</v>
      </c>
      <c r="D31" s="109">
        <f>622000/1936.27</f>
        <v>321.2361912336606</v>
      </c>
      <c r="E31" s="109">
        <v>0</v>
      </c>
      <c r="F31" s="109">
        <f t="shared" si="4"/>
        <v>321.2361912336606</v>
      </c>
      <c r="G31" s="71">
        <v>6</v>
      </c>
      <c r="H31" s="109">
        <f>F31*G31/100</f>
        <v>19.274171474019635</v>
      </c>
      <c r="I31" s="109">
        <f>57.82+19.27+19.27+19.27</f>
        <v>115.63</v>
      </c>
      <c r="J31" s="109">
        <f t="shared" si="5"/>
        <v>134.90417147401962</v>
      </c>
      <c r="K31" s="112">
        <f t="shared" si="6"/>
        <v>186.33201975964096</v>
      </c>
    </row>
    <row r="32" spans="1:11" s="63" customFormat="1" ht="12.75">
      <c r="A32" s="76" t="s">
        <v>150</v>
      </c>
      <c r="B32" s="113" t="s">
        <v>68</v>
      </c>
      <c r="C32" s="63">
        <v>2000</v>
      </c>
      <c r="D32" s="109">
        <f>237000/1936.27</f>
        <v>122.40028508420829</v>
      </c>
      <c r="E32" s="109">
        <v>0</v>
      </c>
      <c r="F32" s="109">
        <f t="shared" si="4"/>
        <v>122.40028508420829</v>
      </c>
      <c r="G32" s="71">
        <v>6</v>
      </c>
      <c r="H32" s="109">
        <f>F32*G32/100</f>
        <v>7.344017105052497</v>
      </c>
      <c r="I32" s="109">
        <f>22.03+7.34+7.34+7.34</f>
        <v>44.05</v>
      </c>
      <c r="J32" s="109">
        <f t="shared" si="5"/>
        <v>51.3940171050525</v>
      </c>
      <c r="K32" s="112">
        <f t="shared" si="6"/>
        <v>71.0062679791558</v>
      </c>
    </row>
    <row r="33" spans="1:11" s="63" customFormat="1" ht="12.75">
      <c r="A33" s="76" t="s">
        <v>168</v>
      </c>
      <c r="B33" s="113" t="s">
        <v>99</v>
      </c>
      <c r="C33" s="63">
        <v>2001</v>
      </c>
      <c r="D33" s="109">
        <v>518.01</v>
      </c>
      <c r="E33" s="109">
        <v>0</v>
      </c>
      <c r="F33" s="109">
        <f t="shared" si="4"/>
        <v>518.01</v>
      </c>
      <c r="G33" s="71">
        <v>6</v>
      </c>
      <c r="H33" s="109">
        <f>F33*G33/100</f>
        <v>31.0806</v>
      </c>
      <c r="I33" s="109">
        <f>31.08+31.08+31.08+31.08</f>
        <v>124.32</v>
      </c>
      <c r="J33" s="109">
        <f t="shared" si="5"/>
        <v>155.4006</v>
      </c>
      <c r="K33" s="112">
        <f t="shared" si="6"/>
        <v>362.6094</v>
      </c>
    </row>
    <row r="34" spans="1:11" s="63" customFormat="1" ht="12.75">
      <c r="A34" s="76" t="s">
        <v>169</v>
      </c>
      <c r="B34" s="113" t="s">
        <v>170</v>
      </c>
      <c r="C34" s="63">
        <v>2001</v>
      </c>
      <c r="D34" s="109">
        <v>515.63</v>
      </c>
      <c r="E34" s="109">
        <v>0</v>
      </c>
      <c r="F34" s="109">
        <f t="shared" si="4"/>
        <v>515.63</v>
      </c>
      <c r="G34" s="71">
        <v>6</v>
      </c>
      <c r="H34" s="109">
        <f>F34*G34/100</f>
        <v>30.937799999999996</v>
      </c>
      <c r="I34" s="109">
        <f>30.94+30.94+30.94+30.94</f>
        <v>123.76</v>
      </c>
      <c r="J34" s="109">
        <f t="shared" si="5"/>
        <v>154.6978</v>
      </c>
      <c r="K34" s="112">
        <f t="shared" si="6"/>
        <v>360.93219999999997</v>
      </c>
    </row>
    <row r="35" spans="1:11" s="63" customFormat="1" ht="12.75">
      <c r="A35" s="76" t="s">
        <v>251</v>
      </c>
      <c r="B35" s="113" t="s">
        <v>91</v>
      </c>
      <c r="C35" s="63">
        <v>2003</v>
      </c>
      <c r="D35" s="109">
        <v>145.83</v>
      </c>
      <c r="E35" s="109">
        <v>0</v>
      </c>
      <c r="F35" s="109">
        <v>145.83</v>
      </c>
      <c r="G35" s="71">
        <v>6</v>
      </c>
      <c r="H35" s="109">
        <f>F35*G35/100</f>
        <v>8.7498</v>
      </c>
      <c r="I35" s="109">
        <f>8.75+8.75</f>
        <v>17.5</v>
      </c>
      <c r="J35" s="109">
        <f t="shared" si="5"/>
        <v>26.2498</v>
      </c>
      <c r="K35" s="112">
        <f t="shared" si="6"/>
        <v>119.58020000000002</v>
      </c>
    </row>
    <row r="36" spans="1:11" s="73" customFormat="1" ht="12.75">
      <c r="A36" s="78" t="s">
        <v>297</v>
      </c>
      <c r="B36" s="118" t="s">
        <v>223</v>
      </c>
      <c r="C36" s="73">
        <v>2003</v>
      </c>
      <c r="D36" s="102">
        <v>235.95</v>
      </c>
      <c r="E36" s="130">
        <v>0</v>
      </c>
      <c r="F36" s="119">
        <v>235.95</v>
      </c>
      <c r="G36" s="73">
        <v>6</v>
      </c>
      <c r="H36" s="102">
        <f t="shared" si="1"/>
        <v>14.156999999999998</v>
      </c>
      <c r="I36" s="119">
        <f>14.16+14.16</f>
        <v>28.32</v>
      </c>
      <c r="J36" s="102">
        <f>+H36+I36-0.05</f>
        <v>42.427</v>
      </c>
      <c r="K36" s="121">
        <f t="shared" si="3"/>
        <v>193.523</v>
      </c>
    </row>
    <row r="37" spans="1:11" s="63" customFormat="1" ht="12.75">
      <c r="A37" s="76" t="s">
        <v>362</v>
      </c>
      <c r="B37" s="113" t="s">
        <v>68</v>
      </c>
      <c r="C37" s="63">
        <v>2004</v>
      </c>
      <c r="D37" s="109">
        <v>92</v>
      </c>
      <c r="E37" s="109">
        <v>0</v>
      </c>
      <c r="F37" s="109">
        <v>92</v>
      </c>
      <c r="G37" s="71">
        <v>6</v>
      </c>
      <c r="H37" s="109">
        <f t="shared" si="1"/>
        <v>5.52</v>
      </c>
      <c r="I37" s="109">
        <v>5.52</v>
      </c>
      <c r="J37" s="109">
        <f aca="true" t="shared" si="7" ref="J37:J46">+H37+I37</f>
        <v>11.04</v>
      </c>
      <c r="K37" s="112">
        <f t="shared" si="3"/>
        <v>80.96000000000001</v>
      </c>
    </row>
    <row r="38" spans="1:11" s="63" customFormat="1" ht="12.75">
      <c r="A38" s="76" t="s">
        <v>364</v>
      </c>
      <c r="B38" s="113" t="s">
        <v>91</v>
      </c>
      <c r="C38" s="63">
        <v>2004</v>
      </c>
      <c r="D38" s="109">
        <v>125</v>
      </c>
      <c r="E38" s="109">
        <v>0</v>
      </c>
      <c r="F38" s="109">
        <v>125</v>
      </c>
      <c r="G38" s="71">
        <v>6</v>
      </c>
      <c r="H38" s="109">
        <f t="shared" si="1"/>
        <v>7.5</v>
      </c>
      <c r="I38" s="109">
        <v>7.5</v>
      </c>
      <c r="J38" s="109">
        <f t="shared" si="7"/>
        <v>15</v>
      </c>
      <c r="K38" s="112">
        <f t="shared" si="3"/>
        <v>110</v>
      </c>
    </row>
    <row r="39" spans="1:11" s="63" customFormat="1" ht="12.75">
      <c r="A39" s="76" t="s">
        <v>365</v>
      </c>
      <c r="B39" s="113" t="s">
        <v>249</v>
      </c>
      <c r="C39" s="63">
        <v>2004</v>
      </c>
      <c r="D39" s="109">
        <v>397.2</v>
      </c>
      <c r="E39" s="109">
        <v>0</v>
      </c>
      <c r="F39" s="109">
        <v>397.2</v>
      </c>
      <c r="G39" s="71">
        <v>6</v>
      </c>
      <c r="H39" s="109">
        <f t="shared" si="1"/>
        <v>23.831999999999997</v>
      </c>
      <c r="I39" s="109">
        <v>23.83</v>
      </c>
      <c r="J39" s="109">
        <f t="shared" si="7"/>
        <v>47.66199999999999</v>
      </c>
      <c r="K39" s="112">
        <f t="shared" si="3"/>
        <v>349.538</v>
      </c>
    </row>
    <row r="40" spans="1:11" s="63" customFormat="1" ht="12.75">
      <c r="A40" s="76" t="s">
        <v>366</v>
      </c>
      <c r="B40" s="113" t="s">
        <v>68</v>
      </c>
      <c r="C40" s="63">
        <v>2004</v>
      </c>
      <c r="D40" s="109">
        <v>414.72</v>
      </c>
      <c r="E40" s="109">
        <v>0</v>
      </c>
      <c r="F40" s="109">
        <v>414.72</v>
      </c>
      <c r="G40" s="71">
        <v>6</v>
      </c>
      <c r="H40" s="109">
        <f t="shared" si="1"/>
        <v>24.883200000000002</v>
      </c>
      <c r="I40" s="109">
        <v>24.88</v>
      </c>
      <c r="J40" s="109">
        <f t="shared" si="7"/>
        <v>49.7632</v>
      </c>
      <c r="K40" s="112">
        <f t="shared" si="3"/>
        <v>364.95680000000004</v>
      </c>
    </row>
    <row r="41" spans="1:11" s="63" customFormat="1" ht="12.75">
      <c r="A41" s="76" t="s">
        <v>367</v>
      </c>
      <c r="B41" s="113" t="s">
        <v>249</v>
      </c>
      <c r="C41" s="63">
        <v>2004</v>
      </c>
      <c r="D41" s="109">
        <v>1003.68</v>
      </c>
      <c r="E41" s="109">
        <v>0</v>
      </c>
      <c r="F41" s="109">
        <v>1003.68</v>
      </c>
      <c r="G41" s="71">
        <v>6</v>
      </c>
      <c r="H41" s="109">
        <f t="shared" si="1"/>
        <v>60.2208</v>
      </c>
      <c r="I41" s="109">
        <v>60.22</v>
      </c>
      <c r="J41" s="109">
        <f>+H41+I41+21.59</f>
        <v>142.0308</v>
      </c>
      <c r="K41" s="112">
        <f t="shared" si="3"/>
        <v>861.6492</v>
      </c>
    </row>
    <row r="42" spans="1:11" s="63" customFormat="1" ht="12.75">
      <c r="A42" s="76" t="s">
        <v>368</v>
      </c>
      <c r="B42" s="113" t="s">
        <v>323</v>
      </c>
      <c r="C42" s="63">
        <v>2004</v>
      </c>
      <c r="D42" s="109">
        <v>91.11</v>
      </c>
      <c r="E42" s="109">
        <v>0</v>
      </c>
      <c r="F42" s="109">
        <v>91.11</v>
      </c>
      <c r="G42" s="71">
        <v>6</v>
      </c>
      <c r="H42" s="109">
        <f t="shared" si="1"/>
        <v>5.4666</v>
      </c>
      <c r="I42" s="109">
        <v>5.47</v>
      </c>
      <c r="J42" s="109">
        <f t="shared" si="7"/>
        <v>10.936599999999999</v>
      </c>
      <c r="K42" s="112">
        <f t="shared" si="3"/>
        <v>80.1734</v>
      </c>
    </row>
    <row r="43" spans="1:11" s="63" customFormat="1" ht="12.75">
      <c r="A43" s="76" t="s">
        <v>369</v>
      </c>
      <c r="B43" s="113" t="s">
        <v>68</v>
      </c>
      <c r="C43" s="63">
        <v>2004</v>
      </c>
      <c r="D43" s="109">
        <v>249.6</v>
      </c>
      <c r="E43" s="109">
        <v>0</v>
      </c>
      <c r="F43" s="109">
        <v>249.6</v>
      </c>
      <c r="G43" s="71">
        <v>6</v>
      </c>
      <c r="H43" s="109">
        <f t="shared" si="1"/>
        <v>14.975999999999999</v>
      </c>
      <c r="I43" s="109">
        <v>14.98</v>
      </c>
      <c r="J43" s="109">
        <f t="shared" si="7"/>
        <v>29.956</v>
      </c>
      <c r="K43" s="112">
        <f t="shared" si="3"/>
        <v>219.644</v>
      </c>
    </row>
    <row r="44" spans="1:11" s="63" customFormat="1" ht="12.75">
      <c r="A44" s="76" t="s">
        <v>368</v>
      </c>
      <c r="B44" s="113" t="s">
        <v>323</v>
      </c>
      <c r="C44" s="63">
        <v>2004</v>
      </c>
      <c r="D44" s="109">
        <v>54.66</v>
      </c>
      <c r="E44" s="109">
        <v>0</v>
      </c>
      <c r="F44" s="109">
        <v>54.66</v>
      </c>
      <c r="G44" s="71">
        <v>6</v>
      </c>
      <c r="H44" s="109">
        <f t="shared" si="1"/>
        <v>3.2796</v>
      </c>
      <c r="I44" s="109">
        <v>3.28</v>
      </c>
      <c r="J44" s="109">
        <f t="shared" si="7"/>
        <v>6.5596</v>
      </c>
      <c r="K44" s="112">
        <f t="shared" si="3"/>
        <v>48.10039999999999</v>
      </c>
    </row>
    <row r="45" spans="1:11" s="63" customFormat="1" ht="12.75">
      <c r="A45" s="76" t="s">
        <v>368</v>
      </c>
      <c r="B45" s="113" t="s">
        <v>249</v>
      </c>
      <c r="C45" s="63">
        <v>2004</v>
      </c>
      <c r="D45" s="109">
        <f>163.98+0.98</f>
        <v>164.95999999999998</v>
      </c>
      <c r="E45" s="109">
        <v>0</v>
      </c>
      <c r="F45" s="109">
        <f>163.98+0.98</f>
        <v>164.95999999999998</v>
      </c>
      <c r="G45" s="71">
        <v>6</v>
      </c>
      <c r="H45" s="109">
        <f t="shared" si="1"/>
        <v>9.897599999999999</v>
      </c>
      <c r="I45" s="109">
        <v>9.9</v>
      </c>
      <c r="J45" s="109">
        <f t="shared" si="7"/>
        <v>19.7976</v>
      </c>
      <c r="K45" s="112">
        <f t="shared" si="3"/>
        <v>145.1624</v>
      </c>
    </row>
    <row r="46" spans="1:11" s="63" customFormat="1" ht="12.75">
      <c r="A46" s="76" t="s">
        <v>370</v>
      </c>
      <c r="B46" s="113" t="s">
        <v>231</v>
      </c>
      <c r="C46" s="63">
        <v>2004</v>
      </c>
      <c r="D46" s="109">
        <v>64.8</v>
      </c>
      <c r="E46" s="109">
        <v>0</v>
      </c>
      <c r="F46" s="109">
        <v>64.8</v>
      </c>
      <c r="G46" s="71">
        <v>6</v>
      </c>
      <c r="H46" s="109">
        <f t="shared" si="1"/>
        <v>3.8879999999999995</v>
      </c>
      <c r="I46" s="109">
        <v>3.89</v>
      </c>
      <c r="J46" s="109">
        <f t="shared" si="7"/>
        <v>7.778</v>
      </c>
      <c r="K46" s="112">
        <f t="shared" si="3"/>
        <v>57.022</v>
      </c>
    </row>
    <row r="47" spans="1:11" s="73" customFormat="1" ht="12.75">
      <c r="A47" s="78" t="s">
        <v>305</v>
      </c>
      <c r="B47" s="72" t="s">
        <v>306</v>
      </c>
      <c r="C47" s="73">
        <v>2004</v>
      </c>
      <c r="D47" s="102">
        <v>284.4</v>
      </c>
      <c r="E47" s="102">
        <v>0</v>
      </c>
      <c r="F47" s="102">
        <v>284.4</v>
      </c>
      <c r="G47" s="73">
        <v>6</v>
      </c>
      <c r="H47" s="119">
        <f t="shared" si="1"/>
        <v>17.064</v>
      </c>
      <c r="I47" s="102">
        <v>17.06</v>
      </c>
      <c r="J47" s="102">
        <f t="shared" si="2"/>
        <v>34.123999999999995</v>
      </c>
      <c r="K47" s="121">
        <f t="shared" si="3"/>
        <v>250.27599999999998</v>
      </c>
    </row>
    <row r="49" spans="1:11" ht="30" customHeight="1" thickBot="1">
      <c r="A49" s="18"/>
      <c r="B49" s="4"/>
      <c r="C49" s="4"/>
      <c r="D49" s="6"/>
      <c r="E49" s="25"/>
      <c r="F49" s="25"/>
      <c r="G49" s="6"/>
      <c r="H49" s="6"/>
      <c r="I49" s="6"/>
      <c r="J49" s="6"/>
      <c r="K49" s="6"/>
    </row>
    <row r="50" spans="1:11" s="9" customFormat="1" ht="15.75" thickBot="1">
      <c r="A50" s="35" t="s">
        <v>126</v>
      </c>
      <c r="B50" s="36"/>
      <c r="C50" s="36"/>
      <c r="D50" s="89">
        <f>SUM(D9:D47)</f>
        <v>20270.40977678733</v>
      </c>
      <c r="E50" s="125">
        <f>SUM(E9:E47)</f>
        <v>0</v>
      </c>
      <c r="F50" s="89">
        <f>SUM(F9:F47)</f>
        <v>20270.40977678733</v>
      </c>
      <c r="G50" s="37"/>
      <c r="H50" s="89">
        <f>SUM(H9:H47)</f>
        <v>1082.6245866072397</v>
      </c>
      <c r="I50" s="89">
        <f>SUM(I9:I48)</f>
        <v>9052.379999999994</v>
      </c>
      <c r="J50" s="89">
        <f>SUM(J9:J48)</f>
        <v>10156.530122560389</v>
      </c>
      <c r="K50" s="89">
        <f>SUM(K9:K48)</f>
        <v>10113.879654226943</v>
      </c>
    </row>
    <row r="51" spans="1:11" ht="12" customHeight="1">
      <c r="A51" s="18"/>
      <c r="B51" s="4"/>
      <c r="C51" s="4"/>
      <c r="D51" s="6"/>
      <c r="E51" s="6"/>
      <c r="F51" s="6"/>
      <c r="G51" s="6"/>
      <c r="H51" s="6"/>
      <c r="I51" s="6"/>
      <c r="J51" s="6"/>
      <c r="K51" s="6"/>
    </row>
    <row r="52" spans="1:11" ht="18.75" customHeight="1">
      <c r="A52" s="1" t="s">
        <v>127</v>
      </c>
      <c r="B52" s="4"/>
      <c r="C52" s="4"/>
      <c r="D52" s="6"/>
      <c r="E52" s="6"/>
      <c r="F52" s="6"/>
      <c r="G52" s="6"/>
      <c r="H52" s="6"/>
      <c r="I52" s="6"/>
      <c r="J52" s="6"/>
      <c r="K52" s="6"/>
    </row>
    <row r="53" spans="1:11" ht="12" customHeight="1">
      <c r="A53" s="18"/>
      <c r="B53" s="4"/>
      <c r="C53" s="4"/>
      <c r="D53" s="6"/>
      <c r="E53" s="6"/>
      <c r="F53" s="6"/>
      <c r="G53" s="6"/>
      <c r="H53" s="6"/>
      <c r="I53" s="6"/>
      <c r="J53" s="6"/>
      <c r="K53" s="6"/>
    </row>
    <row r="54" spans="1:11" ht="12" customHeight="1">
      <c r="A54" s="19" t="s">
        <v>94</v>
      </c>
      <c r="B54" s="28" t="s">
        <v>68</v>
      </c>
      <c r="C54" s="10">
        <v>1999</v>
      </c>
      <c r="D54" s="91">
        <f>122608000/1936.27</f>
        <v>63321.74748356376</v>
      </c>
      <c r="E54" s="31">
        <v>0</v>
      </c>
      <c r="F54" s="91">
        <f aca="true" t="shared" si="8" ref="F54:F59">+D54+E54</f>
        <v>63321.74748356376</v>
      </c>
      <c r="G54" s="63">
        <v>1.5</v>
      </c>
      <c r="H54" s="91">
        <f aca="true" t="shared" si="9" ref="H54:H59">F54*G54/100</f>
        <v>949.8262122534564</v>
      </c>
      <c r="I54" s="91">
        <f>4749.13+949.83+949.83</f>
        <v>6648.79</v>
      </c>
      <c r="J54" s="91">
        <f aca="true" t="shared" si="10" ref="J54:J59">+H54+I54</f>
        <v>7598.616212253456</v>
      </c>
      <c r="K54" s="87">
        <f aca="true" t="shared" si="11" ref="K54:K59">+F54-J54</f>
        <v>55723.1312713103</v>
      </c>
    </row>
    <row r="55" spans="1:11" ht="12" customHeight="1">
      <c r="A55" s="19" t="s">
        <v>95</v>
      </c>
      <c r="B55" s="28" t="s">
        <v>68</v>
      </c>
      <c r="C55" s="10">
        <v>1999</v>
      </c>
      <c r="D55" s="91">
        <f>30555000/1936.27</f>
        <v>15780.340551679259</v>
      </c>
      <c r="E55" s="31">
        <v>0</v>
      </c>
      <c r="F55" s="91">
        <f t="shared" si="8"/>
        <v>15780.340551679259</v>
      </c>
      <c r="G55" s="63">
        <v>1.5</v>
      </c>
      <c r="H55" s="91">
        <f t="shared" si="9"/>
        <v>236.7051082751889</v>
      </c>
      <c r="I55" s="91">
        <f>1183.53+236.71+236.71</f>
        <v>1656.95</v>
      </c>
      <c r="J55" s="91">
        <f t="shared" si="10"/>
        <v>1893.655108275189</v>
      </c>
      <c r="K55" s="87">
        <f t="shared" si="11"/>
        <v>13886.68544340407</v>
      </c>
    </row>
    <row r="56" spans="1:11" ht="12" customHeight="1">
      <c r="A56" s="19" t="s">
        <v>96</v>
      </c>
      <c r="B56" s="28" t="s">
        <v>91</v>
      </c>
      <c r="C56" s="10">
        <v>1999</v>
      </c>
      <c r="D56" s="91">
        <f>817142500/1936.27</f>
        <v>422018.8816642307</v>
      </c>
      <c r="E56" s="31">
        <v>0</v>
      </c>
      <c r="F56" s="91">
        <f t="shared" si="8"/>
        <v>422018.8816642307</v>
      </c>
      <c r="G56" s="63">
        <v>1.5</v>
      </c>
      <c r="H56" s="91">
        <f t="shared" si="9"/>
        <v>6330.283224963461</v>
      </c>
      <c r="I56" s="91">
        <f>31651.42+6330.28+6330.28</f>
        <v>44311.979999999996</v>
      </c>
      <c r="J56" s="91">
        <f t="shared" si="10"/>
        <v>50642.263224963455</v>
      </c>
      <c r="K56" s="87">
        <f t="shared" si="11"/>
        <v>371376.6184392673</v>
      </c>
    </row>
    <row r="57" spans="1:11" ht="12" customHeight="1">
      <c r="A57" s="19" t="s">
        <v>97</v>
      </c>
      <c r="B57" s="28" t="s">
        <v>99</v>
      </c>
      <c r="C57" s="10">
        <v>1999</v>
      </c>
      <c r="D57" s="91">
        <f>634785200/1936.27</f>
        <v>327839.1959798995</v>
      </c>
      <c r="E57" s="31">
        <v>0</v>
      </c>
      <c r="F57" s="91">
        <f t="shared" si="8"/>
        <v>327839.1959798995</v>
      </c>
      <c r="G57" s="63">
        <v>1.5</v>
      </c>
      <c r="H57" s="91">
        <f t="shared" si="9"/>
        <v>4917.587939698493</v>
      </c>
      <c r="I57" s="91">
        <f>24587.94+4917.59+4917.59</f>
        <v>34423.119999999995</v>
      </c>
      <c r="J57" s="91">
        <f t="shared" si="10"/>
        <v>39340.70793969849</v>
      </c>
      <c r="K57" s="87">
        <f t="shared" si="11"/>
        <v>288498.488040201</v>
      </c>
    </row>
    <row r="58" spans="1:11" ht="12" customHeight="1">
      <c r="A58" s="19" t="s">
        <v>98</v>
      </c>
      <c r="B58" s="28" t="s">
        <v>223</v>
      </c>
      <c r="C58" s="10">
        <v>1999</v>
      </c>
      <c r="D58" s="91">
        <f>70810000/1936.27</f>
        <v>36570.31302452654</v>
      </c>
      <c r="E58" s="31">
        <v>0</v>
      </c>
      <c r="F58" s="91">
        <f t="shared" si="8"/>
        <v>36570.31302452654</v>
      </c>
      <c r="G58" s="63">
        <v>1.5</v>
      </c>
      <c r="H58" s="91">
        <f t="shared" si="9"/>
        <v>548.5546953678981</v>
      </c>
      <c r="I58" s="91">
        <f>2742.77+548.55+548.55</f>
        <v>3839.87</v>
      </c>
      <c r="J58" s="91">
        <f t="shared" si="10"/>
        <v>4388.424695367898</v>
      </c>
      <c r="K58" s="87">
        <f t="shared" si="11"/>
        <v>32181.888329158646</v>
      </c>
    </row>
    <row r="59" spans="1:11" ht="12" customHeight="1">
      <c r="A59" s="19" t="s">
        <v>94</v>
      </c>
      <c r="B59" s="28" t="s">
        <v>159</v>
      </c>
      <c r="C59" s="10">
        <v>2000</v>
      </c>
      <c r="D59" s="91">
        <f>146562757/1936.27</f>
        <v>75693.34700222593</v>
      </c>
      <c r="E59" s="31">
        <v>0</v>
      </c>
      <c r="F59" s="91">
        <f t="shared" si="8"/>
        <v>75693.34700222593</v>
      </c>
      <c r="G59" s="63">
        <v>1.5</v>
      </c>
      <c r="H59" s="91">
        <f t="shared" si="9"/>
        <v>1135.4002050333888</v>
      </c>
      <c r="I59" s="91">
        <f>4541.6+1135.4+1135.4</f>
        <v>6812.4</v>
      </c>
      <c r="J59" s="91">
        <f t="shared" si="10"/>
        <v>7947.800205033389</v>
      </c>
      <c r="K59" s="87">
        <f t="shared" si="11"/>
        <v>67745.54679719254</v>
      </c>
    </row>
    <row r="60" spans="1:11" ht="12" customHeight="1">
      <c r="A60" s="19" t="s">
        <v>97</v>
      </c>
      <c r="B60" s="28" t="s">
        <v>99</v>
      </c>
      <c r="C60" s="10">
        <v>2000</v>
      </c>
      <c r="D60" s="91">
        <f>62554733/1936.27</f>
        <v>32306.82342855077</v>
      </c>
      <c r="E60" s="31">
        <v>0</v>
      </c>
      <c r="F60" s="91">
        <f>+D60+E60</f>
        <v>32306.82342855077</v>
      </c>
      <c r="G60" s="63">
        <v>1.5</v>
      </c>
      <c r="H60" s="91">
        <f aca="true" t="shared" si="12" ref="H60:H88">F60*G60/100</f>
        <v>484.6023514282616</v>
      </c>
      <c r="I60" s="91">
        <f>1938.4+484.6+484.6</f>
        <v>2907.6</v>
      </c>
      <c r="J60" s="91">
        <f aca="true" t="shared" si="13" ref="J60:J88">+H60+I60</f>
        <v>3392.2023514282614</v>
      </c>
      <c r="K60" s="87">
        <f aca="true" t="shared" si="14" ref="K60:K88">+F60-J60</f>
        <v>28914.62107712251</v>
      </c>
    </row>
    <row r="61" spans="1:11" ht="12" customHeight="1">
      <c r="A61" s="76" t="s">
        <v>188</v>
      </c>
      <c r="B61" s="28" t="s">
        <v>174</v>
      </c>
      <c r="C61" s="10">
        <v>2001</v>
      </c>
      <c r="D61" s="104">
        <v>227213.25</v>
      </c>
      <c r="E61" s="116">
        <v>0</v>
      </c>
      <c r="F61" s="91">
        <f>+D61+E61</f>
        <v>227213.25</v>
      </c>
      <c r="G61" s="63">
        <v>1.5</v>
      </c>
      <c r="H61" s="91">
        <f t="shared" si="12"/>
        <v>3408.19875</v>
      </c>
      <c r="I61" s="104">
        <f>3408.2+3408.2+3408.2+3408.2</f>
        <v>13632.8</v>
      </c>
      <c r="J61" s="91">
        <f t="shared" si="13"/>
        <v>17040.99875</v>
      </c>
      <c r="K61" s="87">
        <f t="shared" si="14"/>
        <v>210172.25125</v>
      </c>
    </row>
    <row r="62" spans="1:11" ht="12" customHeight="1">
      <c r="A62" s="76" t="s">
        <v>189</v>
      </c>
      <c r="B62" s="28" t="s">
        <v>174</v>
      </c>
      <c r="C62" s="10">
        <v>2001</v>
      </c>
      <c r="D62" s="104">
        <v>126102.71</v>
      </c>
      <c r="E62" s="116">
        <v>0</v>
      </c>
      <c r="F62" s="91">
        <f>+D62+E62</f>
        <v>126102.71</v>
      </c>
      <c r="G62" s="63">
        <v>1.5</v>
      </c>
      <c r="H62" s="91">
        <f t="shared" si="12"/>
        <v>1891.54065</v>
      </c>
      <c r="I62" s="104">
        <f>1891.54+1891.54+1891.54+1891.54</f>
        <v>7566.16</v>
      </c>
      <c r="J62" s="91">
        <f t="shared" si="13"/>
        <v>9457.700649999999</v>
      </c>
      <c r="K62" s="87">
        <f t="shared" si="14"/>
        <v>116645.00935000001</v>
      </c>
    </row>
    <row r="63" spans="1:11" ht="12" customHeight="1">
      <c r="A63" s="19" t="s">
        <v>190</v>
      </c>
      <c r="B63" s="28" t="s">
        <v>91</v>
      </c>
      <c r="C63" s="10">
        <v>2001</v>
      </c>
      <c r="D63" s="104">
        <v>10909.53</v>
      </c>
      <c r="E63" s="116">
        <v>0</v>
      </c>
      <c r="F63" s="91">
        <f>+D63+E63</f>
        <v>10909.53</v>
      </c>
      <c r="G63" s="63">
        <v>1.5</v>
      </c>
      <c r="H63" s="91">
        <f t="shared" si="12"/>
        <v>163.64295</v>
      </c>
      <c r="I63" s="104">
        <f>163.64+163.64+163.64+163.64</f>
        <v>654.56</v>
      </c>
      <c r="J63" s="91">
        <f t="shared" si="13"/>
        <v>818.20295</v>
      </c>
      <c r="K63" s="87">
        <f t="shared" si="14"/>
        <v>10091.32705</v>
      </c>
    </row>
    <row r="64" spans="1:11" ht="12" customHeight="1">
      <c r="A64" s="19" t="s">
        <v>191</v>
      </c>
      <c r="B64" s="28" t="s">
        <v>99</v>
      </c>
      <c r="C64" s="10">
        <v>2001</v>
      </c>
      <c r="D64" s="104">
        <v>54537.85</v>
      </c>
      <c r="E64" s="116">
        <v>0</v>
      </c>
      <c r="F64" s="91">
        <f>+D64+E64</f>
        <v>54537.85</v>
      </c>
      <c r="G64" s="63">
        <v>1.5</v>
      </c>
      <c r="H64" s="91">
        <f t="shared" si="12"/>
        <v>818.0677499999999</v>
      </c>
      <c r="I64" s="104">
        <f>818.07+818.07+818.07+818.07</f>
        <v>3272.28</v>
      </c>
      <c r="J64" s="91">
        <f t="shared" si="13"/>
        <v>4090.34775</v>
      </c>
      <c r="K64" s="87">
        <f t="shared" si="14"/>
        <v>50447.50225</v>
      </c>
    </row>
    <row r="65" spans="1:11" s="63" customFormat="1" ht="12" customHeight="1">
      <c r="A65" s="76" t="s">
        <v>239</v>
      </c>
      <c r="B65" s="72" t="s">
        <v>174</v>
      </c>
      <c r="C65" s="73">
        <v>2002</v>
      </c>
      <c r="D65" s="111">
        <v>3048.7</v>
      </c>
      <c r="E65" s="116">
        <v>0</v>
      </c>
      <c r="F65" s="109">
        <v>3048.7</v>
      </c>
      <c r="G65" s="63">
        <v>1.5</v>
      </c>
      <c r="H65" s="111">
        <f t="shared" si="12"/>
        <v>45.73049999999999</v>
      </c>
      <c r="I65" s="104">
        <f>45.73+45.73+45.73</f>
        <v>137.19</v>
      </c>
      <c r="J65" s="111">
        <f t="shared" si="13"/>
        <v>182.9205</v>
      </c>
      <c r="K65" s="112">
        <f t="shared" si="14"/>
        <v>2865.7794999999996</v>
      </c>
    </row>
    <row r="66" spans="1:11" s="63" customFormat="1" ht="12" customHeight="1">
      <c r="A66" s="76" t="s">
        <v>240</v>
      </c>
      <c r="B66" s="72" t="s">
        <v>174</v>
      </c>
      <c r="C66" s="73">
        <v>2002</v>
      </c>
      <c r="D66" s="111">
        <v>77926.86</v>
      </c>
      <c r="E66" s="116">
        <v>0</v>
      </c>
      <c r="F66" s="109">
        <v>77926.86</v>
      </c>
      <c r="G66" s="63">
        <v>1.5</v>
      </c>
      <c r="H66" s="111">
        <f t="shared" si="12"/>
        <v>1168.9029</v>
      </c>
      <c r="I66" s="104">
        <f>1168.9+1168.9+1168.9</f>
        <v>3506.7000000000003</v>
      </c>
      <c r="J66" s="111">
        <f t="shared" si="13"/>
        <v>4675.6029</v>
      </c>
      <c r="K66" s="112">
        <f t="shared" si="14"/>
        <v>73251.2571</v>
      </c>
    </row>
    <row r="67" spans="1:11" s="63" customFormat="1" ht="12" customHeight="1">
      <c r="A67" s="76" t="s">
        <v>287</v>
      </c>
      <c r="B67" s="72" t="s">
        <v>174</v>
      </c>
      <c r="C67" s="73">
        <v>2003</v>
      </c>
      <c r="D67" s="109">
        <v>4146.84</v>
      </c>
      <c r="E67" s="131">
        <v>0</v>
      </c>
      <c r="F67" s="109">
        <v>4146.84</v>
      </c>
      <c r="G67" s="63">
        <v>1.5</v>
      </c>
      <c r="H67" s="111">
        <f t="shared" si="12"/>
        <v>62.202600000000004</v>
      </c>
      <c r="I67" s="109">
        <f>62.2+62.2</f>
        <v>124.4</v>
      </c>
      <c r="J67" s="111">
        <f t="shared" si="13"/>
        <v>186.6026</v>
      </c>
      <c r="K67" s="112">
        <f t="shared" si="14"/>
        <v>3960.2374</v>
      </c>
    </row>
    <row r="68" spans="1:11" s="63" customFormat="1" ht="12" customHeight="1">
      <c r="A68" s="76" t="s">
        <v>288</v>
      </c>
      <c r="B68" s="72" t="s">
        <v>91</v>
      </c>
      <c r="C68" s="73">
        <v>2003</v>
      </c>
      <c r="D68" s="109">
        <v>3296.65</v>
      </c>
      <c r="E68" s="131">
        <v>0</v>
      </c>
      <c r="F68" s="109">
        <v>3296.65</v>
      </c>
      <c r="G68" s="63">
        <v>1.5</v>
      </c>
      <c r="H68" s="111">
        <f t="shared" si="12"/>
        <v>49.44975</v>
      </c>
      <c r="I68" s="109">
        <f>49.45+49.45</f>
        <v>98.9</v>
      </c>
      <c r="J68" s="111">
        <f>+H68+I68+0.02</f>
        <v>148.36975</v>
      </c>
      <c r="K68" s="112">
        <f t="shared" si="14"/>
        <v>3148.2802500000003</v>
      </c>
    </row>
    <row r="69" spans="1:11" s="63" customFormat="1" ht="12" customHeight="1">
      <c r="A69" s="76" t="s">
        <v>289</v>
      </c>
      <c r="B69" s="72" t="s">
        <v>91</v>
      </c>
      <c r="C69" s="73">
        <v>2003</v>
      </c>
      <c r="D69" s="109">
        <v>350</v>
      </c>
      <c r="E69" s="131">
        <v>0</v>
      </c>
      <c r="F69" s="109">
        <v>350</v>
      </c>
      <c r="G69" s="63">
        <v>1.5</v>
      </c>
      <c r="H69" s="111">
        <f t="shared" si="12"/>
        <v>5.25</v>
      </c>
      <c r="I69" s="109">
        <f>5.25+5.25</f>
        <v>10.5</v>
      </c>
      <c r="J69" s="111">
        <f t="shared" si="13"/>
        <v>15.75</v>
      </c>
      <c r="K69" s="112">
        <f t="shared" si="14"/>
        <v>334.25</v>
      </c>
    </row>
    <row r="70" spans="1:11" s="63" customFormat="1" ht="12" customHeight="1">
      <c r="A70" s="76" t="s">
        <v>290</v>
      </c>
      <c r="B70" s="72" t="s">
        <v>91</v>
      </c>
      <c r="C70" s="73">
        <v>2003</v>
      </c>
      <c r="D70" s="109">
        <v>5985</v>
      </c>
      <c r="E70" s="131">
        <v>0</v>
      </c>
      <c r="F70" s="109">
        <v>5985</v>
      </c>
      <c r="G70" s="63">
        <v>1.5</v>
      </c>
      <c r="H70" s="111">
        <f t="shared" si="12"/>
        <v>89.775</v>
      </c>
      <c r="I70" s="109">
        <f>89.78+89.78</f>
        <v>179.56</v>
      </c>
      <c r="J70" s="111">
        <f t="shared" si="13"/>
        <v>269.33500000000004</v>
      </c>
      <c r="K70" s="112">
        <f t="shared" si="14"/>
        <v>5715.665</v>
      </c>
    </row>
    <row r="71" spans="1:11" s="63" customFormat="1" ht="12" customHeight="1">
      <c r="A71" s="76" t="s">
        <v>294</v>
      </c>
      <c r="B71" s="72" t="s">
        <v>159</v>
      </c>
      <c r="C71" s="73">
        <v>2003</v>
      </c>
      <c r="D71" s="109">
        <v>4874.4</v>
      </c>
      <c r="E71" s="131">
        <v>0</v>
      </c>
      <c r="F71" s="111">
        <v>4874.4</v>
      </c>
      <c r="G71" s="63">
        <v>1.5</v>
      </c>
      <c r="H71" s="111">
        <f t="shared" si="12"/>
        <v>73.116</v>
      </c>
      <c r="I71" s="109">
        <f>73.12+73.12</f>
        <v>146.24</v>
      </c>
      <c r="J71" s="111">
        <f t="shared" si="13"/>
        <v>219.356</v>
      </c>
      <c r="K71" s="112">
        <f t="shared" si="14"/>
        <v>4655.044</v>
      </c>
    </row>
    <row r="72" spans="1:11" s="63" customFormat="1" ht="12" customHeight="1">
      <c r="A72" s="76" t="s">
        <v>307</v>
      </c>
      <c r="B72" s="72" t="s">
        <v>308</v>
      </c>
      <c r="C72" s="73">
        <v>2004</v>
      </c>
      <c r="D72" s="109">
        <v>1348</v>
      </c>
      <c r="E72" s="131">
        <v>0</v>
      </c>
      <c r="F72" s="111">
        <v>1348</v>
      </c>
      <c r="G72" s="63">
        <v>1.5</v>
      </c>
      <c r="H72" s="111">
        <f t="shared" si="12"/>
        <v>20.22</v>
      </c>
      <c r="I72" s="109">
        <v>20.22</v>
      </c>
      <c r="J72" s="111">
        <f>+H72+I72+0.02</f>
        <v>40.46</v>
      </c>
      <c r="K72" s="112">
        <f t="shared" si="14"/>
        <v>1307.54</v>
      </c>
    </row>
    <row r="73" spans="1:11" s="63" customFormat="1" ht="12" customHeight="1">
      <c r="A73" s="76" t="s">
        <v>309</v>
      </c>
      <c r="B73" s="72" t="s">
        <v>223</v>
      </c>
      <c r="C73" s="73">
        <v>2004</v>
      </c>
      <c r="D73" s="109">
        <f>935000+3832.19+4051.5+6050.67</f>
        <v>948934.36</v>
      </c>
      <c r="E73" s="131">
        <v>0</v>
      </c>
      <c r="F73" s="111">
        <v>948934.36</v>
      </c>
      <c r="G73" s="63">
        <v>1.5</v>
      </c>
      <c r="H73" s="111">
        <f t="shared" si="12"/>
        <v>14234.0154</v>
      </c>
      <c r="I73" s="109">
        <v>0</v>
      </c>
      <c r="J73" s="111">
        <f t="shared" si="13"/>
        <v>14234.0154</v>
      </c>
      <c r="K73" s="112">
        <f t="shared" si="14"/>
        <v>934700.3446</v>
      </c>
    </row>
    <row r="74" spans="1:11" s="63" customFormat="1" ht="12" customHeight="1">
      <c r="A74" s="76" t="s">
        <v>388</v>
      </c>
      <c r="B74" s="72" t="s">
        <v>68</v>
      </c>
      <c r="C74" s="73">
        <v>2004</v>
      </c>
      <c r="D74" s="109">
        <v>2347</v>
      </c>
      <c r="E74" s="131">
        <v>0</v>
      </c>
      <c r="F74" s="111">
        <v>2347</v>
      </c>
      <c r="G74" s="63">
        <v>1.5</v>
      </c>
      <c r="H74" s="111">
        <f t="shared" si="12"/>
        <v>35.205</v>
      </c>
      <c r="I74" s="109">
        <v>35.21</v>
      </c>
      <c r="J74" s="111">
        <f t="shared" si="13"/>
        <v>70.41499999999999</v>
      </c>
      <c r="K74" s="112">
        <f t="shared" si="14"/>
        <v>2276.585</v>
      </c>
    </row>
    <row r="75" spans="1:11" s="63" customFormat="1" ht="12" customHeight="1">
      <c r="A75" s="76" t="s">
        <v>390</v>
      </c>
      <c r="B75" s="72" t="s">
        <v>68</v>
      </c>
      <c r="C75" s="73">
        <v>2004</v>
      </c>
      <c r="D75" s="109">
        <v>1821.05</v>
      </c>
      <c r="E75" s="131">
        <v>0</v>
      </c>
      <c r="F75" s="111">
        <v>1821.05</v>
      </c>
      <c r="G75" s="63">
        <v>1.5</v>
      </c>
      <c r="H75" s="111">
        <f t="shared" si="12"/>
        <v>27.315749999999998</v>
      </c>
      <c r="I75" s="109">
        <v>27.32</v>
      </c>
      <c r="J75" s="111">
        <f t="shared" si="13"/>
        <v>54.63575</v>
      </c>
      <c r="K75" s="112">
        <f t="shared" si="14"/>
        <v>1766.41425</v>
      </c>
    </row>
    <row r="76" spans="1:11" s="63" customFormat="1" ht="12" customHeight="1">
      <c r="A76" s="76" t="s">
        <v>402</v>
      </c>
      <c r="B76" s="72" t="s">
        <v>223</v>
      </c>
      <c r="C76" s="73">
        <v>2005</v>
      </c>
      <c r="D76" s="109">
        <v>0</v>
      </c>
      <c r="E76" s="109">
        <v>2299.1</v>
      </c>
      <c r="F76" s="111">
        <v>2299.1</v>
      </c>
      <c r="G76" s="63">
        <v>1.5</v>
      </c>
      <c r="H76" s="111">
        <f t="shared" si="12"/>
        <v>34.4865</v>
      </c>
      <c r="I76" s="109">
        <v>0</v>
      </c>
      <c r="J76" s="111">
        <f t="shared" si="13"/>
        <v>34.4865</v>
      </c>
      <c r="K76" s="112">
        <f t="shared" si="14"/>
        <v>2264.6135</v>
      </c>
    </row>
    <row r="77" spans="1:11" s="63" customFormat="1" ht="12" customHeight="1">
      <c r="A77" s="76" t="s">
        <v>403</v>
      </c>
      <c r="B77" s="72" t="s">
        <v>223</v>
      </c>
      <c r="C77" s="73">
        <v>2005</v>
      </c>
      <c r="D77" s="109">
        <v>0</v>
      </c>
      <c r="E77" s="109">
        <v>1933.81</v>
      </c>
      <c r="F77" s="111">
        <v>1933.81</v>
      </c>
      <c r="G77" s="63">
        <v>1.5</v>
      </c>
      <c r="H77" s="111">
        <f t="shared" si="12"/>
        <v>29.007150000000003</v>
      </c>
      <c r="I77" s="109">
        <v>0</v>
      </c>
      <c r="J77" s="111">
        <f t="shared" si="13"/>
        <v>29.007150000000003</v>
      </c>
      <c r="K77" s="112">
        <f t="shared" si="14"/>
        <v>1904.80285</v>
      </c>
    </row>
    <row r="78" spans="1:11" s="63" customFormat="1" ht="12" customHeight="1">
      <c r="A78" s="76" t="s">
        <v>404</v>
      </c>
      <c r="B78" s="72" t="s">
        <v>223</v>
      </c>
      <c r="C78" s="73">
        <v>2005</v>
      </c>
      <c r="D78" s="109">
        <v>0</v>
      </c>
      <c r="E78" s="109">
        <v>2694.62</v>
      </c>
      <c r="F78" s="111">
        <v>2694.62</v>
      </c>
      <c r="G78" s="63">
        <v>1.5</v>
      </c>
      <c r="H78" s="111">
        <f t="shared" si="12"/>
        <v>40.4193</v>
      </c>
      <c r="I78" s="109">
        <v>0</v>
      </c>
      <c r="J78" s="111">
        <f t="shared" si="13"/>
        <v>40.4193</v>
      </c>
      <c r="K78" s="112">
        <f t="shared" si="14"/>
        <v>2654.2007</v>
      </c>
    </row>
    <row r="79" spans="1:11" s="63" customFormat="1" ht="12" customHeight="1">
      <c r="A79" s="76" t="s">
        <v>405</v>
      </c>
      <c r="B79" s="72" t="s">
        <v>223</v>
      </c>
      <c r="C79" s="73">
        <v>2005</v>
      </c>
      <c r="D79" s="109">
        <v>0</v>
      </c>
      <c r="E79" s="109">
        <f>4160+312</f>
        <v>4472</v>
      </c>
      <c r="F79" s="111">
        <v>4472</v>
      </c>
      <c r="G79" s="63">
        <v>1.5</v>
      </c>
      <c r="H79" s="111">
        <f t="shared" si="12"/>
        <v>67.08</v>
      </c>
      <c r="I79" s="109">
        <v>0</v>
      </c>
      <c r="J79" s="111">
        <f t="shared" si="13"/>
        <v>67.08</v>
      </c>
      <c r="K79" s="112">
        <f t="shared" si="14"/>
        <v>4404.92</v>
      </c>
    </row>
    <row r="80" spans="1:11" s="63" customFormat="1" ht="12" customHeight="1">
      <c r="A80" s="76" t="s">
        <v>406</v>
      </c>
      <c r="B80" s="72" t="s">
        <v>223</v>
      </c>
      <c r="C80" s="73">
        <v>2005</v>
      </c>
      <c r="D80" s="109">
        <v>0</v>
      </c>
      <c r="E80" s="109">
        <v>1530</v>
      </c>
      <c r="F80" s="111">
        <v>1530</v>
      </c>
      <c r="G80" s="63">
        <v>1.5</v>
      </c>
      <c r="H80" s="111">
        <f t="shared" si="12"/>
        <v>22.95</v>
      </c>
      <c r="I80" s="109">
        <v>0</v>
      </c>
      <c r="J80" s="111">
        <f t="shared" si="13"/>
        <v>22.95</v>
      </c>
      <c r="K80" s="112">
        <f t="shared" si="14"/>
        <v>1507.05</v>
      </c>
    </row>
    <row r="81" spans="1:11" s="63" customFormat="1" ht="12" customHeight="1">
      <c r="A81" s="76" t="s">
        <v>407</v>
      </c>
      <c r="B81" s="72" t="s">
        <v>223</v>
      </c>
      <c r="C81" s="73">
        <v>2005</v>
      </c>
      <c r="D81" s="109">
        <v>0</v>
      </c>
      <c r="E81" s="109">
        <v>90808.66</v>
      </c>
      <c r="F81" s="111">
        <v>90808.66</v>
      </c>
      <c r="G81" s="63">
        <v>1.5</v>
      </c>
      <c r="H81" s="111">
        <f t="shared" si="12"/>
        <v>1362.1299</v>
      </c>
      <c r="I81" s="109">
        <v>0</v>
      </c>
      <c r="J81" s="111">
        <f t="shared" si="13"/>
        <v>1362.1299</v>
      </c>
      <c r="K81" s="112">
        <f t="shared" si="14"/>
        <v>89446.5301</v>
      </c>
    </row>
    <row r="82" spans="1:11" s="63" customFormat="1" ht="12" customHeight="1">
      <c r="A82" s="76" t="s">
        <v>408</v>
      </c>
      <c r="B82" s="72" t="s">
        <v>223</v>
      </c>
      <c r="C82" s="73">
        <v>2005</v>
      </c>
      <c r="D82" s="109">
        <v>0</v>
      </c>
      <c r="E82" s="109">
        <v>989.47</v>
      </c>
      <c r="F82" s="111">
        <v>989.47</v>
      </c>
      <c r="G82" s="63">
        <v>1.5</v>
      </c>
      <c r="H82" s="111">
        <f t="shared" si="12"/>
        <v>14.842049999999999</v>
      </c>
      <c r="I82" s="109">
        <v>0</v>
      </c>
      <c r="J82" s="111">
        <f t="shared" si="13"/>
        <v>14.842049999999999</v>
      </c>
      <c r="K82" s="112">
        <f t="shared" si="14"/>
        <v>974.62795</v>
      </c>
    </row>
    <row r="83" spans="1:11" s="63" customFormat="1" ht="12" customHeight="1">
      <c r="A83" s="76" t="s">
        <v>409</v>
      </c>
      <c r="B83" s="72" t="s">
        <v>223</v>
      </c>
      <c r="C83" s="73">
        <v>2005</v>
      </c>
      <c r="D83" s="109">
        <v>0</v>
      </c>
      <c r="E83" s="109">
        <v>1530</v>
      </c>
      <c r="F83" s="111">
        <v>1530</v>
      </c>
      <c r="G83" s="63">
        <v>1.5</v>
      </c>
      <c r="H83" s="111">
        <f t="shared" si="12"/>
        <v>22.95</v>
      </c>
      <c r="I83" s="109">
        <v>0</v>
      </c>
      <c r="J83" s="111">
        <f t="shared" si="13"/>
        <v>22.95</v>
      </c>
      <c r="K83" s="112">
        <f t="shared" si="14"/>
        <v>1507.05</v>
      </c>
    </row>
    <row r="84" spans="1:11" s="63" customFormat="1" ht="12" customHeight="1">
      <c r="A84" s="76" t="s">
        <v>410</v>
      </c>
      <c r="B84" s="72" t="s">
        <v>223</v>
      </c>
      <c r="C84" s="73">
        <v>2005</v>
      </c>
      <c r="D84" s="109">
        <v>0</v>
      </c>
      <c r="E84" s="109">
        <v>902.5</v>
      </c>
      <c r="F84" s="111">
        <v>902.5</v>
      </c>
      <c r="G84" s="63">
        <v>1.5</v>
      </c>
      <c r="H84" s="111">
        <f t="shared" si="12"/>
        <v>13.5375</v>
      </c>
      <c r="I84" s="109">
        <v>0</v>
      </c>
      <c r="J84" s="111">
        <f t="shared" si="13"/>
        <v>13.5375</v>
      </c>
      <c r="K84" s="112">
        <f t="shared" si="14"/>
        <v>888.9625</v>
      </c>
    </row>
    <row r="85" spans="1:11" s="63" customFormat="1" ht="12" customHeight="1">
      <c r="A85" s="76" t="s">
        <v>411</v>
      </c>
      <c r="B85" s="72" t="s">
        <v>223</v>
      </c>
      <c r="C85" s="73">
        <v>2005</v>
      </c>
      <c r="D85" s="109">
        <v>0</v>
      </c>
      <c r="E85" s="109">
        <v>3733.5</v>
      </c>
      <c r="F85" s="111">
        <v>3733.5</v>
      </c>
      <c r="G85" s="63">
        <v>1.5</v>
      </c>
      <c r="H85" s="111">
        <f t="shared" si="12"/>
        <v>56.0025</v>
      </c>
      <c r="I85" s="109">
        <v>0</v>
      </c>
      <c r="J85" s="111">
        <f t="shared" si="13"/>
        <v>56.0025</v>
      </c>
      <c r="K85" s="112">
        <f t="shared" si="14"/>
        <v>3677.4975</v>
      </c>
    </row>
    <row r="86" spans="1:11" s="63" customFormat="1" ht="12" customHeight="1">
      <c r="A86" s="76" t="s">
        <v>412</v>
      </c>
      <c r="B86" s="72" t="s">
        <v>91</v>
      </c>
      <c r="C86" s="73">
        <v>2005</v>
      </c>
      <c r="D86" s="109">
        <v>0</v>
      </c>
      <c r="E86" s="109">
        <v>10000</v>
      </c>
      <c r="F86" s="111">
        <v>10000</v>
      </c>
      <c r="G86" s="63">
        <v>1.5</v>
      </c>
      <c r="H86" s="111">
        <f t="shared" si="12"/>
        <v>150</v>
      </c>
      <c r="I86" s="109">
        <v>0</v>
      </c>
      <c r="J86" s="111">
        <f t="shared" si="13"/>
        <v>150</v>
      </c>
      <c r="K86" s="112">
        <f t="shared" si="14"/>
        <v>9850</v>
      </c>
    </row>
    <row r="87" spans="1:11" s="63" customFormat="1" ht="12" customHeight="1">
      <c r="A87" s="76" t="s">
        <v>413</v>
      </c>
      <c r="B87" s="72" t="s">
        <v>421</v>
      </c>
      <c r="C87" s="73">
        <v>2005</v>
      </c>
      <c r="D87" s="109">
        <v>0</v>
      </c>
      <c r="E87" s="109">
        <v>10353.04</v>
      </c>
      <c r="F87" s="111">
        <v>10353.04</v>
      </c>
      <c r="G87" s="63">
        <v>1.5</v>
      </c>
      <c r="H87" s="111">
        <f t="shared" si="12"/>
        <v>155.2956</v>
      </c>
      <c r="I87" s="109">
        <v>0</v>
      </c>
      <c r="J87" s="111">
        <f t="shared" si="13"/>
        <v>155.2956</v>
      </c>
      <c r="K87" s="112">
        <f t="shared" si="14"/>
        <v>10197.744400000001</v>
      </c>
    </row>
    <row r="88" spans="1:11" s="63" customFormat="1" ht="12" customHeight="1">
      <c r="A88" s="76" t="s">
        <v>414</v>
      </c>
      <c r="B88" s="72" t="s">
        <v>421</v>
      </c>
      <c r="C88" s="73">
        <v>2005</v>
      </c>
      <c r="D88" s="109">
        <v>0</v>
      </c>
      <c r="E88" s="109">
        <v>4250.1</v>
      </c>
      <c r="F88" s="111">
        <v>4250.1</v>
      </c>
      <c r="G88" s="63">
        <v>1.5</v>
      </c>
      <c r="H88" s="111">
        <f t="shared" si="12"/>
        <v>63.75150000000001</v>
      </c>
      <c r="I88" s="109">
        <v>0</v>
      </c>
      <c r="J88" s="111">
        <f t="shared" si="13"/>
        <v>63.75150000000001</v>
      </c>
      <c r="K88" s="112">
        <f t="shared" si="14"/>
        <v>4186.3485</v>
      </c>
    </row>
    <row r="89" spans="1:11" s="63" customFormat="1" ht="12" customHeight="1">
      <c r="A89" s="76"/>
      <c r="B89" s="72"/>
      <c r="C89" s="73"/>
      <c r="D89" s="109"/>
      <c r="E89" s="109"/>
      <c r="F89" s="111"/>
      <c r="H89" s="111"/>
      <c r="I89" s="109"/>
      <c r="J89" s="111"/>
      <c r="K89" s="112"/>
    </row>
    <row r="90" spans="1:11" ht="12" customHeight="1" thickBot="1">
      <c r="A90" s="18"/>
      <c r="B90" s="4"/>
      <c r="C90" s="4"/>
      <c r="D90" s="6"/>
      <c r="E90" s="6"/>
      <c r="F90" s="6"/>
      <c r="G90" s="6"/>
      <c r="H90" s="6"/>
      <c r="I90" s="6"/>
      <c r="J90" s="6"/>
      <c r="K90" s="6"/>
    </row>
    <row r="91" spans="1:11" s="9" customFormat="1" ht="15.75" thickBot="1">
      <c r="A91" s="35" t="s">
        <v>93</v>
      </c>
      <c r="B91" s="36"/>
      <c r="C91" s="36"/>
      <c r="D91" s="89">
        <f>SUM(D54:D90)</f>
        <v>2446372.849134676</v>
      </c>
      <c r="E91" s="89">
        <f>SUM(E54:E90)</f>
        <v>135496.80000000002</v>
      </c>
      <c r="F91" s="89">
        <f>SUM(D90:E91)</f>
        <v>2581869.649134676</v>
      </c>
      <c r="G91" s="37"/>
      <c r="H91" s="89">
        <f>SUM(H54:H90)</f>
        <v>38728.04473702015</v>
      </c>
      <c r="I91" s="89">
        <f>SUM(I54:I90)</f>
        <v>130012.75</v>
      </c>
      <c r="J91" s="89">
        <f>SUM(J54:J90)</f>
        <v>168740.8347370202</v>
      </c>
      <c r="K91" s="89">
        <f>SUM(K54:K90)</f>
        <v>2413128.814397656</v>
      </c>
    </row>
    <row r="92" spans="1:11" ht="12" customHeight="1">
      <c r="A92" s="18"/>
      <c r="B92" s="4"/>
      <c r="C92" s="4"/>
      <c r="D92" s="6"/>
      <c r="E92" s="6"/>
      <c r="F92" s="6"/>
      <c r="G92" s="6"/>
      <c r="H92" s="6"/>
      <c r="I92" s="6"/>
      <c r="J92" s="6"/>
      <c r="K92" s="6"/>
    </row>
    <row r="93" spans="1:11" ht="18.75" customHeight="1">
      <c r="A93" s="1" t="s">
        <v>115</v>
      </c>
      <c r="B93" s="4"/>
      <c r="C93" s="4"/>
      <c r="D93" s="6"/>
      <c r="E93" s="6"/>
      <c r="F93" s="6"/>
      <c r="G93" s="6"/>
      <c r="H93" s="6"/>
      <c r="I93" s="6"/>
      <c r="J93" s="6"/>
      <c r="K93" s="6"/>
    </row>
    <row r="94" spans="1:11" ht="12" customHeight="1">
      <c r="A94" s="18"/>
      <c r="B94" s="4"/>
      <c r="C94" s="4"/>
      <c r="D94" s="6"/>
      <c r="E94" s="6"/>
      <c r="F94" s="6"/>
      <c r="G94" s="6"/>
      <c r="H94" s="6"/>
      <c r="I94" s="6"/>
      <c r="J94" s="6"/>
      <c r="K94" s="6"/>
    </row>
    <row r="95" spans="1:11" ht="12" customHeight="1">
      <c r="A95" s="19" t="s">
        <v>128</v>
      </c>
      <c r="B95" s="28" t="s">
        <v>68</v>
      </c>
      <c r="C95" s="10">
        <v>1999</v>
      </c>
      <c r="D95" s="91">
        <f>26000/1936.27</f>
        <v>13.427879376326649</v>
      </c>
      <c r="E95" s="31">
        <v>0</v>
      </c>
      <c r="F95" s="91">
        <f>+D95+E95</f>
        <v>13.427879376326649</v>
      </c>
      <c r="G95">
        <v>0</v>
      </c>
      <c r="H95" s="31">
        <f>F95*G95/100</f>
        <v>0</v>
      </c>
      <c r="I95" s="31">
        <v>0</v>
      </c>
      <c r="J95" s="31">
        <f>+H95+I95</f>
        <v>0</v>
      </c>
      <c r="K95" s="87">
        <f>+F95-J95</f>
        <v>13.427879376326649</v>
      </c>
    </row>
    <row r="96" spans="1:11" ht="12" customHeight="1" thickBot="1">
      <c r="A96" s="18"/>
      <c r="B96" s="4"/>
      <c r="C96" s="4"/>
      <c r="D96" s="6"/>
      <c r="E96" s="6"/>
      <c r="F96" s="6"/>
      <c r="G96" s="6"/>
      <c r="H96" s="6"/>
      <c r="I96" s="6"/>
      <c r="J96" s="6"/>
      <c r="K96" s="6"/>
    </row>
    <row r="97" spans="1:11" s="9" customFormat="1" ht="15.75" thickBot="1">
      <c r="A97" s="35" t="s">
        <v>116</v>
      </c>
      <c r="B97" s="36"/>
      <c r="C97" s="36"/>
      <c r="D97" s="89">
        <f>SUM(D95:D95)</f>
        <v>13.427879376326649</v>
      </c>
      <c r="E97" s="37">
        <f>SUM(E95:E95)</f>
        <v>0</v>
      </c>
      <c r="F97" s="89">
        <f>SUM(F95:F95)</f>
        <v>13.427879376326649</v>
      </c>
      <c r="G97" s="37"/>
      <c r="H97" s="37">
        <f>SUM(H95:H95)</f>
        <v>0</v>
      </c>
      <c r="I97" s="37">
        <f>SUM(I95:I95)</f>
        <v>0</v>
      </c>
      <c r="J97" s="37">
        <f>SUM(J95:J95)</f>
        <v>0</v>
      </c>
      <c r="K97" s="89">
        <f>SUM(K95:K95)</f>
        <v>13.427879376326649</v>
      </c>
    </row>
    <row r="103" ht="12.75">
      <c r="L103" s="63"/>
    </row>
    <row r="466" spans="4:10" ht="12.75">
      <c r="D466"/>
      <c r="E466"/>
      <c r="F466"/>
      <c r="H466"/>
      <c r="I466"/>
      <c r="J466"/>
    </row>
    <row r="467" spans="4:10" ht="12.75">
      <c r="D467"/>
      <c r="E467"/>
      <c r="F467"/>
      <c r="H467"/>
      <c r="I467"/>
      <c r="J467"/>
    </row>
    <row r="468" spans="4:10" ht="12.75">
      <c r="D468"/>
      <c r="E468"/>
      <c r="F468"/>
      <c r="H468"/>
      <c r="I468"/>
      <c r="J468"/>
    </row>
    <row r="469" spans="4:10" ht="12.75">
      <c r="D469"/>
      <c r="E469"/>
      <c r="F469"/>
      <c r="H469"/>
      <c r="I469"/>
      <c r="J469"/>
    </row>
    <row r="470" spans="4:10" ht="12.75">
      <c r="D470"/>
      <c r="E470"/>
      <c r="F470"/>
      <c r="H470"/>
      <c r="I470"/>
      <c r="J470"/>
    </row>
    <row r="471" spans="4:10" ht="12.75">
      <c r="D471"/>
      <c r="E471"/>
      <c r="F471"/>
      <c r="H471"/>
      <c r="I471"/>
      <c r="J471"/>
    </row>
    <row r="472" spans="4:10" ht="12.75">
      <c r="D472"/>
      <c r="E472"/>
      <c r="F472"/>
      <c r="H472"/>
      <c r="I472"/>
      <c r="J472"/>
    </row>
    <row r="473" spans="4:10" ht="12.75">
      <c r="D473"/>
      <c r="E473"/>
      <c r="F473"/>
      <c r="H473"/>
      <c r="I473"/>
      <c r="J473"/>
    </row>
    <row r="474" spans="4:10" ht="12.75">
      <c r="D474"/>
      <c r="E474"/>
      <c r="F474"/>
      <c r="H474"/>
      <c r="I474"/>
      <c r="J474"/>
    </row>
    <row r="475" spans="4:10" ht="12.75">
      <c r="D475"/>
      <c r="E475"/>
      <c r="F475"/>
      <c r="H475"/>
      <c r="I475"/>
      <c r="J475"/>
    </row>
    <row r="476" spans="4:10" ht="12.75">
      <c r="D476"/>
      <c r="E476"/>
      <c r="F476"/>
      <c r="H476"/>
      <c r="I476"/>
      <c r="J476"/>
    </row>
    <row r="477" spans="4:10" ht="12.75">
      <c r="D477"/>
      <c r="E477"/>
      <c r="F477"/>
      <c r="H477"/>
      <c r="I477"/>
      <c r="J477"/>
    </row>
    <row r="478" spans="4:10" ht="12.75">
      <c r="D478"/>
      <c r="E478"/>
      <c r="F478"/>
      <c r="H478"/>
      <c r="I478"/>
      <c r="J478"/>
    </row>
    <row r="479" spans="4:10" ht="12.75">
      <c r="D479"/>
      <c r="E479"/>
      <c r="F479"/>
      <c r="H479"/>
      <c r="I479"/>
      <c r="J479"/>
    </row>
    <row r="480" spans="4:10" ht="12.75">
      <c r="D480"/>
      <c r="E480"/>
      <c r="F480"/>
      <c r="H480"/>
      <c r="I480"/>
      <c r="J480"/>
    </row>
    <row r="481" spans="4:10" ht="12.75">
      <c r="D481"/>
      <c r="E481"/>
      <c r="F481"/>
      <c r="H481"/>
      <c r="I481"/>
      <c r="J481"/>
    </row>
    <row r="482" spans="4:10" ht="12.75">
      <c r="D482"/>
      <c r="E482"/>
      <c r="F482"/>
      <c r="H482"/>
      <c r="I482"/>
      <c r="J482"/>
    </row>
    <row r="483" spans="4:10" ht="12.75">
      <c r="D483"/>
      <c r="E483"/>
      <c r="F483"/>
      <c r="H483"/>
      <c r="I483"/>
      <c r="J483"/>
    </row>
    <row r="484" spans="4:10" ht="12.75">
      <c r="D484"/>
      <c r="E484"/>
      <c r="F484"/>
      <c r="H484"/>
      <c r="I484"/>
      <c r="J484"/>
    </row>
    <row r="485" spans="4:10" ht="12.75">
      <c r="D485"/>
      <c r="E485"/>
      <c r="F485"/>
      <c r="H485"/>
      <c r="I485"/>
      <c r="J485"/>
    </row>
    <row r="486" spans="4:10" ht="12.75">
      <c r="D486"/>
      <c r="E486"/>
      <c r="F486"/>
      <c r="H486"/>
      <c r="I486"/>
      <c r="J486"/>
    </row>
    <row r="487" spans="4:10" ht="12.75">
      <c r="D487"/>
      <c r="E487"/>
      <c r="F487"/>
      <c r="H487"/>
      <c r="I487"/>
      <c r="J487"/>
    </row>
    <row r="488" spans="4:10" ht="12.75">
      <c r="D488"/>
      <c r="E488"/>
      <c r="F488"/>
      <c r="H488"/>
      <c r="I488"/>
      <c r="J488"/>
    </row>
    <row r="489" spans="4:10" ht="12.75">
      <c r="D489"/>
      <c r="E489"/>
      <c r="F489"/>
      <c r="H489"/>
      <c r="I489"/>
      <c r="J489"/>
    </row>
    <row r="490" spans="4:10" ht="12.75">
      <c r="D490"/>
      <c r="E490"/>
      <c r="F490"/>
      <c r="H490"/>
      <c r="I490"/>
      <c r="J490"/>
    </row>
    <row r="491" spans="4:10" ht="12.75">
      <c r="D491"/>
      <c r="E491"/>
      <c r="F491"/>
      <c r="H491"/>
      <c r="I491"/>
      <c r="J491"/>
    </row>
    <row r="492" spans="4:10" ht="12.75">
      <c r="D492"/>
      <c r="E492"/>
      <c r="F492"/>
      <c r="H492"/>
      <c r="I492"/>
      <c r="J492"/>
    </row>
    <row r="493" spans="4:10" ht="12.75">
      <c r="D493"/>
      <c r="E493"/>
      <c r="F493"/>
      <c r="H493"/>
      <c r="I493"/>
      <c r="J493"/>
    </row>
    <row r="494" spans="4:10" ht="12.75">
      <c r="D494"/>
      <c r="E494"/>
      <c r="F494"/>
      <c r="H494"/>
      <c r="I494"/>
      <c r="J494"/>
    </row>
    <row r="495" spans="4:10" ht="12.75">
      <c r="D495"/>
      <c r="E495"/>
      <c r="F495"/>
      <c r="H495"/>
      <c r="I495"/>
      <c r="J495"/>
    </row>
    <row r="496" spans="4:10" ht="12.75">
      <c r="D496"/>
      <c r="E496"/>
      <c r="F496"/>
      <c r="H496"/>
      <c r="I496"/>
      <c r="J496"/>
    </row>
    <row r="497" spans="4:10" ht="12.75">
      <c r="D497"/>
      <c r="E497"/>
      <c r="F497"/>
      <c r="H497"/>
      <c r="I497"/>
      <c r="J497"/>
    </row>
    <row r="498" spans="1:44" ht="14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</row>
    <row r="499" spans="4:10" ht="12.75">
      <c r="D499"/>
      <c r="E499"/>
      <c r="F499"/>
      <c r="H499"/>
      <c r="I499"/>
      <c r="J499"/>
    </row>
    <row r="500" spans="4:10" ht="12.75">
      <c r="D500"/>
      <c r="E500"/>
      <c r="F500"/>
      <c r="H500"/>
      <c r="I500"/>
      <c r="J500"/>
    </row>
    <row r="501" spans="4:10" ht="12.75">
      <c r="D501"/>
      <c r="E501"/>
      <c r="F501"/>
      <c r="H501"/>
      <c r="I501"/>
      <c r="J501"/>
    </row>
    <row r="502" spans="4:10" ht="12.75">
      <c r="D502"/>
      <c r="E502"/>
      <c r="F502"/>
      <c r="H502"/>
      <c r="I502"/>
      <c r="J502"/>
    </row>
    <row r="503" spans="4:10" ht="12.75">
      <c r="D503"/>
      <c r="E503"/>
      <c r="F503"/>
      <c r="H503"/>
      <c r="I503"/>
      <c r="J503"/>
    </row>
    <row r="504" spans="4:10" ht="12.75">
      <c r="D504"/>
      <c r="E504"/>
      <c r="F504"/>
      <c r="H504"/>
      <c r="I504"/>
      <c r="J504"/>
    </row>
    <row r="505" spans="4:10" ht="12.75">
      <c r="D505"/>
      <c r="E505"/>
      <c r="F505"/>
      <c r="H505"/>
      <c r="I505"/>
      <c r="J505"/>
    </row>
    <row r="506" spans="4:10" ht="12.75">
      <c r="D506"/>
      <c r="E506"/>
      <c r="F506"/>
      <c r="H506"/>
      <c r="I506"/>
      <c r="J506"/>
    </row>
    <row r="507" spans="4:10" ht="12.75">
      <c r="D507"/>
      <c r="E507"/>
      <c r="F507"/>
      <c r="H507"/>
      <c r="I507"/>
      <c r="J507"/>
    </row>
    <row r="508" spans="4:10" ht="12.75">
      <c r="D508"/>
      <c r="E508"/>
      <c r="F508"/>
      <c r="H508"/>
      <c r="I508"/>
      <c r="J508"/>
    </row>
    <row r="509" spans="4:10" ht="12.75">
      <c r="D509"/>
      <c r="E509"/>
      <c r="F509"/>
      <c r="H509"/>
      <c r="I509"/>
      <c r="J509"/>
    </row>
    <row r="510" spans="4:10" ht="12.75">
      <c r="D510"/>
      <c r="E510"/>
      <c r="F510"/>
      <c r="H510"/>
      <c r="I510"/>
      <c r="J510"/>
    </row>
    <row r="511" spans="4:10" ht="12.75">
      <c r="D511"/>
      <c r="E511"/>
      <c r="F511"/>
      <c r="H511"/>
      <c r="I511"/>
      <c r="J511"/>
    </row>
    <row r="512" spans="4:10" ht="12.75">
      <c r="D512"/>
      <c r="E512"/>
      <c r="F512"/>
      <c r="H512"/>
      <c r="I512"/>
      <c r="J512"/>
    </row>
    <row r="513" spans="4:10" ht="12.75">
      <c r="D513"/>
      <c r="E513"/>
      <c r="F513"/>
      <c r="H513"/>
      <c r="I513"/>
      <c r="J513"/>
    </row>
    <row r="514" spans="4:10" ht="12.75">
      <c r="D514"/>
      <c r="E514"/>
      <c r="F514"/>
      <c r="H514"/>
      <c r="I514"/>
      <c r="J514"/>
    </row>
    <row r="515" spans="4:10" ht="12.75">
      <c r="D515"/>
      <c r="E515"/>
      <c r="F515"/>
      <c r="H515"/>
      <c r="I515"/>
      <c r="J515"/>
    </row>
    <row r="516" spans="4:10" ht="12.75">
      <c r="D516"/>
      <c r="E516"/>
      <c r="F516"/>
      <c r="H516"/>
      <c r="I516"/>
      <c r="J516"/>
    </row>
    <row r="517" spans="4:10" ht="12.75">
      <c r="D517"/>
      <c r="E517"/>
      <c r="F517"/>
      <c r="H517"/>
      <c r="I517"/>
      <c r="J517"/>
    </row>
    <row r="518" spans="4:10" ht="12.75">
      <c r="D518"/>
      <c r="E518"/>
      <c r="F518"/>
      <c r="H518"/>
      <c r="I518"/>
      <c r="J518"/>
    </row>
    <row r="519" spans="4:10" ht="12.75">
      <c r="D519"/>
      <c r="E519"/>
      <c r="F519"/>
      <c r="H519"/>
      <c r="I519"/>
      <c r="J519"/>
    </row>
    <row r="520" spans="4:10" ht="12.75">
      <c r="D520"/>
      <c r="E520"/>
      <c r="F520"/>
      <c r="H520"/>
      <c r="I520"/>
      <c r="J520"/>
    </row>
    <row r="521" spans="4:10" ht="12.75">
      <c r="D521"/>
      <c r="E521"/>
      <c r="F521"/>
      <c r="H521"/>
      <c r="I521"/>
      <c r="J521"/>
    </row>
    <row r="522" spans="4:10" ht="12.75">
      <c r="D522"/>
      <c r="E522"/>
      <c r="F522"/>
      <c r="H522"/>
      <c r="I522"/>
      <c r="J522"/>
    </row>
    <row r="523" spans="4:10" ht="12.75">
      <c r="D523"/>
      <c r="E523"/>
      <c r="F523"/>
      <c r="H523"/>
      <c r="I523"/>
      <c r="J523"/>
    </row>
    <row r="524" spans="4:10" ht="12.75">
      <c r="D524"/>
      <c r="E524"/>
      <c r="F524"/>
      <c r="H524"/>
      <c r="I524"/>
      <c r="J524"/>
    </row>
    <row r="525" spans="4:10" ht="12.75">
      <c r="D525"/>
      <c r="E525"/>
      <c r="F525"/>
      <c r="H525"/>
      <c r="I525"/>
      <c r="J525"/>
    </row>
    <row r="526" spans="4:10" ht="12.75">
      <c r="D526"/>
      <c r="E526"/>
      <c r="F526"/>
      <c r="H526"/>
      <c r="I526"/>
      <c r="J526"/>
    </row>
    <row r="527" spans="4:10" ht="12.75">
      <c r="D527"/>
      <c r="E527"/>
      <c r="F527"/>
      <c r="H527"/>
      <c r="I527"/>
      <c r="J527"/>
    </row>
    <row r="528" spans="4:10" ht="12.75">
      <c r="D528"/>
      <c r="E528"/>
      <c r="F528"/>
      <c r="H528"/>
      <c r="I528"/>
      <c r="J528"/>
    </row>
    <row r="529" spans="4:10" ht="12.75">
      <c r="D529"/>
      <c r="E529"/>
      <c r="F529"/>
      <c r="H529"/>
      <c r="I529"/>
      <c r="J529"/>
    </row>
    <row r="530" spans="4:10" ht="12.75">
      <c r="D530"/>
      <c r="E530"/>
      <c r="F530"/>
      <c r="H530"/>
      <c r="I530"/>
      <c r="J530"/>
    </row>
    <row r="531" spans="4:10" ht="12.75">
      <c r="D531"/>
      <c r="E531"/>
      <c r="F531"/>
      <c r="H531"/>
      <c r="I531"/>
      <c r="J531"/>
    </row>
    <row r="532" spans="4:10" ht="12.75">
      <c r="D532"/>
      <c r="E532"/>
      <c r="F532"/>
      <c r="H532"/>
      <c r="I532"/>
      <c r="J532"/>
    </row>
    <row r="533" spans="4:10" ht="12.75">
      <c r="D533"/>
      <c r="E533"/>
      <c r="F533"/>
      <c r="H533"/>
      <c r="I533"/>
      <c r="J533"/>
    </row>
    <row r="534" spans="4:10" ht="12.75">
      <c r="D534"/>
      <c r="E534"/>
      <c r="F534"/>
      <c r="H534"/>
      <c r="I534"/>
      <c r="J534"/>
    </row>
    <row r="535" spans="4:10" ht="12.75">
      <c r="D535"/>
      <c r="E535"/>
      <c r="F535"/>
      <c r="H535"/>
      <c r="I535"/>
      <c r="J535"/>
    </row>
    <row r="536" spans="4:10" ht="12.75">
      <c r="D536"/>
      <c r="E536"/>
      <c r="F536"/>
      <c r="H536"/>
      <c r="I536"/>
      <c r="J536"/>
    </row>
    <row r="537" spans="4:10" ht="12.75">
      <c r="D537"/>
      <c r="E537"/>
      <c r="F537"/>
      <c r="H537"/>
      <c r="I537"/>
      <c r="J537"/>
    </row>
    <row r="538" spans="4:10" ht="12.75">
      <c r="D538"/>
      <c r="E538"/>
      <c r="F538"/>
      <c r="H538"/>
      <c r="I538"/>
      <c r="J538"/>
    </row>
    <row r="539" spans="4:10" ht="12.75">
      <c r="D539"/>
      <c r="E539"/>
      <c r="F539"/>
      <c r="H539"/>
      <c r="I539"/>
      <c r="J539"/>
    </row>
    <row r="540" spans="4:10" ht="12.75">
      <c r="D540"/>
      <c r="E540"/>
      <c r="F540"/>
      <c r="H540"/>
      <c r="I540"/>
      <c r="J540"/>
    </row>
    <row r="541" spans="4:10" ht="12.75">
      <c r="D541"/>
      <c r="E541"/>
      <c r="F541"/>
      <c r="H541"/>
      <c r="I541"/>
      <c r="J541"/>
    </row>
    <row r="542" spans="4:10" ht="12.75">
      <c r="D542"/>
      <c r="E542"/>
      <c r="F542"/>
      <c r="H542"/>
      <c r="I542"/>
      <c r="J542"/>
    </row>
    <row r="543" spans="4:10" ht="12.75">
      <c r="D543"/>
      <c r="E543"/>
      <c r="F543"/>
      <c r="H543"/>
      <c r="I543"/>
      <c r="J543"/>
    </row>
    <row r="544" spans="4:10" ht="12.75">
      <c r="D544"/>
      <c r="E544"/>
      <c r="F544"/>
      <c r="H544"/>
      <c r="I544"/>
      <c r="J544"/>
    </row>
    <row r="545" spans="4:10" ht="12.75">
      <c r="D545"/>
      <c r="E545"/>
      <c r="F545"/>
      <c r="H545"/>
      <c r="I545"/>
      <c r="J545"/>
    </row>
    <row r="546" spans="4:10" ht="12.75">
      <c r="D546"/>
      <c r="E546"/>
      <c r="F546"/>
      <c r="H546"/>
      <c r="I546"/>
      <c r="J546"/>
    </row>
    <row r="547" spans="4:10" ht="12.75">
      <c r="D547"/>
      <c r="E547"/>
      <c r="F547"/>
      <c r="H547"/>
      <c r="I547"/>
      <c r="J547"/>
    </row>
    <row r="548" spans="4:10" ht="12.75">
      <c r="D548"/>
      <c r="E548"/>
      <c r="F548"/>
      <c r="H548"/>
      <c r="I548"/>
      <c r="J548"/>
    </row>
    <row r="549" spans="4:10" ht="12.75">
      <c r="D549"/>
      <c r="E549"/>
      <c r="F549"/>
      <c r="H549"/>
      <c r="I549"/>
      <c r="J549"/>
    </row>
    <row r="550" spans="4:10" ht="12.75">
      <c r="D550"/>
      <c r="E550"/>
      <c r="F550"/>
      <c r="H550"/>
      <c r="I550"/>
      <c r="J550"/>
    </row>
    <row r="551" spans="4:10" ht="12.75">
      <c r="D551"/>
      <c r="E551"/>
      <c r="F551"/>
      <c r="H551"/>
      <c r="I551"/>
      <c r="J551"/>
    </row>
    <row r="552" spans="4:10" ht="12.75">
      <c r="D552"/>
      <c r="E552"/>
      <c r="F552"/>
      <c r="H552"/>
      <c r="I552"/>
      <c r="J552"/>
    </row>
    <row r="553" spans="4:10" ht="12.75">
      <c r="D553"/>
      <c r="E553"/>
      <c r="F553"/>
      <c r="H553"/>
      <c r="I553"/>
      <c r="J553"/>
    </row>
    <row r="554" spans="4:10" ht="12.75">
      <c r="D554"/>
      <c r="E554"/>
      <c r="F554"/>
      <c r="H554"/>
      <c r="I554"/>
      <c r="J554"/>
    </row>
    <row r="555" spans="4:10" ht="12.75">
      <c r="D555"/>
      <c r="E555"/>
      <c r="F555"/>
      <c r="H555"/>
      <c r="I555"/>
      <c r="J555"/>
    </row>
    <row r="556" spans="4:10" ht="12.75">
      <c r="D556"/>
      <c r="E556"/>
      <c r="F556"/>
      <c r="H556"/>
      <c r="I556"/>
      <c r="J556"/>
    </row>
    <row r="557" spans="4:10" ht="12.75">
      <c r="D557"/>
      <c r="E557"/>
      <c r="F557"/>
      <c r="H557"/>
      <c r="I557"/>
      <c r="J557"/>
    </row>
    <row r="558" spans="4:10" ht="12.75">
      <c r="D558"/>
      <c r="E558"/>
      <c r="F558"/>
      <c r="H558"/>
      <c r="I558"/>
      <c r="J558"/>
    </row>
    <row r="559" spans="4:10" ht="12.75">
      <c r="D559"/>
      <c r="E559"/>
      <c r="F559"/>
      <c r="H559"/>
      <c r="I559"/>
      <c r="J559"/>
    </row>
    <row r="560" spans="1:44" ht="15">
      <c r="A560" s="13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</row>
    <row r="561" spans="4:10" ht="12.75">
      <c r="D561"/>
      <c r="E561"/>
      <c r="F561"/>
      <c r="H561"/>
      <c r="I561"/>
      <c r="J561"/>
    </row>
    <row r="562" spans="4:10" ht="12.75">
      <c r="D562"/>
      <c r="E562"/>
      <c r="F562"/>
      <c r="H562"/>
      <c r="I562"/>
      <c r="J562"/>
    </row>
    <row r="563" spans="4:10" ht="12.75">
      <c r="D563"/>
      <c r="E563"/>
      <c r="F563"/>
      <c r="H563"/>
      <c r="I563"/>
      <c r="J563"/>
    </row>
    <row r="564" spans="4:10" ht="12.75">
      <c r="D564"/>
      <c r="E564"/>
      <c r="F564"/>
      <c r="H564"/>
      <c r="I564"/>
      <c r="J564"/>
    </row>
    <row r="565" spans="4:10" ht="12.75">
      <c r="D565"/>
      <c r="E565"/>
      <c r="F565"/>
      <c r="H565"/>
      <c r="I565"/>
      <c r="J565"/>
    </row>
    <row r="566" spans="4:10" ht="12.75">
      <c r="D566"/>
      <c r="E566"/>
      <c r="F566"/>
      <c r="H566"/>
      <c r="I566"/>
      <c r="J566"/>
    </row>
    <row r="567" spans="4:10" ht="12.75">
      <c r="D567"/>
      <c r="E567"/>
      <c r="F567"/>
      <c r="H567"/>
      <c r="I567"/>
      <c r="J567"/>
    </row>
    <row r="568" spans="4:10" ht="12.75">
      <c r="D568"/>
      <c r="E568"/>
      <c r="F568"/>
      <c r="H568"/>
      <c r="I568"/>
      <c r="J568"/>
    </row>
    <row r="569" spans="4:10" ht="12.75">
      <c r="D569"/>
      <c r="E569"/>
      <c r="F569"/>
      <c r="H569"/>
      <c r="I569"/>
      <c r="J569"/>
    </row>
    <row r="570" spans="4:10" ht="12.75">
      <c r="D570"/>
      <c r="E570"/>
      <c r="F570"/>
      <c r="H570"/>
      <c r="I570"/>
      <c r="J570"/>
    </row>
    <row r="571" spans="4:10" ht="12.75">
      <c r="D571"/>
      <c r="E571"/>
      <c r="F571"/>
      <c r="H571"/>
      <c r="I571"/>
      <c r="J571"/>
    </row>
    <row r="572" spans="4:10" ht="12.75">
      <c r="D572"/>
      <c r="E572"/>
      <c r="F572"/>
      <c r="H572"/>
      <c r="I572"/>
      <c r="J572"/>
    </row>
    <row r="573" spans="4:10" ht="12.75">
      <c r="D573"/>
      <c r="E573"/>
      <c r="F573"/>
      <c r="H573"/>
      <c r="I573"/>
      <c r="J573"/>
    </row>
    <row r="574" spans="4:10" ht="12.75">
      <c r="D574"/>
      <c r="E574"/>
      <c r="F574"/>
      <c r="H574"/>
      <c r="I574"/>
      <c r="J574"/>
    </row>
    <row r="575" spans="4:10" ht="12.75">
      <c r="D575"/>
      <c r="E575"/>
      <c r="F575"/>
      <c r="H575"/>
      <c r="I575"/>
      <c r="J575"/>
    </row>
    <row r="576" spans="4:10" ht="12.75">
      <c r="D576"/>
      <c r="E576"/>
      <c r="F576"/>
      <c r="H576"/>
      <c r="I576"/>
      <c r="J576"/>
    </row>
    <row r="577" spans="4:10" ht="12.75">
      <c r="D577"/>
      <c r="E577"/>
      <c r="F577"/>
      <c r="H577"/>
      <c r="I577"/>
      <c r="J577"/>
    </row>
    <row r="578" spans="4:10" ht="12.75">
      <c r="D578"/>
      <c r="E578"/>
      <c r="F578"/>
      <c r="H578"/>
      <c r="I578"/>
      <c r="J578"/>
    </row>
    <row r="579" spans="4:10" ht="12.75">
      <c r="D579"/>
      <c r="E579"/>
      <c r="F579"/>
      <c r="H579"/>
      <c r="I579"/>
      <c r="J579"/>
    </row>
    <row r="580" spans="4:10" ht="12.75">
      <c r="D580"/>
      <c r="E580"/>
      <c r="F580"/>
      <c r="H580"/>
      <c r="I580"/>
      <c r="J580"/>
    </row>
    <row r="581" spans="4:10" ht="12.75">
      <c r="D581"/>
      <c r="E581"/>
      <c r="F581"/>
      <c r="H581"/>
      <c r="I581"/>
      <c r="J581"/>
    </row>
    <row r="582" spans="4:10" ht="12.75">
      <c r="D582"/>
      <c r="E582"/>
      <c r="F582"/>
      <c r="H582"/>
      <c r="I582"/>
      <c r="J582"/>
    </row>
    <row r="583" spans="4:10" ht="12.75">
      <c r="D583"/>
      <c r="E583"/>
      <c r="F583"/>
      <c r="H583"/>
      <c r="I583"/>
      <c r="J583"/>
    </row>
    <row r="584" spans="4:10" ht="12.75">
      <c r="D584"/>
      <c r="E584"/>
      <c r="F584"/>
      <c r="H584"/>
      <c r="I584"/>
      <c r="J584"/>
    </row>
    <row r="585" spans="4:10" ht="12.75">
      <c r="D585"/>
      <c r="E585"/>
      <c r="F585"/>
      <c r="H585"/>
      <c r="I585"/>
      <c r="J585"/>
    </row>
    <row r="586" spans="4:10" ht="12.75">
      <c r="D586"/>
      <c r="E586"/>
      <c r="F586"/>
      <c r="H586"/>
      <c r="I586"/>
      <c r="J586"/>
    </row>
    <row r="587" spans="4:10" ht="12.75">
      <c r="D587"/>
      <c r="E587"/>
      <c r="F587"/>
      <c r="H587"/>
      <c r="I587"/>
      <c r="J587"/>
    </row>
    <row r="588" spans="4:10" ht="12.75">
      <c r="D588"/>
      <c r="E588"/>
      <c r="F588"/>
      <c r="H588"/>
      <c r="I588"/>
      <c r="J588"/>
    </row>
    <row r="589" spans="4:10" ht="12.75">
      <c r="D589"/>
      <c r="E589"/>
      <c r="F589"/>
      <c r="H589"/>
      <c r="I589"/>
      <c r="J589"/>
    </row>
    <row r="590" spans="4:10" ht="12.75">
      <c r="D590"/>
      <c r="E590"/>
      <c r="F590"/>
      <c r="H590"/>
      <c r="I590"/>
      <c r="J590"/>
    </row>
    <row r="591" spans="4:10" ht="12.75">
      <c r="D591"/>
      <c r="E591"/>
      <c r="F591"/>
      <c r="H591"/>
      <c r="I591"/>
      <c r="J591"/>
    </row>
    <row r="592" spans="4:10" ht="12.75">
      <c r="D592"/>
      <c r="E592"/>
      <c r="F592"/>
      <c r="H592"/>
      <c r="I592"/>
      <c r="J592"/>
    </row>
    <row r="593" spans="4:10" ht="12.75">
      <c r="D593"/>
      <c r="E593"/>
      <c r="F593"/>
      <c r="H593"/>
      <c r="I593"/>
      <c r="J593"/>
    </row>
    <row r="594" spans="4:10" ht="12.75">
      <c r="D594"/>
      <c r="E594"/>
      <c r="F594"/>
      <c r="H594"/>
      <c r="I594"/>
      <c r="J594"/>
    </row>
    <row r="595" spans="4:10" ht="12.75">
      <c r="D595"/>
      <c r="E595"/>
      <c r="F595"/>
      <c r="H595"/>
      <c r="I595"/>
      <c r="J595"/>
    </row>
    <row r="596" spans="4:10" ht="12.75">
      <c r="D596"/>
      <c r="E596"/>
      <c r="F596"/>
      <c r="H596"/>
      <c r="I596"/>
      <c r="J596"/>
    </row>
    <row r="597" spans="4:10" ht="12.75">
      <c r="D597"/>
      <c r="E597"/>
      <c r="F597"/>
      <c r="H597"/>
      <c r="I597"/>
      <c r="J597"/>
    </row>
    <row r="598" spans="4:10" ht="12.75">
      <c r="D598"/>
      <c r="E598"/>
      <c r="F598"/>
      <c r="H598"/>
      <c r="I598"/>
      <c r="J598"/>
    </row>
    <row r="599" spans="4:10" ht="12.75">
      <c r="D599"/>
      <c r="E599"/>
      <c r="F599"/>
      <c r="H599"/>
      <c r="I599"/>
      <c r="J599"/>
    </row>
    <row r="600" spans="4:10" ht="12.75">
      <c r="D600"/>
      <c r="E600"/>
      <c r="F600"/>
      <c r="H600"/>
      <c r="I600"/>
      <c r="J600"/>
    </row>
    <row r="601" spans="4:10" ht="12.75">
      <c r="D601"/>
      <c r="E601"/>
      <c r="F601"/>
      <c r="H601"/>
      <c r="I601"/>
      <c r="J601"/>
    </row>
    <row r="602" spans="4:10" ht="12.75">
      <c r="D602"/>
      <c r="E602"/>
      <c r="F602"/>
      <c r="H602"/>
      <c r="I602"/>
      <c r="J602"/>
    </row>
    <row r="603" spans="4:10" ht="12.75">
      <c r="D603"/>
      <c r="E603"/>
      <c r="F603"/>
      <c r="H603"/>
      <c r="I603"/>
      <c r="J603"/>
    </row>
    <row r="604" spans="4:10" ht="12.75">
      <c r="D604"/>
      <c r="E604"/>
      <c r="F604"/>
      <c r="H604"/>
      <c r="I604"/>
      <c r="J604"/>
    </row>
    <row r="605" spans="4:10" ht="12.75">
      <c r="D605"/>
      <c r="E605"/>
      <c r="F605"/>
      <c r="H605"/>
      <c r="I605"/>
      <c r="J605"/>
    </row>
    <row r="606" spans="4:10" ht="12.75">
      <c r="D606"/>
      <c r="E606"/>
      <c r="F606"/>
      <c r="H606"/>
      <c r="I606"/>
      <c r="J606"/>
    </row>
    <row r="607" spans="4:10" ht="12.75">
      <c r="D607"/>
      <c r="E607"/>
      <c r="F607"/>
      <c r="H607"/>
      <c r="I607"/>
      <c r="J607"/>
    </row>
    <row r="608" spans="4:10" ht="12.75">
      <c r="D608"/>
      <c r="E608"/>
      <c r="F608"/>
      <c r="H608"/>
      <c r="I608"/>
      <c r="J608"/>
    </row>
    <row r="609" spans="4:10" ht="12.75">
      <c r="D609"/>
      <c r="E609"/>
      <c r="F609"/>
      <c r="H609"/>
      <c r="I609"/>
      <c r="J609"/>
    </row>
    <row r="610" spans="4:10" ht="12.75">
      <c r="D610"/>
      <c r="E610"/>
      <c r="F610"/>
      <c r="H610"/>
      <c r="I610"/>
      <c r="J610"/>
    </row>
    <row r="611" spans="4:10" ht="12.75">
      <c r="D611"/>
      <c r="E611"/>
      <c r="F611"/>
      <c r="H611"/>
      <c r="I611"/>
      <c r="J611"/>
    </row>
    <row r="612" spans="4:10" ht="12.75">
      <c r="D612"/>
      <c r="E612"/>
      <c r="F612"/>
      <c r="H612"/>
      <c r="I612"/>
      <c r="J612"/>
    </row>
    <row r="613" spans="4:10" ht="12.75">
      <c r="D613"/>
      <c r="E613"/>
      <c r="F613"/>
      <c r="H613"/>
      <c r="I613"/>
      <c r="J613"/>
    </row>
    <row r="614" spans="4:10" ht="12.75">
      <c r="D614"/>
      <c r="E614"/>
      <c r="F614"/>
      <c r="H614"/>
      <c r="I614"/>
      <c r="J614"/>
    </row>
    <row r="615" spans="4:10" ht="12.75">
      <c r="D615"/>
      <c r="E615"/>
      <c r="F615"/>
      <c r="H615"/>
      <c r="I615"/>
      <c r="J615"/>
    </row>
    <row r="616" spans="4:10" ht="12.75">
      <c r="D616"/>
      <c r="E616"/>
      <c r="F616"/>
      <c r="H616"/>
      <c r="I616"/>
      <c r="J616"/>
    </row>
    <row r="617" spans="4:10" ht="12.75">
      <c r="D617"/>
      <c r="E617"/>
      <c r="F617"/>
      <c r="H617"/>
      <c r="I617"/>
      <c r="J617"/>
    </row>
    <row r="618" spans="4:10" ht="12.75">
      <c r="D618"/>
      <c r="E618"/>
      <c r="F618"/>
      <c r="H618"/>
      <c r="I618"/>
      <c r="J618"/>
    </row>
    <row r="619" spans="4:10" ht="12.75">
      <c r="D619"/>
      <c r="E619"/>
      <c r="F619"/>
      <c r="H619"/>
      <c r="I619"/>
      <c r="J619"/>
    </row>
    <row r="620" spans="4:10" ht="12.75">
      <c r="D620"/>
      <c r="E620"/>
      <c r="F620"/>
      <c r="H620"/>
      <c r="I620"/>
      <c r="J620"/>
    </row>
    <row r="621" spans="4:10" ht="12.75">
      <c r="D621"/>
      <c r="E621"/>
      <c r="F621"/>
      <c r="H621"/>
      <c r="I621"/>
      <c r="J621"/>
    </row>
    <row r="622" spans="4:10" ht="12.75">
      <c r="D622"/>
      <c r="E622"/>
      <c r="F622"/>
      <c r="H622"/>
      <c r="I622"/>
      <c r="J622"/>
    </row>
    <row r="623" spans="4:10" ht="12.75">
      <c r="D623"/>
      <c r="E623"/>
      <c r="F623"/>
      <c r="H623"/>
      <c r="I623"/>
      <c r="J623"/>
    </row>
    <row r="624" spans="4:10" ht="12.75">
      <c r="D624"/>
      <c r="E624"/>
      <c r="F624"/>
      <c r="H624"/>
      <c r="I624"/>
      <c r="J624"/>
    </row>
    <row r="625" spans="4:10" ht="12.75">
      <c r="D625"/>
      <c r="E625"/>
      <c r="F625"/>
      <c r="H625"/>
      <c r="I625"/>
      <c r="J625"/>
    </row>
    <row r="626" spans="4:10" ht="12.75">
      <c r="D626"/>
      <c r="E626"/>
      <c r="F626"/>
      <c r="H626"/>
      <c r="I626"/>
      <c r="J626"/>
    </row>
    <row r="627" spans="4:10" ht="12.75">
      <c r="D627"/>
      <c r="E627"/>
      <c r="F627"/>
      <c r="H627"/>
      <c r="I627"/>
      <c r="J627"/>
    </row>
    <row r="628" spans="4:10" ht="12.75">
      <c r="D628"/>
      <c r="E628"/>
      <c r="F628"/>
      <c r="H628"/>
      <c r="I628"/>
      <c r="J628"/>
    </row>
    <row r="629" spans="4:10" ht="12.75">
      <c r="D629"/>
      <c r="E629"/>
      <c r="F629"/>
      <c r="H629"/>
      <c r="I629"/>
      <c r="J629"/>
    </row>
    <row r="630" spans="4:10" ht="12.75">
      <c r="D630"/>
      <c r="E630"/>
      <c r="F630"/>
      <c r="H630"/>
      <c r="I630"/>
      <c r="J630"/>
    </row>
    <row r="631" spans="4:10" ht="12.75">
      <c r="D631"/>
      <c r="E631"/>
      <c r="F631"/>
      <c r="H631"/>
      <c r="I631"/>
      <c r="J631"/>
    </row>
    <row r="632" spans="4:10" ht="12.75">
      <c r="D632"/>
      <c r="E632"/>
      <c r="F632"/>
      <c r="H632"/>
      <c r="I632"/>
      <c r="J632"/>
    </row>
    <row r="633" spans="4:10" ht="12.75">
      <c r="D633"/>
      <c r="E633"/>
      <c r="F633"/>
      <c r="H633"/>
      <c r="I633"/>
      <c r="J633"/>
    </row>
    <row r="634" spans="4:10" ht="12.75">
      <c r="D634"/>
      <c r="E634"/>
      <c r="F634"/>
      <c r="H634"/>
      <c r="I634"/>
      <c r="J634"/>
    </row>
    <row r="635" spans="4:10" ht="12.75">
      <c r="D635"/>
      <c r="E635"/>
      <c r="F635"/>
      <c r="H635"/>
      <c r="I635"/>
      <c r="J635"/>
    </row>
    <row r="636" spans="4:10" ht="12.75">
      <c r="D636"/>
      <c r="E636"/>
      <c r="F636"/>
      <c r="H636"/>
      <c r="I636"/>
      <c r="J636"/>
    </row>
    <row r="637" spans="4:10" ht="12.75">
      <c r="D637"/>
      <c r="E637"/>
      <c r="F637"/>
      <c r="H637"/>
      <c r="I637"/>
      <c r="J637"/>
    </row>
    <row r="638" spans="4:10" ht="12.75">
      <c r="D638"/>
      <c r="E638"/>
      <c r="F638"/>
      <c r="H638"/>
      <c r="I638"/>
      <c r="J638"/>
    </row>
    <row r="639" spans="4:10" ht="12.75">
      <c r="D639"/>
      <c r="E639"/>
      <c r="F639"/>
      <c r="H639"/>
      <c r="I639"/>
      <c r="J639"/>
    </row>
    <row r="640" spans="4:10" ht="12.75">
      <c r="D640"/>
      <c r="E640"/>
      <c r="F640"/>
      <c r="H640"/>
      <c r="I640"/>
      <c r="J640"/>
    </row>
    <row r="641" spans="4:10" ht="12.75">
      <c r="D641"/>
      <c r="E641"/>
      <c r="F641"/>
      <c r="H641"/>
      <c r="I641"/>
      <c r="J641"/>
    </row>
    <row r="642" spans="4:10" ht="12.75">
      <c r="D642"/>
      <c r="E642"/>
      <c r="F642"/>
      <c r="H642"/>
      <c r="I642"/>
      <c r="J642"/>
    </row>
    <row r="643" spans="4:10" ht="12.75">
      <c r="D643"/>
      <c r="E643"/>
      <c r="F643"/>
      <c r="H643"/>
      <c r="I643"/>
      <c r="J643"/>
    </row>
    <row r="644" spans="4:10" ht="12.75">
      <c r="D644"/>
      <c r="E644"/>
      <c r="F644"/>
      <c r="H644"/>
      <c r="I644"/>
      <c r="J644"/>
    </row>
    <row r="645" spans="4:10" ht="12.75">
      <c r="D645"/>
      <c r="E645"/>
      <c r="F645"/>
      <c r="H645"/>
      <c r="I645"/>
      <c r="J645"/>
    </row>
    <row r="646" spans="4:10" ht="12.75">
      <c r="D646"/>
      <c r="E646"/>
      <c r="F646"/>
      <c r="H646"/>
      <c r="I646"/>
      <c r="J646"/>
    </row>
    <row r="647" spans="4:10" ht="12.75">
      <c r="D647"/>
      <c r="E647"/>
      <c r="F647"/>
      <c r="H647"/>
      <c r="I647"/>
      <c r="J647"/>
    </row>
    <row r="648" spans="4:10" ht="12.75">
      <c r="D648"/>
      <c r="E648"/>
      <c r="F648"/>
      <c r="H648"/>
      <c r="I648"/>
      <c r="J648"/>
    </row>
    <row r="649" spans="4:10" ht="12.75">
      <c r="D649"/>
      <c r="E649"/>
      <c r="F649"/>
      <c r="H649"/>
      <c r="I649"/>
      <c r="J649"/>
    </row>
    <row r="650" spans="4:10" ht="12.75">
      <c r="D650"/>
      <c r="E650"/>
      <c r="F650"/>
      <c r="H650"/>
      <c r="I650"/>
      <c r="J650"/>
    </row>
    <row r="651" spans="4:10" ht="12.75">
      <c r="D651"/>
      <c r="E651"/>
      <c r="F651"/>
      <c r="H651"/>
      <c r="I651"/>
      <c r="J651"/>
    </row>
    <row r="652" spans="4:10" ht="12.75">
      <c r="D652"/>
      <c r="E652"/>
      <c r="F652"/>
      <c r="H652"/>
      <c r="I652"/>
      <c r="J652"/>
    </row>
    <row r="653" spans="4:10" ht="12.75">
      <c r="D653"/>
      <c r="E653"/>
      <c r="F653"/>
      <c r="H653"/>
      <c r="I653"/>
      <c r="J653"/>
    </row>
    <row r="654" spans="4:10" ht="12.75">
      <c r="D654"/>
      <c r="E654"/>
      <c r="F654"/>
      <c r="H654"/>
      <c r="I654"/>
      <c r="J654"/>
    </row>
    <row r="655" spans="4:10" ht="12.75">
      <c r="D655"/>
      <c r="E655"/>
      <c r="F655"/>
      <c r="H655"/>
      <c r="I655"/>
      <c r="J655"/>
    </row>
    <row r="656" spans="4:10" ht="12.75">
      <c r="D656"/>
      <c r="E656"/>
      <c r="F656"/>
      <c r="H656"/>
      <c r="I656"/>
      <c r="J656"/>
    </row>
    <row r="657" spans="4:10" ht="12.75">
      <c r="D657"/>
      <c r="E657"/>
      <c r="F657"/>
      <c r="H657"/>
      <c r="I657"/>
      <c r="J657"/>
    </row>
    <row r="658" spans="4:10" ht="12.75">
      <c r="D658"/>
      <c r="E658"/>
      <c r="F658"/>
      <c r="H658"/>
      <c r="I658"/>
      <c r="J658"/>
    </row>
    <row r="659" spans="4:10" ht="12.75">
      <c r="D659"/>
      <c r="E659"/>
      <c r="F659"/>
      <c r="H659"/>
      <c r="I659"/>
      <c r="J659"/>
    </row>
    <row r="660" spans="4:10" ht="12.75">
      <c r="D660"/>
      <c r="E660"/>
      <c r="F660"/>
      <c r="H660"/>
      <c r="I660"/>
      <c r="J660"/>
    </row>
    <row r="661" spans="4:10" ht="12.75">
      <c r="D661"/>
      <c r="E661"/>
      <c r="F661"/>
      <c r="H661"/>
      <c r="I661"/>
      <c r="J661"/>
    </row>
    <row r="662" spans="4:10" ht="12.75">
      <c r="D662"/>
      <c r="E662"/>
      <c r="F662"/>
      <c r="H662"/>
      <c r="I662"/>
      <c r="J662"/>
    </row>
    <row r="663" spans="4:10" ht="12.75">
      <c r="D663"/>
      <c r="E663"/>
      <c r="F663"/>
      <c r="H663"/>
      <c r="I663"/>
      <c r="J663"/>
    </row>
    <row r="664" spans="4:10" ht="12.75">
      <c r="D664"/>
      <c r="E664"/>
      <c r="F664"/>
      <c r="H664"/>
      <c r="I664"/>
      <c r="J664"/>
    </row>
    <row r="665" spans="4:10" ht="12.75">
      <c r="D665"/>
      <c r="E665"/>
      <c r="F665"/>
      <c r="H665"/>
      <c r="I665"/>
      <c r="J665"/>
    </row>
    <row r="666" spans="4:10" ht="12.75">
      <c r="D666"/>
      <c r="E666"/>
      <c r="F666"/>
      <c r="H666"/>
      <c r="I666"/>
      <c r="J666"/>
    </row>
    <row r="667" spans="4:10" ht="12.75">
      <c r="D667"/>
      <c r="E667"/>
      <c r="F667"/>
      <c r="H667"/>
      <c r="I667"/>
      <c r="J667"/>
    </row>
    <row r="668" spans="4:10" ht="12.75">
      <c r="D668"/>
      <c r="E668"/>
      <c r="F668"/>
      <c r="H668"/>
      <c r="I668"/>
      <c r="J668"/>
    </row>
    <row r="669" spans="4:10" ht="12.75">
      <c r="D669"/>
      <c r="E669"/>
      <c r="F669"/>
      <c r="H669"/>
      <c r="I669"/>
      <c r="J669"/>
    </row>
    <row r="670" spans="4:10" ht="12.75">
      <c r="D670"/>
      <c r="E670"/>
      <c r="F670"/>
      <c r="H670"/>
      <c r="I670"/>
      <c r="J670"/>
    </row>
    <row r="671" spans="4:10" ht="12.75">
      <c r="D671"/>
      <c r="E671"/>
      <c r="F671"/>
      <c r="H671"/>
      <c r="I671"/>
      <c r="J671"/>
    </row>
    <row r="672" spans="4:10" ht="12.75">
      <c r="D672"/>
      <c r="E672"/>
      <c r="F672"/>
      <c r="H672"/>
      <c r="I672"/>
      <c r="J672"/>
    </row>
    <row r="673" spans="4:10" ht="12.75">
      <c r="D673"/>
      <c r="E673"/>
      <c r="F673"/>
      <c r="H673"/>
      <c r="I673"/>
      <c r="J673"/>
    </row>
    <row r="674" spans="4:10" ht="12.75">
      <c r="D674"/>
      <c r="E674"/>
      <c r="F674"/>
      <c r="H674"/>
      <c r="I674"/>
      <c r="J674"/>
    </row>
    <row r="675" spans="4:10" ht="12.75">
      <c r="D675"/>
      <c r="E675"/>
      <c r="F675"/>
      <c r="H675"/>
      <c r="I675"/>
      <c r="J675"/>
    </row>
    <row r="676" spans="4:10" ht="12.75">
      <c r="D676"/>
      <c r="E676"/>
      <c r="F676"/>
      <c r="H676"/>
      <c r="I676"/>
      <c r="J676"/>
    </row>
    <row r="677" spans="4:10" ht="12.75">
      <c r="D677"/>
      <c r="E677"/>
      <c r="F677"/>
      <c r="H677"/>
      <c r="I677"/>
      <c r="J677"/>
    </row>
    <row r="678" spans="4:10" ht="12.75">
      <c r="D678"/>
      <c r="E678"/>
      <c r="F678"/>
      <c r="H678"/>
      <c r="I678"/>
      <c r="J678"/>
    </row>
    <row r="679" spans="4:10" ht="12.75">
      <c r="D679"/>
      <c r="E679"/>
      <c r="F679"/>
      <c r="H679"/>
      <c r="I679"/>
      <c r="J679"/>
    </row>
    <row r="680" spans="4:10" ht="12.75">
      <c r="D680"/>
      <c r="E680"/>
      <c r="F680"/>
      <c r="H680"/>
      <c r="I680"/>
      <c r="J680"/>
    </row>
    <row r="681" spans="4:10" ht="12.75">
      <c r="D681"/>
      <c r="E681"/>
      <c r="F681"/>
      <c r="H681"/>
      <c r="I681"/>
      <c r="J681"/>
    </row>
    <row r="682" spans="4:10" ht="12.75">
      <c r="D682"/>
      <c r="E682"/>
      <c r="F682"/>
      <c r="H682"/>
      <c r="I682"/>
      <c r="J682"/>
    </row>
    <row r="683" spans="4:10" ht="12.75">
      <c r="D683"/>
      <c r="E683"/>
      <c r="F683"/>
      <c r="H683"/>
      <c r="I683"/>
      <c r="J683"/>
    </row>
    <row r="684" spans="4:10" ht="12.75">
      <c r="D684"/>
      <c r="E684"/>
      <c r="F684"/>
      <c r="H684"/>
      <c r="I684"/>
      <c r="J684"/>
    </row>
    <row r="685" spans="4:10" ht="12.75">
      <c r="D685"/>
      <c r="E685"/>
      <c r="F685"/>
      <c r="H685"/>
      <c r="I685"/>
      <c r="J685"/>
    </row>
    <row r="686" spans="4:10" ht="12.75">
      <c r="D686"/>
      <c r="E686"/>
      <c r="F686"/>
      <c r="H686"/>
      <c r="I686"/>
      <c r="J686"/>
    </row>
    <row r="687" spans="4:10" ht="12.75">
      <c r="D687"/>
      <c r="E687"/>
      <c r="F687"/>
      <c r="H687"/>
      <c r="I687"/>
      <c r="J687"/>
    </row>
    <row r="688" spans="4:10" ht="12.75">
      <c r="D688"/>
      <c r="E688"/>
      <c r="F688"/>
      <c r="H688"/>
      <c r="I688"/>
      <c r="J688"/>
    </row>
    <row r="689" spans="4:10" ht="12.75">
      <c r="D689"/>
      <c r="E689"/>
      <c r="F689"/>
      <c r="H689"/>
      <c r="I689"/>
      <c r="J689"/>
    </row>
    <row r="690" spans="4:10" ht="12.75">
      <c r="D690"/>
      <c r="E690"/>
      <c r="F690"/>
      <c r="H690"/>
      <c r="I690"/>
      <c r="J690"/>
    </row>
    <row r="691" spans="4:10" ht="12.75">
      <c r="D691"/>
      <c r="E691"/>
      <c r="F691"/>
      <c r="H691"/>
      <c r="I691"/>
      <c r="J691"/>
    </row>
    <row r="692" spans="4:10" ht="12.75">
      <c r="D692"/>
      <c r="E692"/>
      <c r="F692"/>
      <c r="H692"/>
      <c r="I692"/>
      <c r="J692"/>
    </row>
    <row r="693" spans="4:10" ht="12.75">
      <c r="D693"/>
      <c r="E693"/>
      <c r="F693"/>
      <c r="H693"/>
      <c r="I693"/>
      <c r="J693"/>
    </row>
    <row r="694" spans="4:10" ht="12.75">
      <c r="D694"/>
      <c r="E694"/>
      <c r="F694"/>
      <c r="H694"/>
      <c r="I694"/>
      <c r="J694"/>
    </row>
    <row r="695" spans="4:10" ht="12.75">
      <c r="D695"/>
      <c r="E695"/>
      <c r="F695"/>
      <c r="H695"/>
      <c r="I695"/>
      <c r="J695"/>
    </row>
    <row r="696" spans="4:10" ht="12.75">
      <c r="D696"/>
      <c r="E696"/>
      <c r="F696"/>
      <c r="H696"/>
      <c r="I696"/>
      <c r="J696"/>
    </row>
    <row r="697" spans="4:10" ht="12.75">
      <c r="D697"/>
      <c r="E697"/>
      <c r="F697"/>
      <c r="H697"/>
      <c r="I697"/>
      <c r="J697"/>
    </row>
    <row r="698" spans="4:10" ht="12.75">
      <c r="D698"/>
      <c r="E698"/>
      <c r="F698"/>
      <c r="H698"/>
      <c r="I698"/>
      <c r="J698"/>
    </row>
    <row r="699" spans="4:10" ht="12.75">
      <c r="D699"/>
      <c r="E699"/>
      <c r="F699"/>
      <c r="H699"/>
      <c r="I699"/>
      <c r="J699"/>
    </row>
    <row r="700" spans="4:10" ht="12.75">
      <c r="D700"/>
      <c r="E700"/>
      <c r="F700"/>
      <c r="H700"/>
      <c r="I700"/>
      <c r="J700"/>
    </row>
    <row r="701" spans="4:10" ht="12.75">
      <c r="D701"/>
      <c r="E701"/>
      <c r="F701"/>
      <c r="H701"/>
      <c r="I701"/>
      <c r="J701"/>
    </row>
    <row r="702" spans="4:10" ht="12.75">
      <c r="D702"/>
      <c r="E702"/>
      <c r="F702"/>
      <c r="H702"/>
      <c r="I702"/>
      <c r="J702"/>
    </row>
    <row r="703" spans="4:10" ht="12.75">
      <c r="D703"/>
      <c r="E703"/>
      <c r="F703"/>
      <c r="H703"/>
      <c r="I703"/>
      <c r="J703"/>
    </row>
    <row r="704" spans="4:10" ht="12.75">
      <c r="D704"/>
      <c r="E704"/>
      <c r="F704"/>
      <c r="H704"/>
      <c r="I704"/>
      <c r="J704"/>
    </row>
    <row r="705" spans="4:10" ht="12.75">
      <c r="D705"/>
      <c r="E705"/>
      <c r="F705"/>
      <c r="H705"/>
      <c r="I705"/>
      <c r="J705"/>
    </row>
    <row r="706" spans="4:10" ht="12.75">
      <c r="D706"/>
      <c r="E706"/>
      <c r="F706"/>
      <c r="H706"/>
      <c r="I706"/>
      <c r="J706"/>
    </row>
    <row r="707" spans="4:10" ht="12.75">
      <c r="D707"/>
      <c r="E707"/>
      <c r="F707"/>
      <c r="H707"/>
      <c r="I707"/>
      <c r="J707"/>
    </row>
    <row r="708" spans="4:10" ht="12.75">
      <c r="D708"/>
      <c r="E708"/>
      <c r="F708"/>
      <c r="H708"/>
      <c r="I708"/>
      <c r="J708"/>
    </row>
    <row r="709" spans="4:10" ht="12.75">
      <c r="D709"/>
      <c r="E709"/>
      <c r="F709"/>
      <c r="H709"/>
      <c r="I709"/>
      <c r="J709"/>
    </row>
    <row r="710" spans="4:10" ht="12.75">
      <c r="D710"/>
      <c r="E710"/>
      <c r="F710"/>
      <c r="H710"/>
      <c r="I710"/>
      <c r="J710"/>
    </row>
    <row r="711" spans="4:10" ht="12.75">
      <c r="D711"/>
      <c r="E711"/>
      <c r="F711"/>
      <c r="H711"/>
      <c r="I711"/>
      <c r="J711"/>
    </row>
    <row r="712" spans="4:10" ht="12.75">
      <c r="D712"/>
      <c r="E712"/>
      <c r="F712"/>
      <c r="H712"/>
      <c r="I712"/>
      <c r="J712"/>
    </row>
    <row r="713" spans="4:10" ht="12.75">
      <c r="D713"/>
      <c r="E713"/>
      <c r="F713"/>
      <c r="H713"/>
      <c r="I713"/>
      <c r="J713"/>
    </row>
    <row r="714" spans="4:10" ht="12.75">
      <c r="D714"/>
      <c r="E714"/>
      <c r="F714"/>
      <c r="H714"/>
      <c r="I714"/>
      <c r="J714"/>
    </row>
    <row r="715" spans="4:10" ht="12.75">
      <c r="D715"/>
      <c r="E715"/>
      <c r="F715"/>
      <c r="H715"/>
      <c r="I715"/>
      <c r="J715"/>
    </row>
    <row r="716" spans="4:10" ht="12.75">
      <c r="D716"/>
      <c r="E716"/>
      <c r="F716"/>
      <c r="H716"/>
      <c r="I716"/>
      <c r="J716"/>
    </row>
    <row r="717" spans="4:10" ht="12.75">
      <c r="D717"/>
      <c r="E717"/>
      <c r="F717"/>
      <c r="H717"/>
      <c r="I717"/>
      <c r="J717"/>
    </row>
    <row r="718" spans="4:10" ht="12.75">
      <c r="D718"/>
      <c r="E718"/>
      <c r="F718"/>
      <c r="H718"/>
      <c r="I718"/>
      <c r="J718"/>
    </row>
    <row r="719" spans="4:10" ht="12.75">
      <c r="D719"/>
      <c r="E719"/>
      <c r="F719"/>
      <c r="H719"/>
      <c r="I719"/>
      <c r="J719"/>
    </row>
    <row r="720" spans="4:10" ht="12.75">
      <c r="D720"/>
      <c r="E720"/>
      <c r="F720"/>
      <c r="H720"/>
      <c r="I720"/>
      <c r="J720"/>
    </row>
    <row r="721" spans="4:10" ht="12.75">
      <c r="D721"/>
      <c r="E721"/>
      <c r="F721"/>
      <c r="H721"/>
      <c r="I721"/>
      <c r="J721"/>
    </row>
    <row r="722" spans="4:10" ht="12.75">
      <c r="D722"/>
      <c r="E722"/>
      <c r="F722"/>
      <c r="H722"/>
      <c r="I722"/>
      <c r="J722"/>
    </row>
    <row r="723" spans="4:10" ht="12.75">
      <c r="D723"/>
      <c r="E723"/>
      <c r="F723"/>
      <c r="H723"/>
      <c r="I723"/>
      <c r="J723"/>
    </row>
    <row r="724" spans="4:10" ht="12.75">
      <c r="D724"/>
      <c r="E724"/>
      <c r="F724"/>
      <c r="H724"/>
      <c r="I724"/>
      <c r="J724"/>
    </row>
    <row r="725" spans="4:10" ht="12.75">
      <c r="D725"/>
      <c r="E725"/>
      <c r="F725"/>
      <c r="H725"/>
      <c r="I725"/>
      <c r="J725"/>
    </row>
    <row r="726" spans="4:10" ht="12.75">
      <c r="D726"/>
      <c r="E726"/>
      <c r="F726"/>
      <c r="H726"/>
      <c r="I726"/>
      <c r="J726"/>
    </row>
    <row r="727" spans="4:10" ht="12.75">
      <c r="D727"/>
      <c r="E727"/>
      <c r="F727"/>
      <c r="H727"/>
      <c r="I727"/>
      <c r="J727"/>
    </row>
    <row r="728" spans="4:10" ht="12.75">
      <c r="D728"/>
      <c r="E728"/>
      <c r="F728"/>
      <c r="H728"/>
      <c r="I728"/>
      <c r="J728"/>
    </row>
    <row r="729" spans="4:10" ht="12.75">
      <c r="D729"/>
      <c r="E729"/>
      <c r="F729"/>
      <c r="H729"/>
      <c r="I729"/>
      <c r="J729"/>
    </row>
    <row r="730" spans="4:10" ht="12.75">
      <c r="D730"/>
      <c r="E730"/>
      <c r="F730"/>
      <c r="H730"/>
      <c r="I730"/>
      <c r="J730"/>
    </row>
    <row r="731" spans="4:10" ht="12.75">
      <c r="D731"/>
      <c r="E731"/>
      <c r="F731"/>
      <c r="H731"/>
      <c r="I731"/>
      <c r="J731"/>
    </row>
    <row r="732" spans="4:10" ht="12.75">
      <c r="D732"/>
      <c r="E732"/>
      <c r="F732"/>
      <c r="H732"/>
      <c r="I732"/>
      <c r="J732"/>
    </row>
    <row r="733" spans="4:10" ht="12.75">
      <c r="D733"/>
      <c r="E733"/>
      <c r="F733"/>
      <c r="H733"/>
      <c r="I733"/>
      <c r="J733"/>
    </row>
    <row r="734" spans="4:10" ht="12.75">
      <c r="D734"/>
      <c r="E734"/>
      <c r="F734"/>
      <c r="H734"/>
      <c r="I734"/>
      <c r="J734"/>
    </row>
    <row r="735" spans="4:10" ht="12.75">
      <c r="D735"/>
      <c r="E735"/>
      <c r="F735"/>
      <c r="H735"/>
      <c r="I735"/>
      <c r="J735"/>
    </row>
    <row r="736" spans="4:10" ht="12.75">
      <c r="D736"/>
      <c r="E736"/>
      <c r="F736"/>
      <c r="H736"/>
      <c r="I736"/>
      <c r="J736"/>
    </row>
    <row r="737" spans="4:10" ht="12.75">
      <c r="D737"/>
      <c r="E737"/>
      <c r="F737"/>
      <c r="H737"/>
      <c r="I737"/>
      <c r="J737"/>
    </row>
    <row r="738" spans="4:10" ht="12.75">
      <c r="D738"/>
      <c r="E738"/>
      <c r="F738"/>
      <c r="H738"/>
      <c r="I738"/>
      <c r="J738"/>
    </row>
    <row r="739" spans="4:10" ht="12.75">
      <c r="D739"/>
      <c r="E739"/>
      <c r="F739"/>
      <c r="H739"/>
      <c r="I739"/>
      <c r="J739"/>
    </row>
    <row r="740" spans="4:10" ht="12.75">
      <c r="D740"/>
      <c r="E740"/>
      <c r="F740"/>
      <c r="H740"/>
      <c r="I740"/>
      <c r="J740"/>
    </row>
    <row r="741" spans="4:10" ht="12.75">
      <c r="D741"/>
      <c r="E741"/>
      <c r="F741"/>
      <c r="H741"/>
      <c r="I741"/>
      <c r="J741"/>
    </row>
    <row r="742" spans="4:10" ht="12.75">
      <c r="D742"/>
      <c r="E742"/>
      <c r="F742"/>
      <c r="H742"/>
      <c r="I742"/>
      <c r="J742"/>
    </row>
    <row r="743" spans="4:10" ht="12.75">
      <c r="D743"/>
      <c r="E743"/>
      <c r="F743"/>
      <c r="H743"/>
      <c r="I743"/>
      <c r="J743"/>
    </row>
    <row r="744" spans="4:10" ht="12.75">
      <c r="D744"/>
      <c r="E744"/>
      <c r="F744"/>
      <c r="H744"/>
      <c r="I744"/>
      <c r="J744"/>
    </row>
    <row r="745" spans="4:10" ht="12.75">
      <c r="D745"/>
      <c r="E745"/>
      <c r="F745"/>
      <c r="H745"/>
      <c r="I745"/>
      <c r="J745"/>
    </row>
    <row r="746" spans="4:10" ht="12.75">
      <c r="D746"/>
      <c r="E746"/>
      <c r="F746"/>
      <c r="H746"/>
      <c r="I746"/>
      <c r="J746"/>
    </row>
    <row r="747" spans="4:10" ht="12.75">
      <c r="D747"/>
      <c r="E747"/>
      <c r="F747"/>
      <c r="H747"/>
      <c r="I747"/>
      <c r="J747"/>
    </row>
    <row r="748" spans="4:10" ht="12.75">
      <c r="D748"/>
      <c r="E748"/>
      <c r="F748"/>
      <c r="H748"/>
      <c r="I748"/>
      <c r="J748"/>
    </row>
    <row r="749" spans="4:10" ht="12.75">
      <c r="D749"/>
      <c r="E749"/>
      <c r="F749"/>
      <c r="H749"/>
      <c r="I749"/>
      <c r="J749"/>
    </row>
    <row r="750" spans="4:10" ht="12.75">
      <c r="D750"/>
      <c r="E750"/>
      <c r="F750"/>
      <c r="H750"/>
      <c r="I750"/>
      <c r="J750"/>
    </row>
    <row r="751" spans="4:10" ht="12.75">
      <c r="D751"/>
      <c r="E751"/>
      <c r="F751"/>
      <c r="H751"/>
      <c r="I751"/>
      <c r="J751"/>
    </row>
    <row r="752" spans="4:10" ht="12.75">
      <c r="D752"/>
      <c r="E752"/>
      <c r="F752"/>
      <c r="H752"/>
      <c r="I752"/>
      <c r="J752"/>
    </row>
    <row r="753" spans="4:10" ht="12.75">
      <c r="D753"/>
      <c r="E753"/>
      <c r="F753"/>
      <c r="H753"/>
      <c r="I753"/>
      <c r="J753"/>
    </row>
    <row r="754" spans="4:10" ht="12.75">
      <c r="D754"/>
      <c r="E754"/>
      <c r="F754"/>
      <c r="H754"/>
      <c r="I754"/>
      <c r="J754"/>
    </row>
    <row r="755" spans="4:10" ht="12.75">
      <c r="D755"/>
      <c r="E755"/>
      <c r="F755"/>
      <c r="H755"/>
      <c r="I755"/>
      <c r="J755"/>
    </row>
    <row r="756" spans="4:10" ht="12.75">
      <c r="D756"/>
      <c r="E756"/>
      <c r="F756"/>
      <c r="H756"/>
      <c r="I756"/>
      <c r="J756"/>
    </row>
    <row r="757" spans="4:10" ht="12.75">
      <c r="D757"/>
      <c r="E757"/>
      <c r="F757"/>
      <c r="H757"/>
      <c r="I757"/>
      <c r="J757"/>
    </row>
    <row r="758" spans="4:10" ht="12.75">
      <c r="D758"/>
      <c r="E758"/>
      <c r="F758"/>
      <c r="H758"/>
      <c r="I758"/>
      <c r="J758"/>
    </row>
    <row r="759" spans="4:10" ht="12.75">
      <c r="D759"/>
      <c r="E759"/>
      <c r="F759"/>
      <c r="H759"/>
      <c r="I759"/>
      <c r="J759"/>
    </row>
    <row r="760" spans="4:10" ht="12.75">
      <c r="D760"/>
      <c r="E760"/>
      <c r="F760"/>
      <c r="H760"/>
      <c r="I760"/>
      <c r="J760"/>
    </row>
    <row r="761" spans="4:10" ht="12.75">
      <c r="D761"/>
      <c r="E761"/>
      <c r="F761"/>
      <c r="H761"/>
      <c r="I761"/>
      <c r="J761"/>
    </row>
    <row r="762" spans="4:10" ht="12.75">
      <c r="D762"/>
      <c r="E762"/>
      <c r="F762"/>
      <c r="H762"/>
      <c r="I762"/>
      <c r="J762"/>
    </row>
    <row r="763" spans="4:10" ht="12.75">
      <c r="D763"/>
      <c r="E763"/>
      <c r="F763"/>
      <c r="H763"/>
      <c r="I763"/>
      <c r="J763"/>
    </row>
    <row r="764" spans="4:10" ht="12.75">
      <c r="D764"/>
      <c r="E764"/>
      <c r="F764"/>
      <c r="H764"/>
      <c r="I764"/>
      <c r="J764"/>
    </row>
    <row r="765" spans="4:10" ht="12.75">
      <c r="D765"/>
      <c r="E765"/>
      <c r="F765"/>
      <c r="H765"/>
      <c r="I765"/>
      <c r="J765"/>
    </row>
    <row r="766" spans="4:10" ht="12.75">
      <c r="D766"/>
      <c r="E766"/>
      <c r="F766"/>
      <c r="H766"/>
      <c r="I766"/>
      <c r="J766"/>
    </row>
    <row r="767" spans="4:10" ht="12.75">
      <c r="D767"/>
      <c r="E767"/>
      <c r="F767"/>
      <c r="H767"/>
      <c r="I767"/>
      <c r="J767"/>
    </row>
    <row r="768" spans="4:10" ht="12.75">
      <c r="D768"/>
      <c r="E768"/>
      <c r="F768"/>
      <c r="H768"/>
      <c r="I768"/>
      <c r="J768"/>
    </row>
    <row r="769" spans="4:10" ht="12.75">
      <c r="D769"/>
      <c r="E769"/>
      <c r="F769"/>
      <c r="H769"/>
      <c r="I769"/>
      <c r="J769"/>
    </row>
    <row r="770" spans="4:10" ht="12.75">
      <c r="D770"/>
      <c r="E770"/>
      <c r="F770"/>
      <c r="H770"/>
      <c r="I770"/>
      <c r="J770"/>
    </row>
    <row r="771" spans="4:10" ht="12.75">
      <c r="D771"/>
      <c r="E771"/>
      <c r="F771"/>
      <c r="H771"/>
      <c r="I771"/>
      <c r="J771"/>
    </row>
    <row r="772" spans="4:10" ht="12.75">
      <c r="D772"/>
      <c r="E772"/>
      <c r="F772"/>
      <c r="H772"/>
      <c r="I772"/>
      <c r="J772"/>
    </row>
    <row r="773" spans="4:10" ht="12.75">
      <c r="D773"/>
      <c r="E773"/>
      <c r="F773"/>
      <c r="H773"/>
      <c r="I773"/>
      <c r="J773"/>
    </row>
    <row r="774" spans="4:10" ht="12.75">
      <c r="D774"/>
      <c r="E774"/>
      <c r="F774"/>
      <c r="H774"/>
      <c r="I774"/>
      <c r="J774"/>
    </row>
    <row r="775" spans="4:10" ht="12.75">
      <c r="D775"/>
      <c r="E775"/>
      <c r="F775"/>
      <c r="H775"/>
      <c r="I775"/>
      <c r="J775"/>
    </row>
    <row r="776" spans="4:10" ht="12.75">
      <c r="D776"/>
      <c r="E776"/>
      <c r="F776"/>
      <c r="H776"/>
      <c r="I776"/>
      <c r="J776"/>
    </row>
    <row r="777" spans="4:10" ht="12.75">
      <c r="D777"/>
      <c r="E777"/>
      <c r="F777"/>
      <c r="H777"/>
      <c r="I777"/>
      <c r="J777"/>
    </row>
    <row r="778" spans="4:10" ht="12.75">
      <c r="D778"/>
      <c r="E778"/>
      <c r="F778"/>
      <c r="H778"/>
      <c r="I778"/>
      <c r="J778"/>
    </row>
    <row r="779" spans="4:10" ht="12.75">
      <c r="D779"/>
      <c r="E779"/>
      <c r="F779"/>
      <c r="H779"/>
      <c r="I779"/>
      <c r="J779"/>
    </row>
    <row r="780" spans="4:10" ht="12.75">
      <c r="D780"/>
      <c r="E780"/>
      <c r="F780"/>
      <c r="H780"/>
      <c r="I780"/>
      <c r="J780"/>
    </row>
    <row r="781" spans="4:10" ht="12.75">
      <c r="D781"/>
      <c r="E781"/>
      <c r="F781"/>
      <c r="H781"/>
      <c r="I781"/>
      <c r="J781"/>
    </row>
    <row r="782" spans="4:10" ht="12.75">
      <c r="D782"/>
      <c r="E782"/>
      <c r="F782"/>
      <c r="H782"/>
      <c r="I782"/>
      <c r="J782"/>
    </row>
    <row r="783" spans="4:10" ht="12.75">
      <c r="D783"/>
      <c r="E783"/>
      <c r="F783"/>
      <c r="H783"/>
      <c r="I783"/>
      <c r="J783"/>
    </row>
    <row r="784" spans="4:10" ht="12.75">
      <c r="D784"/>
      <c r="E784"/>
      <c r="F784"/>
      <c r="H784"/>
      <c r="I784"/>
      <c r="J784"/>
    </row>
    <row r="785" spans="4:10" ht="12.75">
      <c r="D785"/>
      <c r="E785"/>
      <c r="F785"/>
      <c r="H785"/>
      <c r="I785"/>
      <c r="J785"/>
    </row>
    <row r="786" spans="4:10" ht="12.75">
      <c r="D786"/>
      <c r="E786"/>
      <c r="F786"/>
      <c r="H786"/>
      <c r="I786"/>
      <c r="J786"/>
    </row>
    <row r="787" spans="4:10" ht="12.75">
      <c r="D787"/>
      <c r="E787"/>
      <c r="F787"/>
      <c r="H787"/>
      <c r="I787"/>
      <c r="J787"/>
    </row>
    <row r="788" spans="4:10" ht="12.75">
      <c r="D788"/>
      <c r="E788"/>
      <c r="F788"/>
      <c r="H788"/>
      <c r="I788"/>
      <c r="J788"/>
    </row>
    <row r="789" spans="4:10" ht="12.75">
      <c r="D789"/>
      <c r="E789"/>
      <c r="F789"/>
      <c r="H789"/>
      <c r="I789"/>
      <c r="J789"/>
    </row>
    <row r="790" spans="4:10" ht="12.75">
      <c r="D790"/>
      <c r="E790"/>
      <c r="F790"/>
      <c r="H790"/>
      <c r="I790"/>
      <c r="J790"/>
    </row>
    <row r="791" spans="4:10" ht="12.75">
      <c r="D791"/>
      <c r="E791"/>
      <c r="F791"/>
      <c r="H791"/>
      <c r="I791"/>
      <c r="J791"/>
    </row>
    <row r="792" spans="4:10" ht="12.75">
      <c r="D792"/>
      <c r="E792"/>
      <c r="F792"/>
      <c r="H792"/>
      <c r="I792"/>
      <c r="J792"/>
    </row>
    <row r="793" spans="4:10" ht="12.75">
      <c r="D793"/>
      <c r="E793"/>
      <c r="F793"/>
      <c r="H793"/>
      <c r="I793"/>
      <c r="J793"/>
    </row>
    <row r="794" spans="4:10" ht="12.75">
      <c r="D794"/>
      <c r="E794"/>
      <c r="F794"/>
      <c r="H794"/>
      <c r="I794"/>
      <c r="J794"/>
    </row>
    <row r="795" spans="4:10" ht="12.75">
      <c r="D795"/>
      <c r="E795"/>
      <c r="F795"/>
      <c r="H795"/>
      <c r="I795"/>
      <c r="J795"/>
    </row>
    <row r="796" spans="4:10" ht="12.75">
      <c r="D796"/>
      <c r="E796"/>
      <c r="F796"/>
      <c r="H796"/>
      <c r="I796"/>
      <c r="J796"/>
    </row>
    <row r="797" spans="4:10" ht="12.75">
      <c r="D797"/>
      <c r="E797"/>
      <c r="F797"/>
      <c r="H797"/>
      <c r="I797"/>
      <c r="J797"/>
    </row>
    <row r="798" spans="4:10" ht="12.75">
      <c r="D798"/>
      <c r="E798"/>
      <c r="F798"/>
      <c r="H798"/>
      <c r="I798"/>
      <c r="J798"/>
    </row>
    <row r="799" spans="4:10" ht="12.75">
      <c r="D799"/>
      <c r="E799"/>
      <c r="F799"/>
      <c r="H799"/>
      <c r="I799"/>
      <c r="J799"/>
    </row>
    <row r="800" spans="4:10" ht="12.75">
      <c r="D800"/>
      <c r="E800"/>
      <c r="F800"/>
      <c r="H800"/>
      <c r="I800"/>
      <c r="J800"/>
    </row>
    <row r="801" spans="4:10" ht="12.75">
      <c r="D801"/>
      <c r="E801"/>
      <c r="F801"/>
      <c r="H801"/>
      <c r="I801"/>
      <c r="J801"/>
    </row>
    <row r="802" spans="4:10" ht="12.75">
      <c r="D802"/>
      <c r="E802"/>
      <c r="F802"/>
      <c r="H802"/>
      <c r="I802"/>
      <c r="J802"/>
    </row>
    <row r="803" spans="4:10" ht="12.75">
      <c r="D803"/>
      <c r="E803"/>
      <c r="F803"/>
      <c r="H803"/>
      <c r="I803"/>
      <c r="J803"/>
    </row>
    <row r="804" spans="4:10" ht="12.75">
      <c r="D804"/>
      <c r="E804"/>
      <c r="F804"/>
      <c r="H804"/>
      <c r="I804"/>
      <c r="J804"/>
    </row>
    <row r="805" spans="4:10" ht="12.75">
      <c r="D805"/>
      <c r="E805"/>
      <c r="F805"/>
      <c r="H805"/>
      <c r="I805"/>
      <c r="J805"/>
    </row>
    <row r="806" spans="4:10" ht="12.75">
      <c r="D806"/>
      <c r="E806"/>
      <c r="F806"/>
      <c r="H806"/>
      <c r="I806"/>
      <c r="J806"/>
    </row>
    <row r="807" spans="4:10" ht="12.75">
      <c r="D807"/>
      <c r="E807"/>
      <c r="F807"/>
      <c r="H807"/>
      <c r="I807"/>
      <c r="J807"/>
    </row>
    <row r="808" spans="4:10" ht="12.75">
      <c r="D808"/>
      <c r="E808"/>
      <c r="F808"/>
      <c r="H808"/>
      <c r="I808"/>
      <c r="J808"/>
    </row>
    <row r="809" spans="4:10" ht="12.75">
      <c r="D809"/>
      <c r="E809"/>
      <c r="F809"/>
      <c r="H809"/>
      <c r="I809"/>
      <c r="J809"/>
    </row>
    <row r="810" spans="4:10" ht="12.75">
      <c r="D810"/>
      <c r="E810"/>
      <c r="F810"/>
      <c r="H810"/>
      <c r="I810"/>
      <c r="J810"/>
    </row>
    <row r="811" spans="4:10" ht="12.75">
      <c r="D811"/>
      <c r="E811"/>
      <c r="F811"/>
      <c r="H811"/>
      <c r="I811"/>
      <c r="J811"/>
    </row>
    <row r="812" spans="4:10" ht="12.75">
      <c r="D812"/>
      <c r="E812"/>
      <c r="F812"/>
      <c r="H812"/>
      <c r="I812"/>
      <c r="J812"/>
    </row>
    <row r="813" spans="4:10" ht="12.75">
      <c r="D813"/>
      <c r="E813"/>
      <c r="F813"/>
      <c r="H813"/>
      <c r="I813"/>
      <c r="J813"/>
    </row>
    <row r="814" spans="4:10" ht="12.75">
      <c r="D814"/>
      <c r="E814"/>
      <c r="F814"/>
      <c r="H814"/>
      <c r="I814"/>
      <c r="J814"/>
    </row>
    <row r="815" spans="4:10" ht="12.75">
      <c r="D815"/>
      <c r="E815"/>
      <c r="F815"/>
      <c r="H815"/>
      <c r="I815"/>
      <c r="J815"/>
    </row>
    <row r="816" spans="4:10" ht="12.75">
      <c r="D816"/>
      <c r="E816"/>
      <c r="F816"/>
      <c r="H816"/>
      <c r="I816"/>
      <c r="J816"/>
    </row>
    <row r="817" spans="4:10" ht="12.75">
      <c r="D817"/>
      <c r="E817"/>
      <c r="F817"/>
      <c r="H817"/>
      <c r="I817"/>
      <c r="J817"/>
    </row>
    <row r="818" spans="4:10" ht="12.75">
      <c r="D818"/>
      <c r="E818"/>
      <c r="F818"/>
      <c r="H818"/>
      <c r="I818"/>
      <c r="J818"/>
    </row>
    <row r="819" spans="4:10" ht="12.75">
      <c r="D819"/>
      <c r="E819"/>
      <c r="F819"/>
      <c r="H819"/>
      <c r="I819"/>
      <c r="J819"/>
    </row>
    <row r="820" spans="4:10" ht="12.75">
      <c r="D820"/>
      <c r="E820"/>
      <c r="F820"/>
      <c r="H820"/>
      <c r="I820"/>
      <c r="J820"/>
    </row>
    <row r="821" spans="4:10" ht="12.75">
      <c r="D821"/>
      <c r="E821"/>
      <c r="F821"/>
      <c r="H821"/>
      <c r="I821"/>
      <c r="J821"/>
    </row>
    <row r="822" spans="4:10" ht="12.75">
      <c r="D822"/>
      <c r="E822"/>
      <c r="F822"/>
      <c r="H822"/>
      <c r="I822"/>
      <c r="J822"/>
    </row>
    <row r="823" spans="4:10" ht="12.75">
      <c r="D823"/>
      <c r="E823"/>
      <c r="F823"/>
      <c r="H823"/>
      <c r="I823"/>
      <c r="J823"/>
    </row>
    <row r="824" spans="4:10" ht="12.75">
      <c r="D824"/>
      <c r="E824"/>
      <c r="F824"/>
      <c r="H824"/>
      <c r="I824"/>
      <c r="J824"/>
    </row>
    <row r="825" spans="4:10" ht="12.75">
      <c r="D825"/>
      <c r="E825"/>
      <c r="F825"/>
      <c r="H825"/>
      <c r="I825"/>
      <c r="J825"/>
    </row>
    <row r="826" spans="4:10" ht="12.75">
      <c r="D826"/>
      <c r="E826"/>
      <c r="F826"/>
      <c r="H826"/>
      <c r="I826"/>
      <c r="J826"/>
    </row>
    <row r="827" spans="4:10" ht="12.75">
      <c r="D827"/>
      <c r="E827"/>
      <c r="F827"/>
      <c r="H827"/>
      <c r="I827"/>
      <c r="J827"/>
    </row>
    <row r="828" spans="4:10" ht="12.75">
      <c r="D828"/>
      <c r="E828"/>
      <c r="F828"/>
      <c r="H828"/>
      <c r="I828"/>
      <c r="J828"/>
    </row>
    <row r="829" spans="4:10" ht="12.75">
      <c r="D829"/>
      <c r="E829"/>
      <c r="F829"/>
      <c r="H829"/>
      <c r="I829"/>
      <c r="J829"/>
    </row>
    <row r="830" spans="4:10" ht="12.75">
      <c r="D830"/>
      <c r="E830"/>
      <c r="F830"/>
      <c r="H830"/>
      <c r="I830"/>
      <c r="J830"/>
    </row>
    <row r="831" spans="4:10" ht="12.75">
      <c r="D831"/>
      <c r="E831"/>
      <c r="F831"/>
      <c r="H831"/>
      <c r="I831"/>
      <c r="J831"/>
    </row>
    <row r="832" spans="4:10" ht="12.75">
      <c r="D832"/>
      <c r="E832"/>
      <c r="F832"/>
      <c r="H832"/>
      <c r="I832"/>
      <c r="J832"/>
    </row>
    <row r="833" spans="4:10" ht="12.75">
      <c r="D833"/>
      <c r="E833"/>
      <c r="F833"/>
      <c r="H833"/>
      <c r="I833"/>
      <c r="J833"/>
    </row>
    <row r="834" spans="4:10" ht="12.75">
      <c r="D834"/>
      <c r="E834"/>
      <c r="F834"/>
      <c r="H834"/>
      <c r="I834"/>
      <c r="J834"/>
    </row>
    <row r="835" spans="4:10" ht="12.75">
      <c r="D835"/>
      <c r="E835"/>
      <c r="F835"/>
      <c r="H835"/>
      <c r="I835"/>
      <c r="J835"/>
    </row>
    <row r="836" spans="4:10" ht="12.75">
      <c r="D836"/>
      <c r="E836"/>
      <c r="F836"/>
      <c r="H836"/>
      <c r="I836"/>
      <c r="J836"/>
    </row>
    <row r="837" spans="4:10" ht="12.75">
      <c r="D837"/>
      <c r="E837"/>
      <c r="F837"/>
      <c r="H837"/>
      <c r="I837"/>
      <c r="J837"/>
    </row>
    <row r="838" spans="4:10" ht="12.75">
      <c r="D838"/>
      <c r="E838"/>
      <c r="F838"/>
      <c r="H838"/>
      <c r="I838"/>
      <c r="J838"/>
    </row>
    <row r="839" spans="4:10" ht="12.75">
      <c r="D839"/>
      <c r="E839"/>
      <c r="F839"/>
      <c r="H839"/>
      <c r="I839"/>
      <c r="J839"/>
    </row>
    <row r="840" spans="4:10" ht="12.75">
      <c r="D840"/>
      <c r="E840"/>
      <c r="F840"/>
      <c r="H840"/>
      <c r="I840"/>
      <c r="J840"/>
    </row>
    <row r="841" spans="4:10" ht="12.75">
      <c r="D841"/>
      <c r="E841"/>
      <c r="F841"/>
      <c r="H841"/>
      <c r="I841"/>
      <c r="J841"/>
    </row>
    <row r="842" spans="4:10" ht="12.75">
      <c r="D842"/>
      <c r="E842"/>
      <c r="F842"/>
      <c r="H842"/>
      <c r="I842"/>
      <c r="J842"/>
    </row>
    <row r="843" spans="4:10" ht="12.75">
      <c r="D843"/>
      <c r="E843"/>
      <c r="F843"/>
      <c r="H843"/>
      <c r="I843"/>
      <c r="J843"/>
    </row>
    <row r="844" spans="4:10" ht="12.75">
      <c r="D844"/>
      <c r="E844"/>
      <c r="F844"/>
      <c r="H844"/>
      <c r="I844"/>
      <c r="J844"/>
    </row>
    <row r="845" spans="4:10" ht="12.75">
      <c r="D845"/>
      <c r="E845"/>
      <c r="F845"/>
      <c r="H845"/>
      <c r="I845"/>
      <c r="J845"/>
    </row>
    <row r="846" spans="4:10" ht="12.75">
      <c r="D846"/>
      <c r="E846"/>
      <c r="F846"/>
      <c r="H846"/>
      <c r="I846"/>
      <c r="J846"/>
    </row>
    <row r="847" spans="4:10" ht="12.75">
      <c r="D847"/>
      <c r="E847"/>
      <c r="F847"/>
      <c r="H847"/>
      <c r="I847"/>
      <c r="J847"/>
    </row>
    <row r="848" spans="4:10" ht="12.75">
      <c r="D848"/>
      <c r="E848"/>
      <c r="F848"/>
      <c r="H848"/>
      <c r="I848"/>
      <c r="J848"/>
    </row>
    <row r="849" spans="4:10" ht="12.75">
      <c r="D849"/>
      <c r="E849"/>
      <c r="F849"/>
      <c r="H849"/>
      <c r="I849"/>
      <c r="J849"/>
    </row>
    <row r="850" spans="4:10" ht="12.75">
      <c r="D850"/>
      <c r="E850"/>
      <c r="F850"/>
      <c r="H850"/>
      <c r="I850"/>
      <c r="J850"/>
    </row>
    <row r="851" spans="4:10" ht="12.75">
      <c r="D851"/>
      <c r="E851"/>
      <c r="F851"/>
      <c r="H851"/>
      <c r="I851"/>
      <c r="J851"/>
    </row>
    <row r="852" spans="4:10" ht="12.75">
      <c r="D852"/>
      <c r="E852"/>
      <c r="F852"/>
      <c r="H852"/>
      <c r="I852"/>
      <c r="J852"/>
    </row>
    <row r="853" spans="4:10" ht="12.75">
      <c r="D853"/>
      <c r="E853"/>
      <c r="F853"/>
      <c r="H853"/>
      <c r="I853"/>
      <c r="J853"/>
    </row>
    <row r="854" spans="4:10" ht="12.75">
      <c r="D854"/>
      <c r="E854"/>
      <c r="F854"/>
      <c r="H854"/>
      <c r="I854"/>
      <c r="J854"/>
    </row>
    <row r="855" spans="4:10" ht="12.75">
      <c r="D855"/>
      <c r="E855"/>
      <c r="F855"/>
      <c r="H855"/>
      <c r="I855"/>
      <c r="J855"/>
    </row>
    <row r="856" spans="4:10" ht="12.75">
      <c r="D856"/>
      <c r="E856"/>
      <c r="F856"/>
      <c r="H856"/>
      <c r="I856"/>
      <c r="J856"/>
    </row>
    <row r="857" spans="4:10" ht="12.75">
      <c r="D857"/>
      <c r="E857"/>
      <c r="F857"/>
      <c r="H857"/>
      <c r="I857"/>
      <c r="J857"/>
    </row>
    <row r="858" spans="4:10" ht="12.75">
      <c r="D858"/>
      <c r="E858"/>
      <c r="F858"/>
      <c r="H858"/>
      <c r="I858"/>
      <c r="J858"/>
    </row>
    <row r="859" spans="4:10" ht="12.75">
      <c r="D859"/>
      <c r="E859"/>
      <c r="F859"/>
      <c r="H859"/>
      <c r="I859"/>
      <c r="J859"/>
    </row>
    <row r="860" spans="4:10" ht="12.75">
      <c r="D860"/>
      <c r="E860"/>
      <c r="F860"/>
      <c r="H860"/>
      <c r="I860"/>
      <c r="J860"/>
    </row>
    <row r="861" spans="4:10" ht="12.75">
      <c r="D861"/>
      <c r="E861"/>
      <c r="F861"/>
      <c r="H861"/>
      <c r="I861"/>
      <c r="J861"/>
    </row>
    <row r="862" spans="4:10" ht="12.75">
      <c r="D862"/>
      <c r="E862"/>
      <c r="F862"/>
      <c r="H862"/>
      <c r="I862"/>
      <c r="J862"/>
    </row>
    <row r="863" spans="4:10" ht="12.75">
      <c r="D863"/>
      <c r="E863"/>
      <c r="F863"/>
      <c r="H863"/>
      <c r="I863"/>
      <c r="J863"/>
    </row>
    <row r="864" spans="4:10" ht="12.75">
      <c r="D864"/>
      <c r="E864"/>
      <c r="F864"/>
      <c r="H864"/>
      <c r="I864"/>
      <c r="J864"/>
    </row>
    <row r="865" spans="4:10" ht="12.75">
      <c r="D865"/>
      <c r="E865"/>
      <c r="F865"/>
      <c r="H865"/>
      <c r="I865"/>
      <c r="J865"/>
    </row>
    <row r="866" spans="4:10" ht="12.75">
      <c r="D866"/>
      <c r="E866"/>
      <c r="F866"/>
      <c r="H866"/>
      <c r="I866"/>
      <c r="J866"/>
    </row>
    <row r="867" spans="4:10" ht="12.75">
      <c r="D867"/>
      <c r="E867"/>
      <c r="F867"/>
      <c r="H867"/>
      <c r="I867"/>
      <c r="J867"/>
    </row>
    <row r="868" spans="4:10" ht="12.75">
      <c r="D868"/>
      <c r="E868"/>
      <c r="F868"/>
      <c r="H868"/>
      <c r="I868"/>
      <c r="J868"/>
    </row>
    <row r="869" spans="4:10" ht="12.75">
      <c r="D869"/>
      <c r="E869"/>
      <c r="F869"/>
      <c r="H869"/>
      <c r="I869"/>
      <c r="J869"/>
    </row>
    <row r="870" spans="4:10" ht="12.75">
      <c r="D870"/>
      <c r="E870"/>
      <c r="F870"/>
      <c r="H870"/>
      <c r="I870"/>
      <c r="J870"/>
    </row>
    <row r="871" spans="4:10" ht="12.75">
      <c r="D871"/>
      <c r="E871"/>
      <c r="F871"/>
      <c r="H871"/>
      <c r="I871"/>
      <c r="J871"/>
    </row>
    <row r="872" spans="4:10" ht="12.75">
      <c r="D872"/>
      <c r="E872"/>
      <c r="F872"/>
      <c r="H872"/>
      <c r="I872"/>
      <c r="J872"/>
    </row>
    <row r="873" spans="4:10" ht="12.75">
      <c r="D873"/>
      <c r="E873"/>
      <c r="F873"/>
      <c r="H873"/>
      <c r="I873"/>
      <c r="J873"/>
    </row>
    <row r="874" spans="4:10" ht="12.75">
      <c r="D874"/>
      <c r="E874"/>
      <c r="F874"/>
      <c r="H874"/>
      <c r="I874"/>
      <c r="J874"/>
    </row>
    <row r="875" spans="4:10" ht="12.75">
      <c r="D875"/>
      <c r="E875"/>
      <c r="F875"/>
      <c r="H875"/>
      <c r="I875"/>
      <c r="J875"/>
    </row>
    <row r="876" spans="4:10" ht="12.75">
      <c r="D876"/>
      <c r="E876"/>
      <c r="F876"/>
      <c r="H876"/>
      <c r="I876"/>
      <c r="J876"/>
    </row>
    <row r="877" spans="4:10" ht="12.75">
      <c r="D877"/>
      <c r="E877"/>
      <c r="F877"/>
      <c r="H877"/>
      <c r="I877"/>
      <c r="J877"/>
    </row>
    <row r="878" spans="4:10" ht="12.75">
      <c r="D878"/>
      <c r="E878"/>
      <c r="F878"/>
      <c r="H878"/>
      <c r="I878"/>
      <c r="J878"/>
    </row>
    <row r="879" spans="4:10" ht="12.75">
      <c r="D879"/>
      <c r="E879"/>
      <c r="F879"/>
      <c r="H879"/>
      <c r="I879"/>
      <c r="J879"/>
    </row>
    <row r="880" spans="4:10" ht="12.75">
      <c r="D880"/>
      <c r="E880"/>
      <c r="F880"/>
      <c r="H880"/>
      <c r="I880"/>
      <c r="J880"/>
    </row>
    <row r="881" spans="4:10" ht="12.75">
      <c r="D881"/>
      <c r="E881"/>
      <c r="F881"/>
      <c r="H881"/>
      <c r="I881"/>
      <c r="J881"/>
    </row>
    <row r="882" spans="4:10" ht="12.75">
      <c r="D882"/>
      <c r="E882"/>
      <c r="F882"/>
      <c r="H882"/>
      <c r="I882"/>
      <c r="J882"/>
    </row>
    <row r="883" spans="4:10" ht="12.75">
      <c r="D883"/>
      <c r="E883"/>
      <c r="F883"/>
      <c r="H883"/>
      <c r="I883"/>
      <c r="J883"/>
    </row>
    <row r="884" spans="4:10" ht="12.75">
      <c r="D884"/>
      <c r="E884"/>
      <c r="F884"/>
      <c r="H884"/>
      <c r="I884"/>
      <c r="J884"/>
    </row>
    <row r="885" spans="4:10" ht="12.75">
      <c r="D885"/>
      <c r="E885"/>
      <c r="F885"/>
      <c r="H885"/>
      <c r="I885"/>
      <c r="J885"/>
    </row>
    <row r="886" spans="4:10" ht="12.75">
      <c r="D886"/>
      <c r="E886"/>
      <c r="F886"/>
      <c r="H886"/>
      <c r="I886"/>
      <c r="J886"/>
    </row>
    <row r="887" spans="4:10" ht="12.75">
      <c r="D887"/>
      <c r="E887"/>
      <c r="F887"/>
      <c r="H887"/>
      <c r="I887"/>
      <c r="J887"/>
    </row>
    <row r="888" spans="4:10" ht="12.75">
      <c r="D888"/>
      <c r="E888"/>
      <c r="F888"/>
      <c r="H888"/>
      <c r="I888"/>
      <c r="J888"/>
    </row>
    <row r="889" spans="4:10" ht="12.75">
      <c r="D889"/>
      <c r="E889"/>
      <c r="F889"/>
      <c r="H889"/>
      <c r="I889"/>
      <c r="J889"/>
    </row>
    <row r="890" spans="4:10" ht="12.75">
      <c r="D890"/>
      <c r="E890"/>
      <c r="F890"/>
      <c r="H890"/>
      <c r="I890"/>
      <c r="J890"/>
    </row>
    <row r="891" spans="4:10" ht="12.75">
      <c r="D891"/>
      <c r="E891"/>
      <c r="F891"/>
      <c r="H891"/>
      <c r="I891"/>
      <c r="J891"/>
    </row>
    <row r="892" spans="4:10" ht="12.75">
      <c r="D892"/>
      <c r="E892"/>
      <c r="F892"/>
      <c r="H892"/>
      <c r="I892"/>
      <c r="J892"/>
    </row>
    <row r="893" spans="4:10" ht="12.75">
      <c r="D893"/>
      <c r="E893"/>
      <c r="F893"/>
      <c r="H893"/>
      <c r="I893"/>
      <c r="J893"/>
    </row>
    <row r="894" spans="4:10" ht="12.75">
      <c r="D894"/>
      <c r="E894"/>
      <c r="F894"/>
      <c r="H894"/>
      <c r="I894"/>
      <c r="J894"/>
    </row>
    <row r="895" spans="4:10" ht="12.75">
      <c r="D895"/>
      <c r="E895"/>
      <c r="F895"/>
      <c r="H895"/>
      <c r="I895"/>
      <c r="J895"/>
    </row>
    <row r="896" spans="4:10" ht="12.75">
      <c r="D896"/>
      <c r="E896"/>
      <c r="F896"/>
      <c r="H896"/>
      <c r="I896"/>
      <c r="J896"/>
    </row>
    <row r="897" spans="4:10" ht="12.75">
      <c r="D897"/>
      <c r="E897"/>
      <c r="F897"/>
      <c r="H897"/>
      <c r="I897"/>
      <c r="J897"/>
    </row>
    <row r="898" spans="4:10" ht="12.75">
      <c r="D898"/>
      <c r="E898"/>
      <c r="F898"/>
      <c r="H898"/>
      <c r="I898"/>
      <c r="J898"/>
    </row>
    <row r="899" spans="4:10" ht="12.75">
      <c r="D899"/>
      <c r="E899"/>
      <c r="F899"/>
      <c r="H899"/>
      <c r="I899"/>
      <c r="J899"/>
    </row>
    <row r="900" spans="4:10" ht="12.75">
      <c r="D900"/>
      <c r="E900"/>
      <c r="F900"/>
      <c r="H900"/>
      <c r="I900"/>
      <c r="J900"/>
    </row>
    <row r="901" spans="4:10" ht="12.75">
      <c r="D901"/>
      <c r="E901"/>
      <c r="F901"/>
      <c r="H901"/>
      <c r="I901"/>
      <c r="J901"/>
    </row>
    <row r="902" spans="4:10" ht="12.75">
      <c r="D902"/>
      <c r="E902"/>
      <c r="F902"/>
      <c r="H902"/>
      <c r="I902"/>
      <c r="J902"/>
    </row>
    <row r="903" spans="4:10" ht="12.75">
      <c r="D903"/>
      <c r="E903"/>
      <c r="F903"/>
      <c r="H903"/>
      <c r="I903"/>
      <c r="J903"/>
    </row>
    <row r="904" spans="4:10" ht="12.75">
      <c r="D904"/>
      <c r="E904"/>
      <c r="F904"/>
      <c r="H904"/>
      <c r="I904"/>
      <c r="J904"/>
    </row>
    <row r="905" spans="4:10" ht="12.75">
      <c r="D905"/>
      <c r="E905"/>
      <c r="F905"/>
      <c r="H905"/>
      <c r="I905"/>
      <c r="J905"/>
    </row>
    <row r="906" spans="4:10" ht="12.75">
      <c r="D906"/>
      <c r="E906"/>
      <c r="F906"/>
      <c r="H906"/>
      <c r="I906"/>
      <c r="J906"/>
    </row>
    <row r="907" spans="4:10" ht="12.75">
      <c r="D907"/>
      <c r="E907"/>
      <c r="F907"/>
      <c r="H907"/>
      <c r="I907"/>
      <c r="J907"/>
    </row>
    <row r="908" spans="4:10" ht="12.75">
      <c r="D908"/>
      <c r="E908"/>
      <c r="F908"/>
      <c r="H908"/>
      <c r="I908"/>
      <c r="J908"/>
    </row>
    <row r="909" spans="4:10" ht="12.75">
      <c r="D909"/>
      <c r="E909"/>
      <c r="F909"/>
      <c r="H909"/>
      <c r="I909"/>
      <c r="J909"/>
    </row>
    <row r="910" spans="4:10" ht="12.75">
      <c r="D910"/>
      <c r="E910"/>
      <c r="F910"/>
      <c r="H910"/>
      <c r="I910"/>
      <c r="J910"/>
    </row>
    <row r="911" spans="4:10" ht="12.75">
      <c r="D911"/>
      <c r="E911"/>
      <c r="F911"/>
      <c r="H911"/>
      <c r="I911"/>
      <c r="J911"/>
    </row>
    <row r="912" spans="4:10" ht="12.75">
      <c r="D912"/>
      <c r="E912"/>
      <c r="F912"/>
      <c r="H912"/>
      <c r="I912"/>
      <c r="J912"/>
    </row>
    <row r="913" spans="4:10" ht="12.75">
      <c r="D913"/>
      <c r="E913"/>
      <c r="F913"/>
      <c r="H913"/>
      <c r="I913"/>
      <c r="J913"/>
    </row>
    <row r="914" spans="4:10" ht="12.75">
      <c r="D914"/>
      <c r="E914"/>
      <c r="F914"/>
      <c r="H914"/>
      <c r="I914"/>
      <c r="J914"/>
    </row>
    <row r="915" spans="4:10" ht="12.75">
      <c r="D915"/>
      <c r="E915"/>
      <c r="F915"/>
      <c r="H915"/>
      <c r="I915"/>
      <c r="J915"/>
    </row>
    <row r="916" spans="4:10" ht="12.75">
      <c r="D916"/>
      <c r="E916"/>
      <c r="F916"/>
      <c r="H916"/>
      <c r="I916"/>
      <c r="J916"/>
    </row>
    <row r="917" spans="4:10" ht="12.75">
      <c r="D917"/>
      <c r="E917"/>
      <c r="F917"/>
      <c r="H917"/>
      <c r="I917"/>
      <c r="J917"/>
    </row>
    <row r="918" spans="4:10" ht="12.75">
      <c r="D918"/>
      <c r="E918"/>
      <c r="F918"/>
      <c r="H918"/>
      <c r="I918"/>
      <c r="J918"/>
    </row>
    <row r="919" spans="4:10" ht="12.75">
      <c r="D919"/>
      <c r="E919"/>
      <c r="F919"/>
      <c r="H919"/>
      <c r="I919"/>
      <c r="J919"/>
    </row>
    <row r="920" spans="4:10" ht="12.75">
      <c r="D920"/>
      <c r="E920"/>
      <c r="F920"/>
      <c r="H920"/>
      <c r="I920"/>
      <c r="J920"/>
    </row>
    <row r="921" spans="4:10" ht="12.75">
      <c r="D921"/>
      <c r="E921"/>
      <c r="F921"/>
      <c r="H921"/>
      <c r="I921"/>
      <c r="J921"/>
    </row>
    <row r="922" spans="4:10" ht="12.75">
      <c r="D922"/>
      <c r="E922"/>
      <c r="F922"/>
      <c r="H922"/>
      <c r="I922"/>
      <c r="J922"/>
    </row>
    <row r="923" spans="4:10" ht="12.75">
      <c r="D923"/>
      <c r="E923"/>
      <c r="F923"/>
      <c r="H923"/>
      <c r="I923"/>
      <c r="J923"/>
    </row>
    <row r="924" spans="4:10" ht="12.75">
      <c r="D924"/>
      <c r="E924"/>
      <c r="F924"/>
      <c r="H924"/>
      <c r="I924"/>
      <c r="J924"/>
    </row>
    <row r="925" spans="4:10" ht="12.75">
      <c r="D925"/>
      <c r="E925"/>
      <c r="F925"/>
      <c r="H925"/>
      <c r="I925"/>
      <c r="J925"/>
    </row>
    <row r="926" spans="4:10" ht="12.75">
      <c r="D926"/>
      <c r="E926"/>
      <c r="F926"/>
      <c r="H926"/>
      <c r="I926"/>
      <c r="J926"/>
    </row>
    <row r="927" spans="4:10" ht="12.75">
      <c r="D927"/>
      <c r="E927"/>
      <c r="F927"/>
      <c r="H927"/>
      <c r="I927"/>
      <c r="J927"/>
    </row>
    <row r="928" spans="4:10" ht="12.75">
      <c r="D928"/>
      <c r="E928"/>
      <c r="F928"/>
      <c r="H928"/>
      <c r="I928"/>
      <c r="J928"/>
    </row>
    <row r="929" spans="4:10" ht="12.75">
      <c r="D929"/>
      <c r="E929"/>
      <c r="F929"/>
      <c r="H929"/>
      <c r="I929"/>
      <c r="J929"/>
    </row>
    <row r="930" spans="4:10" ht="12.75">
      <c r="D930"/>
      <c r="E930"/>
      <c r="F930"/>
      <c r="H930"/>
      <c r="I930"/>
      <c r="J930"/>
    </row>
    <row r="931" spans="4:10" ht="12.75">
      <c r="D931"/>
      <c r="E931"/>
      <c r="F931"/>
      <c r="H931"/>
      <c r="I931"/>
      <c r="J931"/>
    </row>
    <row r="932" spans="4:10" ht="12.75">
      <c r="D932"/>
      <c r="E932"/>
      <c r="F932"/>
      <c r="H932"/>
      <c r="I932"/>
      <c r="J932"/>
    </row>
    <row r="933" spans="4:10" ht="12.75">
      <c r="D933"/>
      <c r="E933"/>
      <c r="F933"/>
      <c r="H933"/>
      <c r="I933"/>
      <c r="J933"/>
    </row>
    <row r="934" spans="4:10" ht="12.75">
      <c r="D934"/>
      <c r="E934"/>
      <c r="F934"/>
      <c r="H934"/>
      <c r="I934"/>
      <c r="J934"/>
    </row>
    <row r="935" spans="4:10" ht="12.75">
      <c r="D935"/>
      <c r="E935"/>
      <c r="F935"/>
      <c r="H935"/>
      <c r="I935"/>
      <c r="J935"/>
    </row>
    <row r="936" spans="4:10" ht="12.75">
      <c r="D936"/>
      <c r="E936"/>
      <c r="F936"/>
      <c r="H936"/>
      <c r="I936"/>
      <c r="J936"/>
    </row>
    <row r="937" spans="4:10" ht="12.75">
      <c r="D937"/>
      <c r="E937"/>
      <c r="F937"/>
      <c r="H937"/>
      <c r="I937"/>
      <c r="J937"/>
    </row>
    <row r="938" spans="4:10" ht="12.75">
      <c r="D938"/>
      <c r="E938"/>
      <c r="F938"/>
      <c r="H938"/>
      <c r="I938"/>
      <c r="J938"/>
    </row>
    <row r="939" spans="4:10" ht="12.75">
      <c r="D939"/>
      <c r="E939"/>
      <c r="F939"/>
      <c r="H939"/>
      <c r="I939"/>
      <c r="J939"/>
    </row>
    <row r="940" spans="4:10" ht="12.75">
      <c r="D940"/>
      <c r="E940"/>
      <c r="F940"/>
      <c r="H940"/>
      <c r="I940"/>
      <c r="J940"/>
    </row>
    <row r="941" spans="4:10" ht="12.75">
      <c r="D941"/>
      <c r="E941"/>
      <c r="F941"/>
      <c r="H941"/>
      <c r="I941"/>
      <c r="J941"/>
    </row>
    <row r="942" spans="4:10" ht="12.75">
      <c r="D942"/>
      <c r="E942"/>
      <c r="F942"/>
      <c r="H942"/>
      <c r="I942"/>
      <c r="J942"/>
    </row>
    <row r="943" spans="4:10" ht="12.75">
      <c r="D943"/>
      <c r="E943"/>
      <c r="F943"/>
      <c r="H943"/>
      <c r="I943"/>
      <c r="J943"/>
    </row>
    <row r="944" spans="4:10" ht="12.75">
      <c r="D944"/>
      <c r="E944"/>
      <c r="F944"/>
      <c r="H944"/>
      <c r="I944"/>
      <c r="J944"/>
    </row>
    <row r="945" spans="4:10" ht="12.75">
      <c r="D945"/>
      <c r="E945"/>
      <c r="F945"/>
      <c r="H945"/>
      <c r="I945"/>
      <c r="J945"/>
    </row>
    <row r="946" spans="4:10" ht="12.75">
      <c r="D946"/>
      <c r="E946"/>
      <c r="F946"/>
      <c r="H946"/>
      <c r="I946"/>
      <c r="J946"/>
    </row>
    <row r="947" spans="4:10" ht="12.75">
      <c r="D947"/>
      <c r="E947"/>
      <c r="F947"/>
      <c r="H947"/>
      <c r="I947"/>
      <c r="J947"/>
    </row>
    <row r="948" spans="4:10" ht="12.75">
      <c r="D948"/>
      <c r="E948"/>
      <c r="F948"/>
      <c r="H948"/>
      <c r="I948"/>
      <c r="J948"/>
    </row>
    <row r="949" spans="4:10" ht="12.75">
      <c r="D949"/>
      <c r="E949"/>
      <c r="F949"/>
      <c r="H949"/>
      <c r="I949"/>
      <c r="J949"/>
    </row>
    <row r="950" spans="4:10" ht="12.75">
      <c r="D950"/>
      <c r="E950"/>
      <c r="F950"/>
      <c r="H950"/>
      <c r="I950"/>
      <c r="J950"/>
    </row>
    <row r="951" spans="4:10" ht="12.75">
      <c r="D951"/>
      <c r="E951"/>
      <c r="F951"/>
      <c r="H951"/>
      <c r="I951"/>
      <c r="J951"/>
    </row>
    <row r="952" spans="4:10" ht="12.75">
      <c r="D952"/>
      <c r="E952"/>
      <c r="F952"/>
      <c r="H952"/>
      <c r="I952"/>
      <c r="J952"/>
    </row>
    <row r="953" spans="4:10" ht="12.75">
      <c r="D953"/>
      <c r="E953"/>
      <c r="F953"/>
      <c r="H953"/>
      <c r="I953"/>
      <c r="J953"/>
    </row>
    <row r="954" spans="4:10" ht="12.75">
      <c r="D954"/>
      <c r="E954"/>
      <c r="F954"/>
      <c r="H954"/>
      <c r="I954"/>
      <c r="J954"/>
    </row>
    <row r="955" spans="4:10" ht="12.75">
      <c r="D955"/>
      <c r="E955"/>
      <c r="F955"/>
      <c r="H955"/>
      <c r="I955"/>
      <c r="J955"/>
    </row>
    <row r="956" spans="4:10" ht="12.75">
      <c r="D956"/>
      <c r="E956"/>
      <c r="F956"/>
      <c r="H956"/>
      <c r="I956"/>
      <c r="J956"/>
    </row>
    <row r="957" spans="4:10" ht="12.75">
      <c r="D957"/>
      <c r="E957"/>
      <c r="F957"/>
      <c r="H957"/>
      <c r="I957"/>
      <c r="J957"/>
    </row>
    <row r="958" spans="4:10" ht="12.75">
      <c r="D958"/>
      <c r="E958"/>
      <c r="F958"/>
      <c r="H958"/>
      <c r="I958"/>
      <c r="J958"/>
    </row>
    <row r="959" spans="4:10" ht="12.75">
      <c r="D959"/>
      <c r="E959"/>
      <c r="F959"/>
      <c r="H959"/>
      <c r="I959"/>
      <c r="J959"/>
    </row>
    <row r="960" spans="4:10" ht="12.75">
      <c r="D960"/>
      <c r="E960"/>
      <c r="F960"/>
      <c r="H960"/>
      <c r="I960"/>
      <c r="J960"/>
    </row>
    <row r="961" spans="4:10" ht="12.75">
      <c r="D961"/>
      <c r="E961"/>
      <c r="F961"/>
      <c r="H961"/>
      <c r="I961"/>
      <c r="J961"/>
    </row>
    <row r="962" spans="4:10" ht="12.75">
      <c r="D962"/>
      <c r="E962"/>
      <c r="F962"/>
      <c r="H962"/>
      <c r="I962"/>
      <c r="J962"/>
    </row>
    <row r="963" spans="4:10" ht="12.75">
      <c r="D963"/>
      <c r="E963"/>
      <c r="F963"/>
      <c r="H963"/>
      <c r="I963"/>
      <c r="J963"/>
    </row>
    <row r="964" spans="4:10" ht="12.75">
      <c r="D964"/>
      <c r="E964"/>
      <c r="F964"/>
      <c r="H964"/>
      <c r="I964"/>
      <c r="J964"/>
    </row>
    <row r="965" spans="4:10" ht="12.75">
      <c r="D965"/>
      <c r="E965"/>
      <c r="F965"/>
      <c r="H965"/>
      <c r="I965"/>
      <c r="J965"/>
    </row>
    <row r="966" spans="4:10" ht="12.75">
      <c r="D966"/>
      <c r="E966"/>
      <c r="F966"/>
      <c r="H966"/>
      <c r="I966"/>
      <c r="J966"/>
    </row>
    <row r="967" spans="4:10" ht="12.75">
      <c r="D967"/>
      <c r="E967"/>
      <c r="F967"/>
      <c r="H967"/>
      <c r="I967"/>
      <c r="J967"/>
    </row>
    <row r="968" spans="4:10" ht="12.75">
      <c r="D968"/>
      <c r="E968"/>
      <c r="F968"/>
      <c r="H968"/>
      <c r="I968"/>
      <c r="J968"/>
    </row>
    <row r="969" spans="4:10" ht="12.75">
      <c r="D969"/>
      <c r="E969"/>
      <c r="F969"/>
      <c r="H969"/>
      <c r="I969"/>
      <c r="J969"/>
    </row>
    <row r="970" spans="4:10" ht="12.75">
      <c r="D970"/>
      <c r="E970"/>
      <c r="F970"/>
      <c r="H970"/>
      <c r="I970"/>
      <c r="J970"/>
    </row>
    <row r="971" spans="4:10" ht="12.75">
      <c r="D971"/>
      <c r="E971"/>
      <c r="F971"/>
      <c r="H971"/>
      <c r="I971"/>
      <c r="J971"/>
    </row>
    <row r="972" spans="4:10" ht="12.75">
      <c r="D972"/>
      <c r="E972"/>
      <c r="F972"/>
      <c r="H972"/>
      <c r="I972"/>
      <c r="J972"/>
    </row>
  </sheetData>
  <printOptions/>
  <pageMargins left="0.7874015748031497" right="0.7874015748031497" top="0.7874015748031497" bottom="0.7874015748031497" header="0.5118110236220472" footer="0.5118110236220472"/>
  <pageSetup fitToHeight="3" orientation="landscape" paperSize="9" scale="62" r:id="rId1"/>
  <headerFooter alignWithMargins="0">
    <oddFooter>&amp;C&amp;"Arial,Grassetto"Cespiti al 31/12/2005</oddFooter>
  </headerFooter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240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4" sqref="B14"/>
    </sheetView>
  </sheetViews>
  <sheetFormatPr defaultColWidth="9.140625" defaultRowHeight="12.75"/>
  <cols>
    <col min="1" max="1" width="47.00390625" style="0" customWidth="1"/>
    <col min="2" max="2" width="15.7109375" style="0" customWidth="1"/>
    <col min="3" max="3" width="6.57421875" style="0" customWidth="1"/>
    <col min="4" max="4" width="14.7109375" style="31" customWidth="1"/>
    <col min="5" max="5" width="19.00390625" style="31" customWidth="1"/>
    <col min="6" max="6" width="17.421875" style="31" customWidth="1"/>
    <col min="7" max="7" width="7.8515625" style="0" customWidth="1"/>
    <col min="8" max="10" width="16.421875" style="31" customWidth="1"/>
    <col min="11" max="11" width="21.8515625" style="0" customWidth="1"/>
  </cols>
  <sheetData>
    <row r="1" spans="1:11" ht="36.75" customHeight="1">
      <c r="A1" s="27" t="s">
        <v>0</v>
      </c>
      <c r="B1" s="22"/>
      <c r="C1" s="134" t="s">
        <v>3</v>
      </c>
      <c r="D1" s="133" t="s">
        <v>57</v>
      </c>
      <c r="E1" s="133" t="s">
        <v>54</v>
      </c>
      <c r="F1" s="133" t="s">
        <v>399</v>
      </c>
      <c r="G1" s="134" t="s">
        <v>21</v>
      </c>
      <c r="H1" s="133" t="s">
        <v>56</v>
      </c>
      <c r="I1" s="133" t="s">
        <v>64</v>
      </c>
      <c r="J1" s="133" t="s">
        <v>65</v>
      </c>
      <c r="K1" s="134" t="s">
        <v>55</v>
      </c>
    </row>
    <row r="2" ht="18" customHeight="1">
      <c r="A2" s="19"/>
    </row>
    <row r="3" spans="1:2" ht="18.75">
      <c r="A3" s="24"/>
      <c r="B3" s="16"/>
    </row>
    <row r="4" ht="12.75">
      <c r="A4" s="19"/>
    </row>
    <row r="5" spans="1:11" ht="12.75">
      <c r="A5" s="18" t="s">
        <v>129</v>
      </c>
      <c r="K5" s="3"/>
    </row>
    <row r="6" spans="1:11" ht="12.75">
      <c r="A6" s="18"/>
      <c r="K6" s="3"/>
    </row>
    <row r="7" spans="1:11" s="63" customFormat="1" ht="12.75">
      <c r="A7" s="76" t="s">
        <v>80</v>
      </c>
      <c r="B7" s="113" t="s">
        <v>68</v>
      </c>
      <c r="C7" s="63">
        <v>1998</v>
      </c>
      <c r="D7" s="109">
        <f>220000/1936.27</f>
        <v>113.62051779968702</v>
      </c>
      <c r="E7" s="109">
        <v>0</v>
      </c>
      <c r="F7" s="109">
        <f aca="true" t="shared" si="0" ref="F7:F14">+D7+E7</f>
        <v>113.62051779968702</v>
      </c>
      <c r="G7" s="63">
        <v>0</v>
      </c>
      <c r="H7" s="109">
        <f aca="true" t="shared" si="1" ref="H7:H14">F7*G7/100</f>
        <v>0</v>
      </c>
      <c r="I7" s="109">
        <f>220000/1936.27</f>
        <v>113.62051779968702</v>
      </c>
      <c r="J7" s="109">
        <f aca="true" t="shared" si="2" ref="J7:J14">+H7+I7</f>
        <v>113.62051779968702</v>
      </c>
      <c r="K7" s="112">
        <f aca="true" t="shared" si="3" ref="K7:K14">+F7-J7</f>
        <v>0</v>
      </c>
    </row>
    <row r="8" spans="1:11" s="63" customFormat="1" ht="12.75">
      <c r="A8" s="76" t="s">
        <v>81</v>
      </c>
      <c r="B8" s="113" t="s">
        <v>68</v>
      </c>
      <c r="C8" s="63">
        <v>1998</v>
      </c>
      <c r="D8" s="109">
        <f>417000/1936.27</f>
        <v>215.36252692031587</v>
      </c>
      <c r="E8" s="109">
        <v>0</v>
      </c>
      <c r="F8" s="109">
        <f t="shared" si="0"/>
        <v>215.36252692031587</v>
      </c>
      <c r="G8" s="63">
        <v>0</v>
      </c>
      <c r="H8" s="109">
        <f t="shared" si="1"/>
        <v>0</v>
      </c>
      <c r="I8" s="109">
        <f>417000/1936.27</f>
        <v>215.36252692031587</v>
      </c>
      <c r="J8" s="109">
        <f t="shared" si="2"/>
        <v>215.36252692031587</v>
      </c>
      <c r="K8" s="112">
        <f t="shared" si="3"/>
        <v>0</v>
      </c>
    </row>
    <row r="9" spans="1:11" s="34" customFormat="1" ht="12.75">
      <c r="A9" s="38" t="s">
        <v>67</v>
      </c>
      <c r="B9" s="39" t="s">
        <v>68</v>
      </c>
      <c r="C9" s="40">
        <v>1999</v>
      </c>
      <c r="D9" s="94">
        <f>1920000/1936.27</f>
        <v>991.5972462518141</v>
      </c>
      <c r="E9" s="94">
        <v>0</v>
      </c>
      <c r="F9" s="94">
        <f t="shared" si="0"/>
        <v>991.5972462518141</v>
      </c>
      <c r="G9" s="71">
        <v>6.25</v>
      </c>
      <c r="H9" s="94">
        <f t="shared" si="1"/>
        <v>61.97482789073838</v>
      </c>
      <c r="I9" s="94">
        <f>371.85+61.97+61.97+61.97</f>
        <v>557.7600000000001</v>
      </c>
      <c r="J9" s="94">
        <f t="shared" si="2"/>
        <v>619.7348278907385</v>
      </c>
      <c r="K9" s="100">
        <f t="shared" si="3"/>
        <v>371.8624183610756</v>
      </c>
    </row>
    <row r="10" spans="1:11" ht="12.75">
      <c r="A10" s="38" t="s">
        <v>69</v>
      </c>
      <c r="B10" s="39" t="s">
        <v>68</v>
      </c>
      <c r="C10" s="40">
        <v>1999</v>
      </c>
      <c r="D10" s="94">
        <f>2496000/1936.27</f>
        <v>1289.0764201273582</v>
      </c>
      <c r="E10" s="94">
        <v>0</v>
      </c>
      <c r="F10" s="94">
        <f t="shared" si="0"/>
        <v>1289.0764201273582</v>
      </c>
      <c r="G10" s="71">
        <v>6.25</v>
      </c>
      <c r="H10" s="94">
        <f t="shared" si="1"/>
        <v>80.56727625795989</v>
      </c>
      <c r="I10" s="94">
        <f>402.83+80.57+80.57+80.57</f>
        <v>644.54</v>
      </c>
      <c r="J10" s="94">
        <f t="shared" si="2"/>
        <v>725.1072762579598</v>
      </c>
      <c r="K10" s="100">
        <f t="shared" si="3"/>
        <v>563.9691438693984</v>
      </c>
    </row>
    <row r="11" spans="1:11" ht="12.75">
      <c r="A11" s="38" t="s">
        <v>70</v>
      </c>
      <c r="B11" s="39" t="s">
        <v>71</v>
      </c>
      <c r="C11" s="40">
        <v>1999</v>
      </c>
      <c r="D11" s="94">
        <f>18043505/1936.27</f>
        <v>9318.692641005646</v>
      </c>
      <c r="E11" s="94">
        <v>0</v>
      </c>
      <c r="F11" s="94">
        <f>+D11+E11</f>
        <v>9318.692641005646</v>
      </c>
      <c r="G11" s="71">
        <v>6.25</v>
      </c>
      <c r="H11" s="94">
        <f t="shared" si="1"/>
        <v>582.4182900628529</v>
      </c>
      <c r="I11" s="94">
        <f>2591.58+647.9+647.9</f>
        <v>3887.38</v>
      </c>
      <c r="J11" s="94">
        <f t="shared" si="2"/>
        <v>4469.798290062853</v>
      </c>
      <c r="K11" s="100">
        <f t="shared" si="3"/>
        <v>4848.894350942793</v>
      </c>
    </row>
    <row r="12" spans="1:11" ht="12.75">
      <c r="A12" s="38" t="s">
        <v>72</v>
      </c>
      <c r="B12" s="39" t="s">
        <v>507</v>
      </c>
      <c r="C12" s="40">
        <v>1999</v>
      </c>
      <c r="D12" s="94">
        <f>2700000/1936.27</f>
        <v>1394.4336275416135</v>
      </c>
      <c r="E12" s="94">
        <v>0</v>
      </c>
      <c r="F12" s="94">
        <f t="shared" si="0"/>
        <v>1394.4336275416135</v>
      </c>
      <c r="G12" s="71">
        <v>6.25</v>
      </c>
      <c r="H12" s="94">
        <f t="shared" si="1"/>
        <v>87.15210172135085</v>
      </c>
      <c r="I12" s="94">
        <f>522.91+87.15+87.15+87.15</f>
        <v>784.3599999999999</v>
      </c>
      <c r="J12" s="94">
        <f t="shared" si="2"/>
        <v>871.5121017213507</v>
      </c>
      <c r="K12" s="100">
        <f t="shared" si="3"/>
        <v>522.9215258202628</v>
      </c>
    </row>
    <row r="13" spans="1:11" ht="12.75">
      <c r="A13" s="38" t="s">
        <v>73</v>
      </c>
      <c r="B13" s="39" t="s">
        <v>507</v>
      </c>
      <c r="C13" s="40">
        <v>1999</v>
      </c>
      <c r="D13" s="94">
        <f>350000/1936.27</f>
        <v>180.75991468132028</v>
      </c>
      <c r="E13" s="94">
        <v>0</v>
      </c>
      <c r="F13" s="94">
        <f t="shared" si="0"/>
        <v>180.75991468132028</v>
      </c>
      <c r="G13" s="71">
        <v>6.25</v>
      </c>
      <c r="H13" s="94">
        <f t="shared" si="1"/>
        <v>11.29749466758252</v>
      </c>
      <c r="I13" s="94">
        <f>67.78+11.3+11.3+11.3</f>
        <v>101.67999999999999</v>
      </c>
      <c r="J13" s="94">
        <f t="shared" si="2"/>
        <v>112.9774946675825</v>
      </c>
      <c r="K13" s="100">
        <f t="shared" si="3"/>
        <v>67.78242001373778</v>
      </c>
    </row>
    <row r="14" spans="1:11" ht="12.75">
      <c r="A14" s="38" t="s">
        <v>86</v>
      </c>
      <c r="B14" s="39" t="s">
        <v>68</v>
      </c>
      <c r="C14" s="40">
        <v>1999</v>
      </c>
      <c r="D14" s="94">
        <f>3245760/1936.27</f>
        <v>1676.2951447886917</v>
      </c>
      <c r="E14" s="94">
        <v>0</v>
      </c>
      <c r="F14" s="94">
        <f t="shared" si="0"/>
        <v>1676.2951447886917</v>
      </c>
      <c r="G14" s="71">
        <v>6.25</v>
      </c>
      <c r="H14" s="94">
        <f t="shared" si="1"/>
        <v>104.76844654929322</v>
      </c>
      <c r="I14" s="94">
        <f>523.85+104.77+104.77+104.77</f>
        <v>838.16</v>
      </c>
      <c r="J14" s="94">
        <f t="shared" si="2"/>
        <v>942.9284465492932</v>
      </c>
      <c r="K14" s="100">
        <f t="shared" si="3"/>
        <v>733.3666982393985</v>
      </c>
    </row>
    <row r="15" spans="1:11" s="33" customFormat="1" ht="12.75">
      <c r="A15" s="38" t="s">
        <v>105</v>
      </c>
      <c r="B15" s="39" t="s">
        <v>68</v>
      </c>
      <c r="C15" s="40">
        <v>1999</v>
      </c>
      <c r="D15" s="94">
        <f>1321572/1936.27</f>
        <v>682.5349770434908</v>
      </c>
      <c r="E15" s="94">
        <v>0</v>
      </c>
      <c r="F15" s="94">
        <f aca="true" t="shared" si="4" ref="F15:F26">+D15+E15</f>
        <v>682.5349770434908</v>
      </c>
      <c r="G15" s="71">
        <v>6.25</v>
      </c>
      <c r="H15" s="94">
        <f aca="true" t="shared" si="5" ref="H15:H26">F15*G15/100</f>
        <v>42.658436065218176</v>
      </c>
      <c r="I15" s="94">
        <f>255.95+42.66+42.66+42.66</f>
        <v>383.92999999999995</v>
      </c>
      <c r="J15" s="94">
        <f aca="true" t="shared" si="6" ref="J15:J26">+H15+I15</f>
        <v>426.5884360652181</v>
      </c>
      <c r="K15" s="100">
        <f>+F15-J15</f>
        <v>255.9465409782727</v>
      </c>
    </row>
    <row r="16" spans="1:11" s="33" customFormat="1" ht="12.75">
      <c r="A16" s="38" t="s">
        <v>106</v>
      </c>
      <c r="B16" s="39" t="s">
        <v>68</v>
      </c>
      <c r="C16" s="40">
        <v>1999</v>
      </c>
      <c r="D16" s="94">
        <f>1310400/1936.27</f>
        <v>676.7651205668631</v>
      </c>
      <c r="E16" s="94">
        <v>0</v>
      </c>
      <c r="F16" s="94">
        <f t="shared" si="4"/>
        <v>676.7651205668631</v>
      </c>
      <c r="G16" s="71">
        <v>6.25</v>
      </c>
      <c r="H16" s="94">
        <f t="shared" si="5"/>
        <v>42.29782003542894</v>
      </c>
      <c r="I16" s="94">
        <f>253.79+42.3+42.3+42.3</f>
        <v>380.69</v>
      </c>
      <c r="J16" s="94">
        <f t="shared" si="6"/>
        <v>422.98782003542897</v>
      </c>
      <c r="K16" s="100">
        <f>+F16-J16</f>
        <v>253.7773005314341</v>
      </c>
    </row>
    <row r="17" spans="1:11" s="33" customFormat="1" ht="12.75">
      <c r="A17" s="38" t="s">
        <v>107</v>
      </c>
      <c r="B17" s="39" t="s">
        <v>68</v>
      </c>
      <c r="C17" s="40">
        <v>1999</v>
      </c>
      <c r="D17" s="94">
        <f>57600/1936.27</f>
        <v>29.747917387554423</v>
      </c>
      <c r="E17" s="94">
        <v>0</v>
      </c>
      <c r="F17" s="94">
        <f t="shared" si="4"/>
        <v>29.747917387554423</v>
      </c>
      <c r="G17" s="71">
        <v>6.25</v>
      </c>
      <c r="H17" s="94">
        <f t="shared" si="5"/>
        <v>1.8592448367221517</v>
      </c>
      <c r="I17" s="94">
        <f>11.16+1.86+1.86+1.86</f>
        <v>16.74</v>
      </c>
      <c r="J17" s="94">
        <f t="shared" si="6"/>
        <v>18.59924483672215</v>
      </c>
      <c r="K17" s="100">
        <f>+F17-J17</f>
        <v>11.148672550832273</v>
      </c>
    </row>
    <row r="18" spans="1:11" s="33" customFormat="1" ht="12.75">
      <c r="A18" s="38" t="s">
        <v>108</v>
      </c>
      <c r="B18" s="39" t="s">
        <v>68</v>
      </c>
      <c r="C18" s="40">
        <v>1999</v>
      </c>
      <c r="D18" s="94">
        <f>2592000/1936.27</f>
        <v>1338.6562824399489</v>
      </c>
      <c r="E18" s="94">
        <v>0</v>
      </c>
      <c r="F18" s="94">
        <f t="shared" si="4"/>
        <v>1338.6562824399489</v>
      </c>
      <c r="G18" s="71">
        <v>6.25</v>
      </c>
      <c r="H18" s="94">
        <f t="shared" si="5"/>
        <v>83.6660176524968</v>
      </c>
      <c r="I18" s="94">
        <f>501.99+83.67+83.67+83.67</f>
        <v>752.9999999999999</v>
      </c>
      <c r="J18" s="94">
        <f t="shared" si="6"/>
        <v>836.6660176524967</v>
      </c>
      <c r="K18" s="100">
        <f>+F18-J18</f>
        <v>501.99026478745213</v>
      </c>
    </row>
    <row r="19" spans="1:11" s="33" customFormat="1" ht="12.75">
      <c r="A19" s="38" t="s">
        <v>109</v>
      </c>
      <c r="B19" s="39" t="s">
        <v>68</v>
      </c>
      <c r="C19" s="40">
        <v>1999</v>
      </c>
      <c r="D19" s="94">
        <f>2304000/1936.27</f>
        <v>1189.916695502177</v>
      </c>
      <c r="E19" s="94">
        <v>0</v>
      </c>
      <c r="F19" s="94">
        <f t="shared" si="4"/>
        <v>1189.916695502177</v>
      </c>
      <c r="G19" s="71">
        <v>6.25</v>
      </c>
      <c r="H19" s="94">
        <f t="shared" si="5"/>
        <v>74.36979346888606</v>
      </c>
      <c r="I19" s="94">
        <f>446.22+74.37+74.37+74.37</f>
        <v>669.33</v>
      </c>
      <c r="J19" s="94">
        <f t="shared" si="6"/>
        <v>743.6997934688861</v>
      </c>
      <c r="K19" s="100">
        <f>+F19-J19</f>
        <v>446.2169020332908</v>
      </c>
    </row>
    <row r="20" spans="1:11" s="33" customFormat="1" ht="12.75">
      <c r="A20" s="38" t="s">
        <v>110</v>
      </c>
      <c r="B20" s="39" t="s">
        <v>68</v>
      </c>
      <c r="C20" s="40">
        <v>1999</v>
      </c>
      <c r="D20" s="94">
        <f>1104000/1936.27</f>
        <v>570.1684165947931</v>
      </c>
      <c r="E20" s="94">
        <v>0</v>
      </c>
      <c r="F20" s="94">
        <f t="shared" si="4"/>
        <v>570.1684165947931</v>
      </c>
      <c r="G20" s="71">
        <v>6.25</v>
      </c>
      <c r="H20" s="94">
        <f t="shared" si="5"/>
        <v>35.63552603717457</v>
      </c>
      <c r="I20" s="94">
        <f>178.18+35.64+35.64+35.64</f>
        <v>285.09999999999997</v>
      </c>
      <c r="J20" s="94">
        <f t="shared" si="6"/>
        <v>320.7355260371745</v>
      </c>
      <c r="K20" s="100">
        <f aca="true" t="shared" si="7" ref="K20:K26">+F20-J20</f>
        <v>249.43289055761863</v>
      </c>
    </row>
    <row r="21" spans="1:11" s="33" customFormat="1" ht="12.75">
      <c r="A21" s="38" t="s">
        <v>113</v>
      </c>
      <c r="B21" s="39" t="s">
        <v>68</v>
      </c>
      <c r="C21" s="40">
        <v>1999</v>
      </c>
      <c r="D21" s="94">
        <f>864000/1936.27</f>
        <v>446.21876081331635</v>
      </c>
      <c r="E21" s="94">
        <v>0</v>
      </c>
      <c r="F21" s="94">
        <f t="shared" si="4"/>
        <v>446.21876081331635</v>
      </c>
      <c r="G21" s="71">
        <v>6.25</v>
      </c>
      <c r="H21" s="94">
        <f t="shared" si="5"/>
        <v>27.888672550832272</v>
      </c>
      <c r="I21" s="94">
        <f>139.45+27.89+27.89</f>
        <v>195.22999999999996</v>
      </c>
      <c r="J21" s="94">
        <f t="shared" si="6"/>
        <v>223.11867255083223</v>
      </c>
      <c r="K21" s="100">
        <f t="shared" si="7"/>
        <v>223.10008826248412</v>
      </c>
    </row>
    <row r="22" spans="1:11" s="33" customFormat="1" ht="12.75">
      <c r="A22" s="38" t="s">
        <v>114</v>
      </c>
      <c r="B22" s="39" t="s">
        <v>68</v>
      </c>
      <c r="C22" s="40">
        <v>1999</v>
      </c>
      <c r="D22" s="94">
        <f>978000/1936.27</f>
        <v>505.0948473095178</v>
      </c>
      <c r="E22" s="94">
        <v>0</v>
      </c>
      <c r="F22" s="94">
        <f t="shared" si="4"/>
        <v>505.0948473095178</v>
      </c>
      <c r="G22" s="71">
        <v>6.25</v>
      </c>
      <c r="H22" s="94">
        <f t="shared" si="5"/>
        <v>31.56842795684486</v>
      </c>
      <c r="I22" s="94">
        <f>157.85+31.57+31.57+31.57</f>
        <v>252.55999999999997</v>
      </c>
      <c r="J22" s="94">
        <f t="shared" si="6"/>
        <v>284.12842795684486</v>
      </c>
      <c r="K22" s="100">
        <f t="shared" si="7"/>
        <v>220.96641935267292</v>
      </c>
    </row>
    <row r="23" spans="1:11" s="33" customFormat="1" ht="12.75">
      <c r="A23" s="38" t="s">
        <v>120</v>
      </c>
      <c r="B23" s="39" t="s">
        <v>68</v>
      </c>
      <c r="C23" s="40">
        <v>1999</v>
      </c>
      <c r="D23" s="94">
        <f>1680000/1936.27</f>
        <v>867.6475904703373</v>
      </c>
      <c r="E23" s="94">
        <v>0</v>
      </c>
      <c r="F23" s="94">
        <f t="shared" si="4"/>
        <v>867.6475904703373</v>
      </c>
      <c r="G23" s="71">
        <v>6.25</v>
      </c>
      <c r="H23" s="94">
        <f t="shared" si="5"/>
        <v>54.22797440439608</v>
      </c>
      <c r="I23" s="94">
        <f>271.14+54.23+54.23+54.23</f>
        <v>433.83000000000004</v>
      </c>
      <c r="J23" s="94">
        <f t="shared" si="6"/>
        <v>488.05797440439613</v>
      </c>
      <c r="K23" s="100">
        <f t="shared" si="7"/>
        <v>379.58961606594113</v>
      </c>
    </row>
    <row r="24" spans="1:11" s="33" customFormat="1" ht="12.75">
      <c r="A24" s="38" t="s">
        <v>119</v>
      </c>
      <c r="B24" s="39" t="s">
        <v>68</v>
      </c>
      <c r="C24" s="40">
        <v>1999</v>
      </c>
      <c r="D24" s="94">
        <f>3360000/1936.27</f>
        <v>1735.2951809406745</v>
      </c>
      <c r="E24" s="94">
        <v>0</v>
      </c>
      <c r="F24" s="94">
        <f t="shared" si="4"/>
        <v>1735.2951809406745</v>
      </c>
      <c r="G24" s="71">
        <v>6.25</v>
      </c>
      <c r="H24" s="94">
        <f t="shared" si="5"/>
        <v>108.45594880879216</v>
      </c>
      <c r="I24" s="94">
        <f>542.28+108.46+108.46+108.46</f>
        <v>867.6600000000001</v>
      </c>
      <c r="J24" s="94">
        <f t="shared" si="6"/>
        <v>976.1159488087923</v>
      </c>
      <c r="K24" s="100">
        <f t="shared" si="7"/>
        <v>759.1792321318823</v>
      </c>
    </row>
    <row r="25" spans="1:11" s="33" customFormat="1" ht="12.75">
      <c r="A25" s="38" t="s">
        <v>121</v>
      </c>
      <c r="B25" s="39" t="s">
        <v>68</v>
      </c>
      <c r="C25" s="40">
        <v>1999</v>
      </c>
      <c r="D25" s="94">
        <f>898800/1936.27</f>
        <v>464.1914609016305</v>
      </c>
      <c r="E25" s="94">
        <v>0</v>
      </c>
      <c r="F25" s="94">
        <f t="shared" si="4"/>
        <v>464.1914609016305</v>
      </c>
      <c r="G25" s="71">
        <v>6.25</v>
      </c>
      <c r="H25" s="94">
        <f t="shared" si="5"/>
        <v>29.011966306351905</v>
      </c>
      <c r="I25" s="94">
        <f>145.06+29.01+29.01+29.01</f>
        <v>232.08999999999997</v>
      </c>
      <c r="J25" s="94">
        <f t="shared" si="6"/>
        <v>261.10196630635187</v>
      </c>
      <c r="K25" s="100">
        <f t="shared" si="7"/>
        <v>203.0894945952786</v>
      </c>
    </row>
    <row r="26" spans="1:11" s="33" customFormat="1" ht="12.75">
      <c r="A26" s="38" t="s">
        <v>111</v>
      </c>
      <c r="B26" s="39" t="s">
        <v>68</v>
      </c>
      <c r="C26" s="40">
        <v>1999</v>
      </c>
      <c r="D26" s="94">
        <f>414000/1936.27</f>
        <v>213.8131562230474</v>
      </c>
      <c r="E26" s="94">
        <v>0</v>
      </c>
      <c r="F26" s="94">
        <f t="shared" si="4"/>
        <v>213.8131562230474</v>
      </c>
      <c r="G26" s="71">
        <v>6.25</v>
      </c>
      <c r="H26" s="94">
        <f t="shared" si="5"/>
        <v>13.363322263940463</v>
      </c>
      <c r="I26" s="94">
        <f>66.82+13.36+13.36+13.36</f>
        <v>106.89999999999999</v>
      </c>
      <c r="J26" s="94">
        <f t="shared" si="6"/>
        <v>120.26332226394045</v>
      </c>
      <c r="K26" s="100">
        <f t="shared" si="7"/>
        <v>93.54983395910695</v>
      </c>
    </row>
    <row r="27" spans="1:11" s="33" customFormat="1" ht="12.75">
      <c r="A27" s="38" t="s">
        <v>112</v>
      </c>
      <c r="B27" s="39" t="s">
        <v>68</v>
      </c>
      <c r="C27" s="40">
        <v>1999</v>
      </c>
      <c r="D27" s="94">
        <f>16482480/1936.27</f>
        <v>8512.490510104479</v>
      </c>
      <c r="E27" s="94">
        <v>0</v>
      </c>
      <c r="F27" s="94">
        <f aca="true" t="shared" si="8" ref="F27:F38">+D27+E27</f>
        <v>8512.490510104479</v>
      </c>
      <c r="G27" s="71">
        <v>6.25</v>
      </c>
      <c r="H27" s="94">
        <f aca="true" t="shared" si="9" ref="H27:H142">F27*G27/100</f>
        <v>532.0306568815299</v>
      </c>
      <c r="I27" s="94">
        <f>2660.15+532.03+532.03</f>
        <v>3724.21</v>
      </c>
      <c r="J27" s="94">
        <f aca="true" t="shared" si="10" ref="J27:J142">+H27+I27</f>
        <v>4256.2406568815295</v>
      </c>
      <c r="K27" s="100">
        <f aca="true" t="shared" si="11" ref="K27:K142">+F27-J27</f>
        <v>4256.249853222949</v>
      </c>
    </row>
    <row r="28" spans="1:11" s="63" customFormat="1" ht="12.75">
      <c r="A28" s="76" t="s">
        <v>82</v>
      </c>
      <c r="B28" s="113" t="s">
        <v>68</v>
      </c>
      <c r="C28" s="63">
        <v>1999</v>
      </c>
      <c r="D28" s="109">
        <f>375000/1936.27</f>
        <v>193.67133715855744</v>
      </c>
      <c r="E28" s="109">
        <v>0</v>
      </c>
      <c r="F28" s="109">
        <f t="shared" si="8"/>
        <v>193.67133715855744</v>
      </c>
      <c r="G28" s="71">
        <v>12.5</v>
      </c>
      <c r="H28" s="109">
        <f t="shared" si="9"/>
        <v>24.20891714481968</v>
      </c>
      <c r="I28" s="109">
        <f>60.52+24.21+24.21+24.21</f>
        <v>133.15</v>
      </c>
      <c r="J28" s="109">
        <f t="shared" si="10"/>
        <v>157.35891714481969</v>
      </c>
      <c r="K28" s="112">
        <f t="shared" si="11"/>
        <v>36.31242001373775</v>
      </c>
    </row>
    <row r="29" spans="1:11" s="63" customFormat="1" ht="12.75">
      <c r="A29" s="76" t="s">
        <v>83</v>
      </c>
      <c r="B29" s="113" t="s">
        <v>68</v>
      </c>
      <c r="C29" s="63">
        <v>1999</v>
      </c>
      <c r="D29" s="109">
        <f>620000/1936.27</f>
        <v>320.20327743548165</v>
      </c>
      <c r="E29" s="109">
        <v>0</v>
      </c>
      <c r="F29" s="109">
        <f t="shared" si="8"/>
        <v>320.20327743548165</v>
      </c>
      <c r="G29" s="71">
        <v>0</v>
      </c>
      <c r="H29" s="109">
        <f t="shared" si="9"/>
        <v>0</v>
      </c>
      <c r="I29" s="109">
        <f>620000/1936.27</f>
        <v>320.20327743548165</v>
      </c>
      <c r="J29" s="109">
        <f t="shared" si="10"/>
        <v>320.20327743548165</v>
      </c>
      <c r="K29" s="112">
        <f t="shared" si="11"/>
        <v>0</v>
      </c>
    </row>
    <row r="30" spans="1:11" s="63" customFormat="1" ht="12.75">
      <c r="A30" s="76" t="s">
        <v>84</v>
      </c>
      <c r="B30" s="113" t="s">
        <v>68</v>
      </c>
      <c r="C30" s="63">
        <v>1999</v>
      </c>
      <c r="D30" s="109">
        <f>780000/1936.27</f>
        <v>402.8363812897995</v>
      </c>
      <c r="E30" s="109">
        <v>0</v>
      </c>
      <c r="F30" s="109">
        <f t="shared" si="8"/>
        <v>402.8363812897995</v>
      </c>
      <c r="G30" s="71">
        <v>0</v>
      </c>
      <c r="H30" s="109">
        <f t="shared" si="9"/>
        <v>0</v>
      </c>
      <c r="I30" s="109">
        <f>780000/1936.27</f>
        <v>402.8363812897995</v>
      </c>
      <c r="J30" s="109">
        <f t="shared" si="10"/>
        <v>402.8363812897995</v>
      </c>
      <c r="K30" s="112">
        <f t="shared" si="11"/>
        <v>0</v>
      </c>
    </row>
    <row r="31" spans="1:11" s="63" customFormat="1" ht="12.75">
      <c r="A31" s="76" t="s">
        <v>85</v>
      </c>
      <c r="B31" s="113" t="s">
        <v>68</v>
      </c>
      <c r="C31" s="63">
        <v>1999</v>
      </c>
      <c r="D31" s="109">
        <f>780000/1936.27</f>
        <v>402.8363812897995</v>
      </c>
      <c r="E31" s="109">
        <v>0</v>
      </c>
      <c r="F31" s="109">
        <f t="shared" si="8"/>
        <v>402.8363812897995</v>
      </c>
      <c r="G31" s="71">
        <v>0</v>
      </c>
      <c r="H31" s="109">
        <f t="shared" si="9"/>
        <v>0</v>
      </c>
      <c r="I31" s="109">
        <f>780000/1936.27</f>
        <v>402.8363812897995</v>
      </c>
      <c r="J31" s="109">
        <f t="shared" si="10"/>
        <v>402.8363812897995</v>
      </c>
      <c r="K31" s="112">
        <f t="shared" si="11"/>
        <v>0</v>
      </c>
    </row>
    <row r="32" spans="1:11" s="33" customFormat="1" ht="12.75">
      <c r="A32" s="38" t="s">
        <v>143</v>
      </c>
      <c r="B32" s="39" t="s">
        <v>68</v>
      </c>
      <c r="C32" s="40">
        <v>2000</v>
      </c>
      <c r="D32" s="94">
        <f>3000000/1936.27</f>
        <v>1549.3706972684595</v>
      </c>
      <c r="E32" s="94">
        <v>0</v>
      </c>
      <c r="F32" s="94">
        <f t="shared" si="8"/>
        <v>1549.3706972684595</v>
      </c>
      <c r="G32" s="71">
        <v>6.25</v>
      </c>
      <c r="H32" s="94">
        <f t="shared" si="9"/>
        <v>96.83566857927872</v>
      </c>
      <c r="I32" s="94">
        <f>290.51+96.84+96.84+96.84</f>
        <v>581.0300000000001</v>
      </c>
      <c r="J32" s="94">
        <f t="shared" si="10"/>
        <v>677.8656685792788</v>
      </c>
      <c r="K32" s="100">
        <f t="shared" si="11"/>
        <v>871.5050286891807</v>
      </c>
    </row>
    <row r="33" spans="1:11" s="33" customFormat="1" ht="12.75">
      <c r="A33" s="38" t="s">
        <v>144</v>
      </c>
      <c r="B33" s="39" t="s">
        <v>68</v>
      </c>
      <c r="C33" s="40">
        <v>2000</v>
      </c>
      <c r="D33" s="94">
        <f>10680000/1936.27</f>
        <v>5515.759682275716</v>
      </c>
      <c r="E33" s="94">
        <v>0</v>
      </c>
      <c r="F33" s="94">
        <f t="shared" si="8"/>
        <v>5515.759682275716</v>
      </c>
      <c r="G33" s="71">
        <v>6.25</v>
      </c>
      <c r="H33" s="94">
        <f t="shared" si="9"/>
        <v>344.73498014223225</v>
      </c>
      <c r="I33" s="94">
        <f>1034.2+344.73+344.73</f>
        <v>1723.66</v>
      </c>
      <c r="J33" s="94">
        <f t="shared" si="10"/>
        <v>2068.3949801422323</v>
      </c>
      <c r="K33" s="100">
        <f t="shared" si="11"/>
        <v>3447.3647021334837</v>
      </c>
    </row>
    <row r="34" spans="1:11" s="33" customFormat="1" ht="12.75">
      <c r="A34" s="77" t="s">
        <v>184</v>
      </c>
      <c r="B34" s="39" t="s">
        <v>68</v>
      </c>
      <c r="C34" s="40">
        <v>2001</v>
      </c>
      <c r="D34" s="94">
        <v>2417.02</v>
      </c>
      <c r="E34" s="94"/>
      <c r="F34" s="94">
        <f>+D34+E34</f>
        <v>2417.02</v>
      </c>
      <c r="G34" s="71">
        <v>6.25</v>
      </c>
      <c r="H34" s="94">
        <f t="shared" si="9"/>
        <v>151.06375</v>
      </c>
      <c r="I34" s="94">
        <f>302.13+151.06+151.06+151.06</f>
        <v>755.31</v>
      </c>
      <c r="J34" s="94">
        <f t="shared" si="10"/>
        <v>906.37375</v>
      </c>
      <c r="K34" s="100">
        <f t="shared" si="11"/>
        <v>1510.64625</v>
      </c>
    </row>
    <row r="35" spans="1:11" s="33" customFormat="1" ht="12.75">
      <c r="A35" s="77" t="s">
        <v>183</v>
      </c>
      <c r="B35" s="39" t="s">
        <v>68</v>
      </c>
      <c r="C35" s="40">
        <v>2001</v>
      </c>
      <c r="D35" s="94">
        <v>2113.34</v>
      </c>
      <c r="E35" s="94"/>
      <c r="F35" s="94">
        <f t="shared" si="8"/>
        <v>2113.34</v>
      </c>
      <c r="G35" s="71">
        <v>6.25</v>
      </c>
      <c r="H35" s="94">
        <f t="shared" si="9"/>
        <v>132.08375</v>
      </c>
      <c r="I35" s="94">
        <f>264.17+132.08+132.08+132.08</f>
        <v>660.4100000000001</v>
      </c>
      <c r="J35" s="94">
        <f t="shared" si="10"/>
        <v>792.4937500000001</v>
      </c>
      <c r="K35" s="100">
        <f t="shared" si="11"/>
        <v>1320.84625</v>
      </c>
    </row>
    <row r="36" spans="1:11" s="33" customFormat="1" ht="12.75">
      <c r="A36" s="77" t="s">
        <v>185</v>
      </c>
      <c r="B36" s="39" t="s">
        <v>68</v>
      </c>
      <c r="C36" s="40">
        <v>2001</v>
      </c>
      <c r="D36" s="94">
        <v>5309.48</v>
      </c>
      <c r="E36" s="94"/>
      <c r="F36" s="94">
        <f t="shared" si="8"/>
        <v>5309.48</v>
      </c>
      <c r="G36" s="71">
        <v>6.25</v>
      </c>
      <c r="H36" s="94">
        <f t="shared" si="9"/>
        <v>331.8425</v>
      </c>
      <c r="I36" s="94">
        <f>663.68+331.84</f>
        <v>995.52</v>
      </c>
      <c r="J36" s="94">
        <f t="shared" si="10"/>
        <v>1327.3625</v>
      </c>
      <c r="K36" s="100">
        <f t="shared" si="11"/>
        <v>3982.1174999999994</v>
      </c>
    </row>
    <row r="37" spans="1:11" s="33" customFormat="1" ht="12.75">
      <c r="A37" s="77" t="s">
        <v>186</v>
      </c>
      <c r="B37" s="39" t="s">
        <v>68</v>
      </c>
      <c r="C37" s="40">
        <v>2001</v>
      </c>
      <c r="D37" s="94">
        <v>3274.16</v>
      </c>
      <c r="E37" s="94"/>
      <c r="F37" s="94">
        <f t="shared" si="8"/>
        <v>3274.16</v>
      </c>
      <c r="G37" s="71">
        <v>6.25</v>
      </c>
      <c r="H37" s="94">
        <f t="shared" si="9"/>
        <v>204.635</v>
      </c>
      <c r="I37" s="94">
        <f>409.27+204.64+204.64+204.64</f>
        <v>1023.1899999999999</v>
      </c>
      <c r="J37" s="94">
        <f t="shared" si="10"/>
        <v>1227.8249999999998</v>
      </c>
      <c r="K37" s="100">
        <f t="shared" si="11"/>
        <v>2046.335</v>
      </c>
    </row>
    <row r="38" spans="1:11" s="73" customFormat="1" ht="12.75">
      <c r="A38" s="78" t="s">
        <v>187</v>
      </c>
      <c r="B38" s="72" t="s">
        <v>68</v>
      </c>
      <c r="C38" s="73">
        <v>2001</v>
      </c>
      <c r="D38" s="102">
        <v>26240.39</v>
      </c>
      <c r="E38" s="102"/>
      <c r="F38" s="102">
        <f t="shared" si="8"/>
        <v>26240.39</v>
      </c>
      <c r="G38" s="73">
        <v>6.25</v>
      </c>
      <c r="H38" s="102">
        <f>(F38*G38/100)+168.25</f>
        <v>1808.274375</v>
      </c>
      <c r="I38" s="102">
        <f>3280.05+1640.02+1640.02+1640.02</f>
        <v>8200.11</v>
      </c>
      <c r="J38" s="102">
        <v>9840.13</v>
      </c>
      <c r="K38" s="107">
        <f t="shared" si="11"/>
        <v>16400.260000000002</v>
      </c>
    </row>
    <row r="39" spans="1:11" s="73" customFormat="1" ht="12.75">
      <c r="A39" s="78" t="s">
        <v>204</v>
      </c>
      <c r="B39" s="72" t="s">
        <v>203</v>
      </c>
      <c r="C39" s="73">
        <v>2002</v>
      </c>
      <c r="D39" s="102">
        <v>717.6</v>
      </c>
      <c r="E39" s="102">
        <v>0</v>
      </c>
      <c r="F39" s="102">
        <v>717.6</v>
      </c>
      <c r="G39" s="73">
        <v>6.25</v>
      </c>
      <c r="H39" s="102">
        <f t="shared" si="9"/>
        <v>44.85</v>
      </c>
      <c r="I39" s="102">
        <f>44.85+44.85+44.85</f>
        <v>134.55</v>
      </c>
      <c r="J39" s="102">
        <f t="shared" si="10"/>
        <v>179.4</v>
      </c>
      <c r="K39" s="107">
        <f t="shared" si="11"/>
        <v>538.2</v>
      </c>
    </row>
    <row r="40" spans="1:11" s="73" customFormat="1" ht="12.75">
      <c r="A40" s="78" t="s">
        <v>205</v>
      </c>
      <c r="B40" s="72" t="s">
        <v>203</v>
      </c>
      <c r="C40" s="73">
        <v>2002</v>
      </c>
      <c r="D40" s="102">
        <v>1498.8</v>
      </c>
      <c r="E40" s="102">
        <v>0</v>
      </c>
      <c r="F40" s="102">
        <v>1498.8</v>
      </c>
      <c r="G40" s="73">
        <v>6.25</v>
      </c>
      <c r="H40" s="102">
        <f t="shared" si="9"/>
        <v>93.675</v>
      </c>
      <c r="I40" s="102">
        <f>93.68+93.68+93.68</f>
        <v>281.04</v>
      </c>
      <c r="J40" s="102">
        <f t="shared" si="10"/>
        <v>374.71500000000003</v>
      </c>
      <c r="K40" s="107">
        <f t="shared" si="11"/>
        <v>1124.085</v>
      </c>
    </row>
    <row r="41" spans="1:11" s="73" customFormat="1" ht="12.75">
      <c r="A41" s="78" t="s">
        <v>206</v>
      </c>
      <c r="B41" s="72" t="s">
        <v>203</v>
      </c>
      <c r="C41" s="73">
        <v>2002</v>
      </c>
      <c r="D41" s="102">
        <v>122.4</v>
      </c>
      <c r="E41" s="102">
        <v>0</v>
      </c>
      <c r="F41" s="102">
        <v>122.4</v>
      </c>
      <c r="G41" s="73">
        <v>6.25</v>
      </c>
      <c r="H41" s="102">
        <f t="shared" si="9"/>
        <v>7.65</v>
      </c>
      <c r="I41" s="102">
        <f>7.65+7.65+7.65</f>
        <v>22.950000000000003</v>
      </c>
      <c r="J41" s="102">
        <f t="shared" si="10"/>
        <v>30.6</v>
      </c>
      <c r="K41" s="107">
        <f t="shared" si="11"/>
        <v>91.80000000000001</v>
      </c>
    </row>
    <row r="42" spans="1:11" s="73" customFormat="1" ht="12.75">
      <c r="A42" s="78" t="s">
        <v>207</v>
      </c>
      <c r="B42" s="72" t="s">
        <v>68</v>
      </c>
      <c r="C42" s="73">
        <v>2002</v>
      </c>
      <c r="D42" s="102">
        <v>2242.48</v>
      </c>
      <c r="E42" s="102">
        <v>0</v>
      </c>
      <c r="F42" s="102">
        <v>2242.48</v>
      </c>
      <c r="G42" s="73">
        <v>6.25</v>
      </c>
      <c r="H42" s="102">
        <f t="shared" si="9"/>
        <v>140.155</v>
      </c>
      <c r="I42" s="102">
        <f>140.16+140.16+140.16</f>
        <v>420.48</v>
      </c>
      <c r="J42" s="102">
        <f t="shared" si="10"/>
        <v>560.635</v>
      </c>
      <c r="K42" s="107">
        <f t="shared" si="11"/>
        <v>1681.845</v>
      </c>
    </row>
    <row r="43" spans="1:11" s="73" customFormat="1" ht="12.75">
      <c r="A43" s="78" t="s">
        <v>208</v>
      </c>
      <c r="B43" s="72" t="s">
        <v>68</v>
      </c>
      <c r="C43" s="73">
        <v>2002</v>
      </c>
      <c r="D43" s="102">
        <v>6494.4</v>
      </c>
      <c r="E43" s="102">
        <v>0</v>
      </c>
      <c r="F43" s="102">
        <v>6494.4</v>
      </c>
      <c r="G43" s="73">
        <v>6.25</v>
      </c>
      <c r="H43" s="102">
        <f t="shared" si="9"/>
        <v>405.9</v>
      </c>
      <c r="I43" s="102">
        <f>405.9+405.9</f>
        <v>811.8</v>
      </c>
      <c r="J43" s="102">
        <f t="shared" si="10"/>
        <v>1217.6999999999998</v>
      </c>
      <c r="K43" s="107">
        <f t="shared" si="11"/>
        <v>5276.7</v>
      </c>
    </row>
    <row r="44" spans="1:11" s="73" customFormat="1" ht="12.75">
      <c r="A44" s="78" t="s">
        <v>209</v>
      </c>
      <c r="B44" s="72" t="s">
        <v>68</v>
      </c>
      <c r="C44" s="73">
        <v>2002</v>
      </c>
      <c r="D44" s="102">
        <v>4496.4</v>
      </c>
      <c r="E44" s="102">
        <v>0</v>
      </c>
      <c r="F44" s="102">
        <v>4496.4</v>
      </c>
      <c r="G44" s="73">
        <v>6.25</v>
      </c>
      <c r="H44" s="102">
        <f t="shared" si="9"/>
        <v>281.025</v>
      </c>
      <c r="I44" s="102">
        <f>281.03+281.03+281.03</f>
        <v>843.0899999999999</v>
      </c>
      <c r="J44" s="102">
        <f t="shared" si="10"/>
        <v>1124.1149999999998</v>
      </c>
      <c r="K44" s="107">
        <f t="shared" si="11"/>
        <v>3372.285</v>
      </c>
    </row>
    <row r="45" spans="1:11" s="73" customFormat="1" ht="12.75">
      <c r="A45" s="78" t="s">
        <v>210</v>
      </c>
      <c r="B45" s="72" t="s">
        <v>68</v>
      </c>
      <c r="C45" s="73">
        <v>2002</v>
      </c>
      <c r="D45" s="102">
        <v>367.2</v>
      </c>
      <c r="E45" s="102">
        <v>0</v>
      </c>
      <c r="F45" s="102">
        <v>367.2</v>
      </c>
      <c r="G45" s="73">
        <v>6.25</v>
      </c>
      <c r="H45" s="102">
        <f t="shared" si="9"/>
        <v>22.95</v>
      </c>
      <c r="I45" s="102">
        <f>22.95+22.95+22.95</f>
        <v>68.85</v>
      </c>
      <c r="J45" s="102">
        <f t="shared" si="10"/>
        <v>91.8</v>
      </c>
      <c r="K45" s="107">
        <f t="shared" si="11"/>
        <v>275.4</v>
      </c>
    </row>
    <row r="46" spans="1:11" s="73" customFormat="1" ht="12.75">
      <c r="A46" s="78" t="s">
        <v>211</v>
      </c>
      <c r="B46" s="72" t="s">
        <v>68</v>
      </c>
      <c r="C46" s="73">
        <v>2002</v>
      </c>
      <c r="D46" s="102">
        <v>1590</v>
      </c>
      <c r="E46" s="102">
        <v>0</v>
      </c>
      <c r="F46" s="102">
        <v>1590</v>
      </c>
      <c r="G46" s="73">
        <v>6.25</v>
      </c>
      <c r="H46" s="102">
        <f t="shared" si="9"/>
        <v>99.375</v>
      </c>
      <c r="I46" s="102">
        <f>99.38+99.38+99.38</f>
        <v>298.14</v>
      </c>
      <c r="J46" s="102">
        <f t="shared" si="10"/>
        <v>397.515</v>
      </c>
      <c r="K46" s="107">
        <f t="shared" si="11"/>
        <v>1192.4850000000001</v>
      </c>
    </row>
    <row r="47" spans="1:11" s="73" customFormat="1" ht="12.75">
      <c r="A47" s="78" t="s">
        <v>212</v>
      </c>
      <c r="B47" s="72" t="s">
        <v>68</v>
      </c>
      <c r="C47" s="73">
        <v>2002</v>
      </c>
      <c r="D47" s="102">
        <v>370.8</v>
      </c>
      <c r="E47" s="102">
        <v>0</v>
      </c>
      <c r="F47" s="102">
        <v>370.8</v>
      </c>
      <c r="G47" s="73">
        <v>6.25</v>
      </c>
      <c r="H47" s="102">
        <f t="shared" si="9"/>
        <v>23.175</v>
      </c>
      <c r="I47" s="102">
        <f>23.18+23.18+23.18</f>
        <v>69.53999999999999</v>
      </c>
      <c r="J47" s="102">
        <f t="shared" si="10"/>
        <v>92.71499999999999</v>
      </c>
      <c r="K47" s="107">
        <f t="shared" si="11"/>
        <v>278.08500000000004</v>
      </c>
    </row>
    <row r="48" spans="1:11" s="73" customFormat="1" ht="12.75">
      <c r="A48" s="78" t="s">
        <v>213</v>
      </c>
      <c r="B48" s="72" t="s">
        <v>68</v>
      </c>
      <c r="C48" s="73">
        <v>2002</v>
      </c>
      <c r="D48" s="102">
        <v>3600</v>
      </c>
      <c r="E48" s="102">
        <v>0</v>
      </c>
      <c r="F48" s="102">
        <v>3600</v>
      </c>
      <c r="G48" s="73">
        <v>6.25</v>
      </c>
      <c r="H48" s="102">
        <f t="shared" si="9"/>
        <v>225</v>
      </c>
      <c r="I48" s="102">
        <f>225+225+225</f>
        <v>675</v>
      </c>
      <c r="J48" s="102">
        <f>+H48+I48</f>
        <v>900</v>
      </c>
      <c r="K48" s="107">
        <f t="shared" si="11"/>
        <v>2700</v>
      </c>
    </row>
    <row r="49" spans="1:11" s="73" customFormat="1" ht="12.75">
      <c r="A49" s="78" t="s">
        <v>214</v>
      </c>
      <c r="B49" s="72" t="s">
        <v>68</v>
      </c>
      <c r="C49" s="73">
        <v>2002</v>
      </c>
      <c r="D49" s="102">
        <v>6025.73</v>
      </c>
      <c r="E49" s="102">
        <v>0</v>
      </c>
      <c r="F49" s="102">
        <v>6025.73</v>
      </c>
      <c r="G49" s="73">
        <v>6.25</v>
      </c>
      <c r="H49" s="102">
        <f t="shared" si="9"/>
        <v>376.608125</v>
      </c>
      <c r="I49" s="102">
        <f>376.61+376.61+376.61</f>
        <v>1129.83</v>
      </c>
      <c r="J49" s="102">
        <f t="shared" si="10"/>
        <v>1506.438125</v>
      </c>
      <c r="K49" s="107">
        <f t="shared" si="11"/>
        <v>4519.291875</v>
      </c>
    </row>
    <row r="50" spans="1:11" s="73" customFormat="1" ht="12.75">
      <c r="A50" s="78" t="s">
        <v>215</v>
      </c>
      <c r="B50" s="72" t="s">
        <v>68</v>
      </c>
      <c r="C50" s="73">
        <v>2002</v>
      </c>
      <c r="D50" s="102">
        <v>5260.7</v>
      </c>
      <c r="E50" s="102">
        <v>0</v>
      </c>
      <c r="F50" s="102">
        <v>5260.7</v>
      </c>
      <c r="G50" s="73">
        <v>6.25</v>
      </c>
      <c r="H50" s="102">
        <f t="shared" si="9"/>
        <v>328.79375</v>
      </c>
      <c r="I50" s="102">
        <f>328.79+328.79+328.79</f>
        <v>986.3700000000001</v>
      </c>
      <c r="J50" s="102">
        <f t="shared" si="10"/>
        <v>1315.1637500000002</v>
      </c>
      <c r="K50" s="107">
        <f t="shared" si="11"/>
        <v>3945.5362499999997</v>
      </c>
    </row>
    <row r="51" spans="1:11" s="73" customFormat="1" ht="12.75">
      <c r="A51" s="78" t="s">
        <v>217</v>
      </c>
      <c r="B51" s="72" t="s">
        <v>68</v>
      </c>
      <c r="C51" s="73">
        <v>2002</v>
      </c>
      <c r="D51" s="102">
        <v>779.54</v>
      </c>
      <c r="E51" s="102">
        <v>0</v>
      </c>
      <c r="F51" s="102">
        <v>779.54</v>
      </c>
      <c r="G51" s="73">
        <v>6.25</v>
      </c>
      <c r="H51" s="102">
        <f t="shared" si="9"/>
        <v>48.72125</v>
      </c>
      <c r="I51" s="102">
        <f>48.72+48.72+48.72</f>
        <v>146.16</v>
      </c>
      <c r="J51" s="102">
        <f t="shared" si="10"/>
        <v>194.88125</v>
      </c>
      <c r="K51" s="107">
        <f t="shared" si="11"/>
        <v>584.6587499999999</v>
      </c>
    </row>
    <row r="52" spans="1:11" s="73" customFormat="1" ht="12.75">
      <c r="A52" s="78" t="s">
        <v>216</v>
      </c>
      <c r="B52" s="72" t="s">
        <v>68</v>
      </c>
      <c r="C52" s="73">
        <v>2002</v>
      </c>
      <c r="D52" s="102">
        <v>374.53</v>
      </c>
      <c r="E52" s="102">
        <v>0</v>
      </c>
      <c r="F52" s="102">
        <v>374.53</v>
      </c>
      <c r="G52" s="73">
        <v>6.25</v>
      </c>
      <c r="H52" s="102">
        <f t="shared" si="9"/>
        <v>23.408125</v>
      </c>
      <c r="I52" s="102">
        <f>23.41+23.41+23.41</f>
        <v>70.23</v>
      </c>
      <c r="J52" s="102">
        <f t="shared" si="10"/>
        <v>93.638125</v>
      </c>
      <c r="K52" s="107">
        <f t="shared" si="11"/>
        <v>280.89187499999997</v>
      </c>
    </row>
    <row r="53" spans="1:11" s="73" customFormat="1" ht="12.75">
      <c r="A53" s="78" t="s">
        <v>218</v>
      </c>
      <c r="B53" s="72" t="s">
        <v>68</v>
      </c>
      <c r="C53" s="73">
        <v>2002</v>
      </c>
      <c r="D53" s="102">
        <v>9129.12</v>
      </c>
      <c r="E53" s="102">
        <v>0</v>
      </c>
      <c r="F53" s="102">
        <v>9129.12</v>
      </c>
      <c r="G53" s="73">
        <v>6.25</v>
      </c>
      <c r="H53" s="102">
        <f t="shared" si="9"/>
        <v>570.57</v>
      </c>
      <c r="I53" s="102">
        <f>570.57+570.57+570.57</f>
        <v>1711.71</v>
      </c>
      <c r="J53" s="102">
        <f t="shared" si="10"/>
        <v>2282.28</v>
      </c>
      <c r="K53" s="107">
        <f t="shared" si="11"/>
        <v>6846.84</v>
      </c>
    </row>
    <row r="54" spans="1:11" s="73" customFormat="1" ht="12.75">
      <c r="A54" s="78" t="s">
        <v>227</v>
      </c>
      <c r="B54" s="72" t="s">
        <v>68</v>
      </c>
      <c r="C54" s="73">
        <v>2002</v>
      </c>
      <c r="D54" s="102">
        <v>312</v>
      </c>
      <c r="E54" s="102">
        <v>0</v>
      </c>
      <c r="F54" s="102">
        <v>312</v>
      </c>
      <c r="G54" s="73">
        <v>6.25</v>
      </c>
      <c r="H54" s="102">
        <f t="shared" si="9"/>
        <v>19.5</v>
      </c>
      <c r="I54" s="102">
        <f>19.5+19.5+19.5</f>
        <v>58.5</v>
      </c>
      <c r="J54" s="102">
        <f t="shared" si="10"/>
        <v>78</v>
      </c>
      <c r="K54" s="107">
        <f t="shared" si="11"/>
        <v>234</v>
      </c>
    </row>
    <row r="55" spans="1:11" s="63" customFormat="1" ht="12.75">
      <c r="A55" s="76" t="s">
        <v>232</v>
      </c>
      <c r="B55" s="113" t="s">
        <v>180</v>
      </c>
      <c r="C55" s="63">
        <v>2002</v>
      </c>
      <c r="D55" s="109">
        <v>158.3</v>
      </c>
      <c r="E55" s="109">
        <v>0</v>
      </c>
      <c r="F55" s="109">
        <v>158.3</v>
      </c>
      <c r="G55" s="71">
        <v>12.5</v>
      </c>
      <c r="H55" s="109">
        <f t="shared" si="9"/>
        <v>19.7875</v>
      </c>
      <c r="I55" s="109">
        <f>19.79+19.79+19.79</f>
        <v>59.37</v>
      </c>
      <c r="J55" s="109">
        <f t="shared" si="10"/>
        <v>79.1575</v>
      </c>
      <c r="K55" s="112">
        <f t="shared" si="11"/>
        <v>79.14250000000001</v>
      </c>
    </row>
    <row r="56" spans="1:11" s="63" customFormat="1" ht="12.75">
      <c r="A56" s="76" t="s">
        <v>233</v>
      </c>
      <c r="B56" s="113" t="s">
        <v>234</v>
      </c>
      <c r="C56" s="63">
        <v>2002</v>
      </c>
      <c r="D56" s="109">
        <v>438.24</v>
      </c>
      <c r="E56" s="109">
        <v>0</v>
      </c>
      <c r="F56" s="109">
        <v>438.24</v>
      </c>
      <c r="G56" s="71">
        <v>12.5</v>
      </c>
      <c r="H56" s="109">
        <f t="shared" si="9"/>
        <v>54.78</v>
      </c>
      <c r="I56" s="109">
        <f>54.78+54.78+54.78</f>
        <v>164.34</v>
      </c>
      <c r="J56" s="109">
        <f t="shared" si="10"/>
        <v>219.12</v>
      </c>
      <c r="K56" s="112">
        <f t="shared" si="11"/>
        <v>219.12</v>
      </c>
    </row>
    <row r="57" spans="1:11" s="63" customFormat="1" ht="12.75">
      <c r="A57" s="76" t="s">
        <v>235</v>
      </c>
      <c r="B57" s="113" t="s">
        <v>234</v>
      </c>
      <c r="C57" s="63">
        <v>2002</v>
      </c>
      <c r="D57" s="109">
        <v>457.74</v>
      </c>
      <c r="E57" s="109">
        <v>0</v>
      </c>
      <c r="F57" s="109">
        <v>457.74</v>
      </c>
      <c r="G57" s="71">
        <v>12.5</v>
      </c>
      <c r="H57" s="109">
        <f t="shared" si="9"/>
        <v>57.2175</v>
      </c>
      <c r="I57" s="109">
        <f>57.22+57.22+57.22</f>
        <v>171.66</v>
      </c>
      <c r="J57" s="109">
        <f t="shared" si="10"/>
        <v>228.8775</v>
      </c>
      <c r="K57" s="112">
        <f t="shared" si="11"/>
        <v>228.8625</v>
      </c>
    </row>
    <row r="58" spans="1:11" s="73" customFormat="1" ht="12.75">
      <c r="A58" s="78" t="s">
        <v>298</v>
      </c>
      <c r="B58" s="72" t="s">
        <v>257</v>
      </c>
      <c r="C58" s="73">
        <v>2003</v>
      </c>
      <c r="D58" s="102">
        <v>268.53</v>
      </c>
      <c r="E58" s="102">
        <v>0</v>
      </c>
      <c r="F58" s="102">
        <v>268.53</v>
      </c>
      <c r="G58" s="73">
        <v>6.25</v>
      </c>
      <c r="H58" s="102">
        <f t="shared" si="9"/>
        <v>16.783125</v>
      </c>
      <c r="I58" s="102">
        <f>16.78+16.78</f>
        <v>33.56</v>
      </c>
      <c r="J58" s="102">
        <f t="shared" si="10"/>
        <v>50.343125</v>
      </c>
      <c r="K58" s="107">
        <f t="shared" si="11"/>
        <v>218.186875</v>
      </c>
    </row>
    <row r="59" spans="1:11" s="73" customFormat="1" ht="12.75">
      <c r="A59" s="78" t="s">
        <v>299</v>
      </c>
      <c r="B59" s="72" t="s">
        <v>257</v>
      </c>
      <c r="C59" s="73">
        <v>2003</v>
      </c>
      <c r="D59" s="102">
        <v>101.78</v>
      </c>
      <c r="E59" s="102">
        <v>0</v>
      </c>
      <c r="F59" s="102">
        <v>101.78</v>
      </c>
      <c r="G59" s="73">
        <v>6.25</v>
      </c>
      <c r="H59" s="102">
        <f t="shared" si="9"/>
        <v>6.36125</v>
      </c>
      <c r="I59" s="102">
        <f>6.36+6.36</f>
        <v>12.72</v>
      </c>
      <c r="J59" s="102">
        <f t="shared" si="10"/>
        <v>19.08125</v>
      </c>
      <c r="K59" s="107">
        <f t="shared" si="11"/>
        <v>82.69875</v>
      </c>
    </row>
    <row r="60" spans="1:11" s="73" customFormat="1" ht="12.75">
      <c r="A60" s="78" t="s">
        <v>300</v>
      </c>
      <c r="B60" s="72" t="s">
        <v>257</v>
      </c>
      <c r="C60" s="73">
        <v>2003</v>
      </c>
      <c r="D60" s="102">
        <v>46.97</v>
      </c>
      <c r="E60" s="102">
        <v>0</v>
      </c>
      <c r="F60" s="102">
        <v>46.97</v>
      </c>
      <c r="G60" s="73">
        <v>6.25</v>
      </c>
      <c r="H60" s="102">
        <f t="shared" si="9"/>
        <v>2.935625</v>
      </c>
      <c r="I60" s="102">
        <f>2.94+0.12</f>
        <v>3.06</v>
      </c>
      <c r="J60" s="102">
        <f t="shared" si="10"/>
        <v>5.995625</v>
      </c>
      <c r="K60" s="107">
        <f t="shared" si="11"/>
        <v>40.974374999999995</v>
      </c>
    </row>
    <row r="61" spans="1:11" s="73" customFormat="1" ht="12.75">
      <c r="A61" s="78" t="s">
        <v>301</v>
      </c>
      <c r="B61" s="72" t="s">
        <v>68</v>
      </c>
      <c r="C61" s="73">
        <v>2003</v>
      </c>
      <c r="D61" s="102">
        <v>35.33</v>
      </c>
      <c r="E61" s="102">
        <v>0</v>
      </c>
      <c r="F61" s="102">
        <v>35.33</v>
      </c>
      <c r="G61" s="73">
        <v>6.25</v>
      </c>
      <c r="H61" s="102">
        <f t="shared" si="9"/>
        <v>2.208125</v>
      </c>
      <c r="I61" s="102">
        <f>2.21+2.21</f>
        <v>4.42</v>
      </c>
      <c r="J61" s="102">
        <f t="shared" si="10"/>
        <v>6.628125</v>
      </c>
      <c r="K61" s="107">
        <f t="shared" si="11"/>
        <v>28.701874999999998</v>
      </c>
    </row>
    <row r="62" spans="1:11" s="73" customFormat="1" ht="12.75">
      <c r="A62" s="78" t="s">
        <v>253</v>
      </c>
      <c r="B62" s="72" t="s">
        <v>68</v>
      </c>
      <c r="C62" s="73">
        <v>2003</v>
      </c>
      <c r="D62" s="102">
        <v>355.84</v>
      </c>
      <c r="E62" s="102">
        <v>0</v>
      </c>
      <c r="F62" s="102">
        <v>355.84</v>
      </c>
      <c r="G62" s="128">
        <v>6.25</v>
      </c>
      <c r="H62" s="102">
        <f t="shared" si="9"/>
        <v>22.24</v>
      </c>
      <c r="I62" s="102">
        <f>22.24+22.24</f>
        <v>44.48</v>
      </c>
      <c r="J62" s="102">
        <f t="shared" si="10"/>
        <v>66.72</v>
      </c>
      <c r="K62" s="107">
        <f t="shared" si="11"/>
        <v>289.12</v>
      </c>
    </row>
    <row r="63" spans="1:11" s="73" customFormat="1" ht="12.75">
      <c r="A63" s="78" t="s">
        <v>254</v>
      </c>
      <c r="B63" s="72" t="s">
        <v>68</v>
      </c>
      <c r="C63" s="73">
        <v>2003</v>
      </c>
      <c r="D63" s="102">
        <v>180</v>
      </c>
      <c r="E63" s="102">
        <v>0</v>
      </c>
      <c r="F63" s="102">
        <v>180</v>
      </c>
      <c r="G63" s="128">
        <v>6.25</v>
      </c>
      <c r="H63" s="102">
        <f t="shared" si="9"/>
        <v>11.25</v>
      </c>
      <c r="I63" s="102">
        <f>11.25+11.25</f>
        <v>22.5</v>
      </c>
      <c r="J63" s="102">
        <f t="shared" si="10"/>
        <v>33.75</v>
      </c>
      <c r="K63" s="107">
        <f t="shared" si="11"/>
        <v>146.25</v>
      </c>
    </row>
    <row r="64" spans="1:11" s="73" customFormat="1" ht="12.75">
      <c r="A64" s="78" t="s">
        <v>255</v>
      </c>
      <c r="B64" s="72" t="s">
        <v>68</v>
      </c>
      <c r="C64" s="73">
        <v>2003</v>
      </c>
      <c r="D64" s="102">
        <v>984.48</v>
      </c>
      <c r="E64" s="102">
        <v>0</v>
      </c>
      <c r="F64" s="102">
        <v>984.48</v>
      </c>
      <c r="G64" s="128">
        <v>6.25</v>
      </c>
      <c r="H64" s="102">
        <f t="shared" si="9"/>
        <v>61.53</v>
      </c>
      <c r="I64" s="102">
        <f>61.53+61.53</f>
        <v>123.06</v>
      </c>
      <c r="J64" s="102">
        <f t="shared" si="10"/>
        <v>184.59</v>
      </c>
      <c r="K64" s="107">
        <f t="shared" si="11"/>
        <v>799.89</v>
      </c>
    </row>
    <row r="65" spans="1:11" s="73" customFormat="1" ht="12.75">
      <c r="A65" s="78" t="s">
        <v>256</v>
      </c>
      <c r="B65" s="72" t="s">
        <v>257</v>
      </c>
      <c r="C65" s="73">
        <v>2003</v>
      </c>
      <c r="D65" s="102">
        <v>226.67</v>
      </c>
      <c r="E65" s="102">
        <v>0</v>
      </c>
      <c r="F65" s="102">
        <v>226.67</v>
      </c>
      <c r="G65" s="128">
        <v>6.25</v>
      </c>
      <c r="H65" s="102">
        <f t="shared" si="9"/>
        <v>14.166875</v>
      </c>
      <c r="I65" s="102">
        <f>14.17+14.17</f>
        <v>28.34</v>
      </c>
      <c r="J65" s="102">
        <f t="shared" si="10"/>
        <v>42.506875</v>
      </c>
      <c r="K65" s="107">
        <f t="shared" si="11"/>
        <v>184.16312499999998</v>
      </c>
    </row>
    <row r="66" spans="1:11" s="73" customFormat="1" ht="12.75">
      <c r="A66" s="78" t="s">
        <v>258</v>
      </c>
      <c r="B66" s="72" t="s">
        <v>68</v>
      </c>
      <c r="C66" s="73">
        <v>2003</v>
      </c>
      <c r="D66" s="102">
        <v>384.84</v>
      </c>
      <c r="E66" s="102">
        <v>0</v>
      </c>
      <c r="F66" s="102">
        <v>384.84</v>
      </c>
      <c r="G66" s="128">
        <v>6.25</v>
      </c>
      <c r="H66" s="102">
        <f t="shared" si="9"/>
        <v>24.0525</v>
      </c>
      <c r="I66" s="102">
        <f>24.05+24.05</f>
        <v>48.1</v>
      </c>
      <c r="J66" s="102">
        <f t="shared" si="10"/>
        <v>72.1525</v>
      </c>
      <c r="K66" s="107">
        <f t="shared" si="11"/>
        <v>312.6875</v>
      </c>
    </row>
    <row r="67" spans="1:11" s="73" customFormat="1" ht="12.75">
      <c r="A67" s="78" t="s">
        <v>261</v>
      </c>
      <c r="B67" s="72" t="s">
        <v>203</v>
      </c>
      <c r="C67" s="73">
        <v>2003</v>
      </c>
      <c r="D67" s="102">
        <v>1327.44</v>
      </c>
      <c r="E67" s="102">
        <v>0</v>
      </c>
      <c r="F67" s="102">
        <v>1327.44</v>
      </c>
      <c r="G67" s="128">
        <v>6.25</v>
      </c>
      <c r="H67" s="102">
        <f t="shared" si="9"/>
        <v>82.965</v>
      </c>
      <c r="I67" s="102">
        <f>82.97+82.97</f>
        <v>165.94</v>
      </c>
      <c r="J67" s="102">
        <f t="shared" si="10"/>
        <v>248.905</v>
      </c>
      <c r="K67" s="107">
        <f t="shared" si="11"/>
        <v>1078.535</v>
      </c>
    </row>
    <row r="68" spans="1:11" s="73" customFormat="1" ht="12.75">
      <c r="A68" s="78" t="s">
        <v>262</v>
      </c>
      <c r="B68" s="72" t="s">
        <v>68</v>
      </c>
      <c r="C68" s="73">
        <v>2003</v>
      </c>
      <c r="D68" s="102">
        <v>296.87</v>
      </c>
      <c r="E68" s="102">
        <v>0</v>
      </c>
      <c r="F68" s="102">
        <v>296.87</v>
      </c>
      <c r="G68" s="128">
        <v>6.25</v>
      </c>
      <c r="H68" s="102">
        <f t="shared" si="9"/>
        <v>18.554375</v>
      </c>
      <c r="I68" s="102">
        <f>18.55+18.55</f>
        <v>37.1</v>
      </c>
      <c r="J68" s="102">
        <f t="shared" si="10"/>
        <v>55.654375</v>
      </c>
      <c r="K68" s="107">
        <f t="shared" si="11"/>
        <v>241.215625</v>
      </c>
    </row>
    <row r="69" spans="1:11" s="73" customFormat="1" ht="12.75">
      <c r="A69" s="78" t="s">
        <v>263</v>
      </c>
      <c r="B69" s="72" t="s">
        <v>257</v>
      </c>
      <c r="C69" s="73">
        <v>2003</v>
      </c>
      <c r="D69" s="102">
        <v>240.83</v>
      </c>
      <c r="E69" s="102">
        <v>0</v>
      </c>
      <c r="F69" s="102">
        <v>240.83</v>
      </c>
      <c r="G69" s="128">
        <v>6.25</v>
      </c>
      <c r="H69" s="102">
        <f t="shared" si="9"/>
        <v>15.051875</v>
      </c>
      <c r="I69" s="102">
        <f>15.05+15.05</f>
        <v>30.1</v>
      </c>
      <c r="J69" s="102">
        <f t="shared" si="10"/>
        <v>45.151875000000004</v>
      </c>
      <c r="K69" s="107">
        <f t="shared" si="11"/>
        <v>195.67812500000002</v>
      </c>
    </row>
    <row r="70" spans="1:11" s="73" customFormat="1" ht="12.75">
      <c r="A70" s="78" t="s">
        <v>265</v>
      </c>
      <c r="B70" s="72" t="s">
        <v>266</v>
      </c>
      <c r="C70" s="73">
        <v>2003</v>
      </c>
      <c r="D70" s="102">
        <v>8262</v>
      </c>
      <c r="E70" s="102">
        <v>0</v>
      </c>
      <c r="F70" s="102">
        <v>8262</v>
      </c>
      <c r="G70" s="128">
        <v>6.25</v>
      </c>
      <c r="H70" s="102">
        <f t="shared" si="9"/>
        <v>516.375</v>
      </c>
      <c r="I70" s="102">
        <v>516.38</v>
      </c>
      <c r="J70" s="102">
        <f t="shared" si="10"/>
        <v>1032.755</v>
      </c>
      <c r="K70" s="107">
        <f t="shared" si="11"/>
        <v>7229.245</v>
      </c>
    </row>
    <row r="71" spans="1:11" s="73" customFormat="1" ht="12.75">
      <c r="A71" s="78" t="s">
        <v>267</v>
      </c>
      <c r="B71" s="72" t="s">
        <v>268</v>
      </c>
      <c r="C71" s="73">
        <v>2003</v>
      </c>
      <c r="D71" s="102">
        <v>299</v>
      </c>
      <c r="E71" s="102">
        <v>0</v>
      </c>
      <c r="F71" s="102">
        <v>299</v>
      </c>
      <c r="G71" s="128">
        <v>6.25</v>
      </c>
      <c r="H71" s="102">
        <f t="shared" si="9"/>
        <v>18.6875</v>
      </c>
      <c r="I71" s="102">
        <f>18.69+18.69</f>
        <v>37.38</v>
      </c>
      <c r="J71" s="102">
        <f t="shared" si="10"/>
        <v>56.0675</v>
      </c>
      <c r="K71" s="107">
        <f t="shared" si="11"/>
        <v>242.9325</v>
      </c>
    </row>
    <row r="72" spans="1:11" s="73" customFormat="1" ht="12.75">
      <c r="A72" s="78" t="s">
        <v>269</v>
      </c>
      <c r="B72" s="72" t="s">
        <v>270</v>
      </c>
      <c r="C72" s="73">
        <v>2003</v>
      </c>
      <c r="D72" s="102">
        <v>8304.73</v>
      </c>
      <c r="E72" s="102">
        <v>0</v>
      </c>
      <c r="F72" s="102">
        <v>8304.73</v>
      </c>
      <c r="G72" s="128">
        <v>6.25</v>
      </c>
      <c r="H72" s="102">
        <f t="shared" si="9"/>
        <v>519.045625</v>
      </c>
      <c r="I72" s="102">
        <v>519.05</v>
      </c>
      <c r="J72" s="102">
        <f t="shared" si="10"/>
        <v>1038.095625</v>
      </c>
      <c r="K72" s="107">
        <f t="shared" si="11"/>
        <v>7266.634375</v>
      </c>
    </row>
    <row r="73" spans="1:11" s="73" customFormat="1" ht="12.75">
      <c r="A73" s="78" t="s">
        <v>311</v>
      </c>
      <c r="B73" s="72" t="s">
        <v>310</v>
      </c>
      <c r="C73" s="73">
        <v>2004</v>
      </c>
      <c r="D73" s="102">
        <v>3274.14</v>
      </c>
      <c r="E73" s="102"/>
      <c r="F73" s="102">
        <v>3274.14</v>
      </c>
      <c r="G73" s="128">
        <v>6.25</v>
      </c>
      <c r="H73" s="102">
        <f t="shared" si="9"/>
        <v>204.63375</v>
      </c>
      <c r="I73" s="102">
        <v>204.63</v>
      </c>
      <c r="J73" s="102">
        <f t="shared" si="10"/>
        <v>409.26374999999996</v>
      </c>
      <c r="K73" s="107">
        <f t="shared" si="11"/>
        <v>2864.87625</v>
      </c>
    </row>
    <row r="74" spans="1:11" s="73" customFormat="1" ht="12.75">
      <c r="A74" s="78" t="s">
        <v>312</v>
      </c>
      <c r="B74" s="72" t="s">
        <v>310</v>
      </c>
      <c r="C74" s="73">
        <v>2004</v>
      </c>
      <c r="D74" s="102">
        <v>1038.34</v>
      </c>
      <c r="E74" s="102"/>
      <c r="F74" s="102">
        <v>1038.34</v>
      </c>
      <c r="G74" s="128">
        <v>6.25</v>
      </c>
      <c r="H74" s="102">
        <f t="shared" si="9"/>
        <v>64.89625</v>
      </c>
      <c r="I74" s="102">
        <v>64.9</v>
      </c>
      <c r="J74" s="102">
        <f t="shared" si="10"/>
        <v>129.79625</v>
      </c>
      <c r="K74" s="107">
        <f t="shared" si="11"/>
        <v>908.5437499999999</v>
      </c>
    </row>
    <row r="75" spans="1:11" s="73" customFormat="1" ht="12.75">
      <c r="A75" s="78" t="s">
        <v>313</v>
      </c>
      <c r="B75" s="72" t="s">
        <v>310</v>
      </c>
      <c r="C75" s="73">
        <v>2004</v>
      </c>
      <c r="D75" s="102">
        <v>2335.2</v>
      </c>
      <c r="E75" s="102"/>
      <c r="F75" s="102">
        <v>2335.2</v>
      </c>
      <c r="G75" s="128">
        <v>6.25</v>
      </c>
      <c r="H75" s="102">
        <f t="shared" si="9"/>
        <v>145.95</v>
      </c>
      <c r="I75" s="102">
        <v>145.95</v>
      </c>
      <c r="J75" s="102">
        <f t="shared" si="10"/>
        <v>291.9</v>
      </c>
      <c r="K75" s="107">
        <f t="shared" si="11"/>
        <v>2043.2999999999997</v>
      </c>
    </row>
    <row r="76" spans="1:11" s="73" customFormat="1" ht="12.75">
      <c r="A76" s="78" t="s">
        <v>314</v>
      </c>
      <c r="B76" s="72" t="s">
        <v>310</v>
      </c>
      <c r="C76" s="73">
        <v>2004</v>
      </c>
      <c r="D76" s="102">
        <v>526.94</v>
      </c>
      <c r="E76" s="102"/>
      <c r="F76" s="102">
        <v>526.94</v>
      </c>
      <c r="G76" s="128">
        <v>6.25</v>
      </c>
      <c r="H76" s="102">
        <f t="shared" si="9"/>
        <v>32.93375</v>
      </c>
      <c r="I76" s="102">
        <v>32.93</v>
      </c>
      <c r="J76" s="102">
        <f t="shared" si="10"/>
        <v>65.86375000000001</v>
      </c>
      <c r="K76" s="107">
        <f t="shared" si="11"/>
        <v>461.0762500000001</v>
      </c>
    </row>
    <row r="77" spans="1:11" s="73" customFormat="1" ht="12.75">
      <c r="A77" s="78" t="s">
        <v>315</v>
      </c>
      <c r="B77" s="72" t="s">
        <v>316</v>
      </c>
      <c r="C77" s="73">
        <v>2004</v>
      </c>
      <c r="D77" s="102">
        <v>754.92</v>
      </c>
      <c r="E77" s="102"/>
      <c r="F77" s="102">
        <v>754.92</v>
      </c>
      <c r="G77" s="128">
        <v>6.25</v>
      </c>
      <c r="H77" s="102">
        <f t="shared" si="9"/>
        <v>47.1825</v>
      </c>
      <c r="I77" s="102">
        <v>47.18</v>
      </c>
      <c r="J77" s="102">
        <f t="shared" si="10"/>
        <v>94.3625</v>
      </c>
      <c r="K77" s="107">
        <f t="shared" si="11"/>
        <v>660.5575</v>
      </c>
    </row>
    <row r="78" spans="1:11" s="73" customFormat="1" ht="12.75">
      <c r="A78" s="78" t="s">
        <v>317</v>
      </c>
      <c r="B78" s="72" t="s">
        <v>310</v>
      </c>
      <c r="C78" s="73">
        <v>2004</v>
      </c>
      <c r="D78" s="102">
        <v>207.6</v>
      </c>
      <c r="E78" s="102"/>
      <c r="F78" s="102">
        <v>207.6</v>
      </c>
      <c r="G78" s="128">
        <v>6.25</v>
      </c>
      <c r="H78" s="102">
        <f t="shared" si="9"/>
        <v>12.975</v>
      </c>
      <c r="I78" s="102">
        <v>12.98</v>
      </c>
      <c r="J78" s="102">
        <f t="shared" si="10"/>
        <v>25.955</v>
      </c>
      <c r="K78" s="107">
        <f t="shared" si="11"/>
        <v>181.64499999999998</v>
      </c>
    </row>
    <row r="79" spans="1:11" s="73" customFormat="1" ht="12.75">
      <c r="A79" s="78" t="s">
        <v>318</v>
      </c>
      <c r="B79" s="72" t="s">
        <v>316</v>
      </c>
      <c r="C79" s="73">
        <v>2004</v>
      </c>
      <c r="D79" s="102">
        <v>379.51</v>
      </c>
      <c r="E79" s="102"/>
      <c r="F79" s="102">
        <v>379.51</v>
      </c>
      <c r="G79" s="128">
        <v>6.25</v>
      </c>
      <c r="H79" s="102">
        <f t="shared" si="9"/>
        <v>23.719375</v>
      </c>
      <c r="I79" s="102">
        <v>23.72</v>
      </c>
      <c r="J79" s="102">
        <f t="shared" si="10"/>
        <v>47.439375</v>
      </c>
      <c r="K79" s="107">
        <f t="shared" si="11"/>
        <v>332.070625</v>
      </c>
    </row>
    <row r="80" spans="1:11" s="73" customFormat="1" ht="12.75">
      <c r="A80" s="78" t="s">
        <v>319</v>
      </c>
      <c r="B80" s="72" t="s">
        <v>257</v>
      </c>
      <c r="C80" s="73">
        <v>2004</v>
      </c>
      <c r="D80" s="102">
        <v>415</v>
      </c>
      <c r="E80" s="102"/>
      <c r="F80" s="102">
        <v>415</v>
      </c>
      <c r="G80" s="128">
        <v>6.25</v>
      </c>
      <c r="H80" s="102">
        <f t="shared" si="9"/>
        <v>25.9375</v>
      </c>
      <c r="I80" s="102">
        <v>25.94</v>
      </c>
      <c r="J80" s="102">
        <f t="shared" si="10"/>
        <v>51.8775</v>
      </c>
      <c r="K80" s="107">
        <f t="shared" si="11"/>
        <v>363.1225</v>
      </c>
    </row>
    <row r="81" spans="1:11" s="73" customFormat="1" ht="12.75">
      <c r="A81" s="78" t="s">
        <v>320</v>
      </c>
      <c r="B81" s="72" t="s">
        <v>268</v>
      </c>
      <c r="C81" s="73">
        <v>2004</v>
      </c>
      <c r="D81" s="102">
        <v>300</v>
      </c>
      <c r="E81" s="102"/>
      <c r="F81" s="102">
        <v>300</v>
      </c>
      <c r="G81" s="128">
        <v>6.25</v>
      </c>
      <c r="H81" s="102">
        <f t="shared" si="9"/>
        <v>18.75</v>
      </c>
      <c r="I81" s="102">
        <v>18.75</v>
      </c>
      <c r="J81" s="102">
        <f t="shared" si="10"/>
        <v>37.5</v>
      </c>
      <c r="K81" s="107">
        <f t="shared" si="11"/>
        <v>262.5</v>
      </c>
    </row>
    <row r="82" spans="1:11" s="73" customFormat="1" ht="12.75">
      <c r="A82" s="78" t="s">
        <v>321</v>
      </c>
      <c r="B82" s="72" t="s">
        <v>316</v>
      </c>
      <c r="C82" s="73">
        <v>2004</v>
      </c>
      <c r="D82" s="102">
        <v>2100</v>
      </c>
      <c r="E82" s="102"/>
      <c r="F82" s="102">
        <v>2100</v>
      </c>
      <c r="G82" s="128">
        <v>7.5</v>
      </c>
      <c r="H82" s="102">
        <f t="shared" si="9"/>
        <v>157.5</v>
      </c>
      <c r="I82" s="102">
        <v>157.5</v>
      </c>
      <c r="J82" s="102">
        <f t="shared" si="10"/>
        <v>315</v>
      </c>
      <c r="K82" s="107">
        <f t="shared" si="11"/>
        <v>1785</v>
      </c>
    </row>
    <row r="83" spans="1:11" s="73" customFormat="1" ht="12.75">
      <c r="A83" s="78" t="s">
        <v>322</v>
      </c>
      <c r="B83" s="72" t="s">
        <v>323</v>
      </c>
      <c r="C83" s="73">
        <v>2004</v>
      </c>
      <c r="D83" s="102">
        <v>460</v>
      </c>
      <c r="E83" s="102"/>
      <c r="F83" s="102">
        <v>460</v>
      </c>
      <c r="G83" s="128">
        <v>6.25</v>
      </c>
      <c r="H83" s="102">
        <f t="shared" si="9"/>
        <v>28.75</v>
      </c>
      <c r="I83" s="102">
        <v>28.75</v>
      </c>
      <c r="J83" s="102">
        <f t="shared" si="10"/>
        <v>57.5</v>
      </c>
      <c r="K83" s="107">
        <f t="shared" si="11"/>
        <v>402.5</v>
      </c>
    </row>
    <row r="84" spans="1:11" s="73" customFormat="1" ht="12.75">
      <c r="A84" s="78" t="s">
        <v>324</v>
      </c>
      <c r="B84" s="72" t="s">
        <v>203</v>
      </c>
      <c r="C84" s="73">
        <v>2004</v>
      </c>
      <c r="D84" s="102">
        <v>3150</v>
      </c>
      <c r="E84" s="102"/>
      <c r="F84" s="102">
        <v>3150</v>
      </c>
      <c r="G84" s="128">
        <v>6.25</v>
      </c>
      <c r="H84" s="102">
        <f t="shared" si="9"/>
        <v>196.875</v>
      </c>
      <c r="I84" s="102">
        <v>196.88</v>
      </c>
      <c r="J84" s="102">
        <f t="shared" si="10"/>
        <v>393.755</v>
      </c>
      <c r="K84" s="107">
        <f t="shared" si="11"/>
        <v>2756.245</v>
      </c>
    </row>
    <row r="85" spans="1:11" s="73" customFormat="1" ht="12.75">
      <c r="A85" s="78" t="s">
        <v>325</v>
      </c>
      <c r="B85" s="72" t="s">
        <v>203</v>
      </c>
      <c r="C85" s="73">
        <v>2004</v>
      </c>
      <c r="D85" s="102">
        <v>1327.81</v>
      </c>
      <c r="E85" s="102"/>
      <c r="F85" s="102">
        <v>1327.81</v>
      </c>
      <c r="G85" s="128">
        <v>6.25</v>
      </c>
      <c r="H85" s="102">
        <f t="shared" si="9"/>
        <v>82.988125</v>
      </c>
      <c r="I85" s="102">
        <v>82.99</v>
      </c>
      <c r="J85" s="102">
        <f t="shared" si="10"/>
        <v>165.97812499999998</v>
      </c>
      <c r="K85" s="107">
        <f t="shared" si="11"/>
        <v>1161.8318749999999</v>
      </c>
    </row>
    <row r="86" spans="1:11" s="73" customFormat="1" ht="12.75">
      <c r="A86" s="78" t="s">
        <v>326</v>
      </c>
      <c r="B86" s="72" t="s">
        <v>310</v>
      </c>
      <c r="C86" s="73">
        <v>2004</v>
      </c>
      <c r="D86" s="102">
        <v>563.76</v>
      </c>
      <c r="E86" s="102"/>
      <c r="F86" s="102">
        <v>563.76</v>
      </c>
      <c r="G86" s="128">
        <v>6.25</v>
      </c>
      <c r="H86" s="102">
        <f t="shared" si="9"/>
        <v>35.235</v>
      </c>
      <c r="I86" s="102">
        <v>35.24</v>
      </c>
      <c r="J86" s="102">
        <f t="shared" si="10"/>
        <v>70.475</v>
      </c>
      <c r="K86" s="107">
        <f t="shared" si="11"/>
        <v>493.28499999999997</v>
      </c>
    </row>
    <row r="87" spans="1:11" s="73" customFormat="1" ht="12.75">
      <c r="A87" s="78" t="s">
        <v>327</v>
      </c>
      <c r="B87" s="72" t="s">
        <v>308</v>
      </c>
      <c r="C87" s="73">
        <v>2004</v>
      </c>
      <c r="D87" s="102">
        <v>85.5</v>
      </c>
      <c r="E87" s="102"/>
      <c r="F87" s="102">
        <v>85.5</v>
      </c>
      <c r="G87" s="128">
        <v>6.25</v>
      </c>
      <c r="H87" s="102">
        <f t="shared" si="9"/>
        <v>5.34375</v>
      </c>
      <c r="I87" s="102">
        <v>5.34</v>
      </c>
      <c r="J87" s="102">
        <f t="shared" si="10"/>
        <v>10.68375</v>
      </c>
      <c r="K87" s="107">
        <f t="shared" si="11"/>
        <v>74.81625</v>
      </c>
    </row>
    <row r="88" spans="1:11" s="73" customFormat="1" ht="12.75">
      <c r="A88" s="78" t="s">
        <v>328</v>
      </c>
      <c r="B88" s="72" t="s">
        <v>316</v>
      </c>
      <c r="C88" s="73">
        <v>2004</v>
      </c>
      <c r="D88" s="102">
        <v>748.8</v>
      </c>
      <c r="E88" s="102"/>
      <c r="F88" s="102">
        <v>748.8</v>
      </c>
      <c r="G88" s="128">
        <v>6.25</v>
      </c>
      <c r="H88" s="102">
        <f t="shared" si="9"/>
        <v>46.8</v>
      </c>
      <c r="I88" s="102">
        <v>46.8</v>
      </c>
      <c r="J88" s="102">
        <f t="shared" si="10"/>
        <v>93.6</v>
      </c>
      <c r="K88" s="107">
        <f t="shared" si="11"/>
        <v>655.1999999999999</v>
      </c>
    </row>
    <row r="89" spans="1:11" s="73" customFormat="1" ht="12.75">
      <c r="A89" s="78" t="s">
        <v>329</v>
      </c>
      <c r="B89" s="72" t="s">
        <v>310</v>
      </c>
      <c r="C89" s="73">
        <v>2004</v>
      </c>
      <c r="D89" s="102">
        <v>627.9</v>
      </c>
      <c r="E89" s="102"/>
      <c r="F89" s="102">
        <v>627.9</v>
      </c>
      <c r="G89" s="128">
        <v>6.25</v>
      </c>
      <c r="H89" s="102">
        <f t="shared" si="9"/>
        <v>39.24375</v>
      </c>
      <c r="I89" s="102">
        <v>39.24</v>
      </c>
      <c r="J89" s="102">
        <f t="shared" si="10"/>
        <v>78.48375</v>
      </c>
      <c r="K89" s="107">
        <f t="shared" si="11"/>
        <v>549.41625</v>
      </c>
    </row>
    <row r="90" spans="1:11" s="73" customFormat="1" ht="12.75">
      <c r="A90" s="78" t="s">
        <v>330</v>
      </c>
      <c r="B90" s="72" t="s">
        <v>310</v>
      </c>
      <c r="C90" s="73">
        <v>2004</v>
      </c>
      <c r="D90" s="102">
        <v>1745.6</v>
      </c>
      <c r="E90" s="102"/>
      <c r="F90" s="102">
        <v>1745.6</v>
      </c>
      <c r="G90" s="128">
        <v>6.25</v>
      </c>
      <c r="H90" s="102">
        <f t="shared" si="9"/>
        <v>109.1</v>
      </c>
      <c r="I90" s="102">
        <v>109.1</v>
      </c>
      <c r="J90" s="102">
        <f t="shared" si="10"/>
        <v>218.2</v>
      </c>
      <c r="K90" s="107">
        <f t="shared" si="11"/>
        <v>1527.3999999999999</v>
      </c>
    </row>
    <row r="91" spans="1:11" s="73" customFormat="1" ht="12.75">
      <c r="A91" s="78" t="s">
        <v>331</v>
      </c>
      <c r="B91" s="72" t="s">
        <v>203</v>
      </c>
      <c r="C91" s="73">
        <v>2004</v>
      </c>
      <c r="D91" s="102">
        <v>2544</v>
      </c>
      <c r="E91" s="102"/>
      <c r="F91" s="102">
        <v>2544</v>
      </c>
      <c r="G91" s="128">
        <v>6.25</v>
      </c>
      <c r="H91" s="102">
        <f t="shared" si="9"/>
        <v>159</v>
      </c>
      <c r="I91" s="102">
        <v>159</v>
      </c>
      <c r="J91" s="102">
        <f t="shared" si="10"/>
        <v>318</v>
      </c>
      <c r="K91" s="107">
        <f t="shared" si="11"/>
        <v>2226</v>
      </c>
    </row>
    <row r="92" spans="1:11" s="73" customFormat="1" ht="12.75">
      <c r="A92" s="78" t="s">
        <v>332</v>
      </c>
      <c r="B92" s="72" t="s">
        <v>203</v>
      </c>
      <c r="C92" s="73">
        <v>2004</v>
      </c>
      <c r="D92" s="102">
        <v>3513.6</v>
      </c>
      <c r="E92" s="102"/>
      <c r="F92" s="102">
        <v>3513.6</v>
      </c>
      <c r="G92" s="128">
        <v>6.25</v>
      </c>
      <c r="H92" s="102">
        <f t="shared" si="9"/>
        <v>219.6</v>
      </c>
      <c r="I92" s="102">
        <v>219.6</v>
      </c>
      <c r="J92" s="102">
        <f t="shared" si="10"/>
        <v>439.2</v>
      </c>
      <c r="K92" s="107">
        <f t="shared" si="11"/>
        <v>3074.4</v>
      </c>
    </row>
    <row r="93" spans="1:11" s="73" customFormat="1" ht="12.75">
      <c r="A93" s="78" t="s">
        <v>333</v>
      </c>
      <c r="B93" s="72" t="s">
        <v>316</v>
      </c>
      <c r="C93" s="73">
        <v>2004</v>
      </c>
      <c r="D93" s="102">
        <v>1935.6</v>
      </c>
      <c r="E93" s="102"/>
      <c r="F93" s="102">
        <v>1935.6</v>
      </c>
      <c r="G93" s="128">
        <v>6.25</v>
      </c>
      <c r="H93" s="102">
        <f t="shared" si="9"/>
        <v>120.975</v>
      </c>
      <c r="I93" s="102">
        <v>120.98</v>
      </c>
      <c r="J93" s="102">
        <f t="shared" si="10"/>
        <v>241.95499999999998</v>
      </c>
      <c r="K93" s="107">
        <f t="shared" si="11"/>
        <v>1693.645</v>
      </c>
    </row>
    <row r="94" spans="1:11" s="73" customFormat="1" ht="12.75">
      <c r="A94" s="78" t="s">
        <v>334</v>
      </c>
      <c r="B94" s="72" t="s">
        <v>310</v>
      </c>
      <c r="C94" s="73">
        <v>2004</v>
      </c>
      <c r="D94" s="102">
        <v>640.08</v>
      </c>
      <c r="E94" s="102"/>
      <c r="F94" s="102">
        <v>640.08</v>
      </c>
      <c r="G94" s="128">
        <v>6.25</v>
      </c>
      <c r="H94" s="102">
        <f t="shared" si="9"/>
        <v>40.005</v>
      </c>
      <c r="I94" s="102">
        <v>40.01</v>
      </c>
      <c r="J94" s="102">
        <f t="shared" si="10"/>
        <v>80.015</v>
      </c>
      <c r="K94" s="107">
        <f t="shared" si="11"/>
        <v>560.065</v>
      </c>
    </row>
    <row r="95" spans="1:11" s="73" customFormat="1" ht="12.75">
      <c r="A95" s="78" t="s">
        <v>335</v>
      </c>
      <c r="B95" s="72" t="s">
        <v>316</v>
      </c>
      <c r="C95" s="73">
        <v>2004</v>
      </c>
      <c r="D95" s="102">
        <v>5811.84</v>
      </c>
      <c r="E95" s="102"/>
      <c r="F95" s="102">
        <v>5811.84</v>
      </c>
      <c r="G95" s="128">
        <v>6.25</v>
      </c>
      <c r="H95" s="102">
        <f t="shared" si="9"/>
        <v>363.24</v>
      </c>
      <c r="I95" s="102">
        <v>363.24</v>
      </c>
      <c r="J95" s="102">
        <f t="shared" si="10"/>
        <v>726.48</v>
      </c>
      <c r="K95" s="107">
        <f t="shared" si="11"/>
        <v>5085.360000000001</v>
      </c>
    </row>
    <row r="96" spans="1:11" s="73" customFormat="1" ht="12.75">
      <c r="A96" s="78" t="s">
        <v>336</v>
      </c>
      <c r="B96" s="72" t="s">
        <v>316</v>
      </c>
      <c r="C96" s="73">
        <v>2004</v>
      </c>
      <c r="D96" s="102">
        <v>90</v>
      </c>
      <c r="E96" s="102"/>
      <c r="F96" s="102">
        <v>90</v>
      </c>
      <c r="G96" s="128">
        <v>6.25</v>
      </c>
      <c r="H96" s="102">
        <f t="shared" si="9"/>
        <v>5.625</v>
      </c>
      <c r="I96" s="102">
        <v>5.63</v>
      </c>
      <c r="J96" s="102">
        <f t="shared" si="10"/>
        <v>11.254999999999999</v>
      </c>
      <c r="K96" s="107">
        <f t="shared" si="11"/>
        <v>78.745</v>
      </c>
    </row>
    <row r="97" spans="1:11" s="73" customFormat="1" ht="12.75">
      <c r="A97" s="78" t="s">
        <v>337</v>
      </c>
      <c r="B97" s="72" t="s">
        <v>203</v>
      </c>
      <c r="C97" s="73">
        <v>2004</v>
      </c>
      <c r="D97" s="102">
        <v>51.12</v>
      </c>
      <c r="E97" s="102"/>
      <c r="F97" s="102">
        <v>51.12</v>
      </c>
      <c r="G97" s="128">
        <v>6.25</v>
      </c>
      <c r="H97" s="102">
        <f t="shared" si="9"/>
        <v>3.195</v>
      </c>
      <c r="I97" s="102">
        <v>3.2</v>
      </c>
      <c r="J97" s="102">
        <f t="shared" si="10"/>
        <v>6.395</v>
      </c>
      <c r="K97" s="107">
        <f t="shared" si="11"/>
        <v>44.724999999999994</v>
      </c>
    </row>
    <row r="98" spans="1:11" s="73" customFormat="1" ht="12.75">
      <c r="A98" s="78" t="s">
        <v>338</v>
      </c>
      <c r="B98" s="72" t="s">
        <v>316</v>
      </c>
      <c r="C98" s="73">
        <v>2004</v>
      </c>
      <c r="D98" s="102">
        <v>296.4</v>
      </c>
      <c r="E98" s="102"/>
      <c r="F98" s="102">
        <v>296.4</v>
      </c>
      <c r="G98" s="128">
        <v>6.25</v>
      </c>
      <c r="H98" s="102">
        <f t="shared" si="9"/>
        <v>18.525</v>
      </c>
      <c r="I98" s="102">
        <v>18.53</v>
      </c>
      <c r="J98" s="102">
        <f t="shared" si="10"/>
        <v>37.055</v>
      </c>
      <c r="K98" s="107">
        <f t="shared" si="11"/>
        <v>259.34499999999997</v>
      </c>
    </row>
    <row r="99" spans="1:11" s="73" customFormat="1" ht="12.75">
      <c r="A99" s="78" t="s">
        <v>339</v>
      </c>
      <c r="B99" s="72" t="s">
        <v>310</v>
      </c>
      <c r="C99" s="73">
        <v>2004</v>
      </c>
      <c r="D99" s="102">
        <v>49.2</v>
      </c>
      <c r="E99" s="102"/>
      <c r="F99" s="102">
        <v>49.2</v>
      </c>
      <c r="G99" s="128">
        <v>6.25</v>
      </c>
      <c r="H99" s="102">
        <f t="shared" si="9"/>
        <v>3.075</v>
      </c>
      <c r="I99" s="102">
        <v>3.08</v>
      </c>
      <c r="J99" s="102">
        <f t="shared" si="10"/>
        <v>6.155</v>
      </c>
      <c r="K99" s="107">
        <f t="shared" si="11"/>
        <v>43.045</v>
      </c>
    </row>
    <row r="100" spans="1:11" s="73" customFormat="1" ht="12.75">
      <c r="A100" s="78" t="s">
        <v>340</v>
      </c>
      <c r="B100" s="72" t="s">
        <v>310</v>
      </c>
      <c r="C100" s="73">
        <v>2004</v>
      </c>
      <c r="D100" s="102">
        <v>1320</v>
      </c>
      <c r="E100" s="102"/>
      <c r="F100" s="102">
        <v>1320</v>
      </c>
      <c r="G100" s="128">
        <v>7.5</v>
      </c>
      <c r="H100" s="102">
        <f t="shared" si="9"/>
        <v>99</v>
      </c>
      <c r="I100" s="102">
        <v>99</v>
      </c>
      <c r="J100" s="102">
        <f t="shared" si="10"/>
        <v>198</v>
      </c>
      <c r="K100" s="107">
        <f t="shared" si="11"/>
        <v>1122</v>
      </c>
    </row>
    <row r="101" spans="1:11" s="73" customFormat="1" ht="12.75">
      <c r="A101" s="78" t="s">
        <v>341</v>
      </c>
      <c r="B101" s="72" t="s">
        <v>316</v>
      </c>
      <c r="C101" s="73">
        <v>2004</v>
      </c>
      <c r="D101" s="102">
        <v>1341.18</v>
      </c>
      <c r="E101" s="102"/>
      <c r="F101" s="102">
        <v>1341.18</v>
      </c>
      <c r="G101" s="128">
        <v>6.25</v>
      </c>
      <c r="H101" s="102">
        <f t="shared" si="9"/>
        <v>83.82375</v>
      </c>
      <c r="I101" s="102">
        <v>83.82</v>
      </c>
      <c r="J101" s="102">
        <f t="shared" si="10"/>
        <v>167.64375</v>
      </c>
      <c r="K101" s="107">
        <f t="shared" si="11"/>
        <v>1173.53625</v>
      </c>
    </row>
    <row r="102" spans="1:11" s="73" customFormat="1" ht="12.75">
      <c r="A102" s="78" t="s">
        <v>356</v>
      </c>
      <c r="B102" s="72" t="s">
        <v>310</v>
      </c>
      <c r="C102" s="73">
        <v>2004</v>
      </c>
      <c r="D102" s="102">
        <f>3773.8-0.01</f>
        <v>3773.79</v>
      </c>
      <c r="E102" s="102"/>
      <c r="F102" s="102">
        <f>3773.8-0.01</f>
        <v>3773.79</v>
      </c>
      <c r="G102" s="128">
        <v>6.25</v>
      </c>
      <c r="H102" s="102">
        <f t="shared" si="9"/>
        <v>235.861875</v>
      </c>
      <c r="I102" s="102">
        <v>235.86</v>
      </c>
      <c r="J102" s="102">
        <f>+H102+I102+3.99</f>
        <v>475.711875</v>
      </c>
      <c r="K102" s="107">
        <f t="shared" si="11"/>
        <v>3298.078125</v>
      </c>
    </row>
    <row r="103" spans="1:11" s="73" customFormat="1" ht="12.75">
      <c r="A103" s="78" t="s">
        <v>357</v>
      </c>
      <c r="B103" s="72" t="s">
        <v>310</v>
      </c>
      <c r="C103" s="73">
        <v>2004</v>
      </c>
      <c r="D103" s="102">
        <v>1737</v>
      </c>
      <c r="E103" s="102"/>
      <c r="F103" s="102">
        <v>1737</v>
      </c>
      <c r="G103" s="128">
        <v>6.25</v>
      </c>
      <c r="H103" s="102">
        <f t="shared" si="9"/>
        <v>108.5625</v>
      </c>
      <c r="I103" s="102">
        <v>108.56</v>
      </c>
      <c r="J103" s="102">
        <f t="shared" si="10"/>
        <v>217.1225</v>
      </c>
      <c r="K103" s="107">
        <f t="shared" si="11"/>
        <v>1519.8775</v>
      </c>
    </row>
    <row r="104" spans="1:11" s="73" customFormat="1" ht="12.75">
      <c r="A104" s="78" t="s">
        <v>384</v>
      </c>
      <c r="B104" s="72" t="s">
        <v>385</v>
      </c>
      <c r="C104" s="73">
        <v>2004</v>
      </c>
      <c r="D104" s="102">
        <v>1159</v>
      </c>
      <c r="E104" s="102"/>
      <c r="F104" s="102">
        <v>1159</v>
      </c>
      <c r="G104" s="128">
        <v>7.5</v>
      </c>
      <c r="H104" s="102">
        <f t="shared" si="9"/>
        <v>86.925</v>
      </c>
      <c r="I104" s="102">
        <v>86.93</v>
      </c>
      <c r="J104" s="102">
        <f t="shared" si="10"/>
        <v>173.85500000000002</v>
      </c>
      <c r="K104" s="107">
        <f t="shared" si="11"/>
        <v>985.145</v>
      </c>
    </row>
    <row r="105" spans="1:11" s="73" customFormat="1" ht="12.75">
      <c r="A105" s="78" t="s">
        <v>386</v>
      </c>
      <c r="B105" s="72" t="s">
        <v>203</v>
      </c>
      <c r="C105" s="73">
        <v>2004</v>
      </c>
      <c r="D105" s="102">
        <v>1348.86</v>
      </c>
      <c r="E105" s="102"/>
      <c r="F105" s="102">
        <v>1348.86</v>
      </c>
      <c r="G105" s="128">
        <v>6.25</v>
      </c>
      <c r="H105" s="102">
        <f t="shared" si="9"/>
        <v>84.30375</v>
      </c>
      <c r="I105" s="102">
        <v>84.3</v>
      </c>
      <c r="J105" s="102">
        <f t="shared" si="10"/>
        <v>168.60375</v>
      </c>
      <c r="K105" s="107">
        <f t="shared" si="11"/>
        <v>1180.25625</v>
      </c>
    </row>
    <row r="106" spans="1:11" s="73" customFormat="1" ht="12.75">
      <c r="A106" s="78" t="s">
        <v>392</v>
      </c>
      <c r="B106" s="72" t="s">
        <v>316</v>
      </c>
      <c r="C106" s="73">
        <v>2004</v>
      </c>
      <c r="D106" s="102">
        <v>935</v>
      </c>
      <c r="E106" s="102"/>
      <c r="F106" s="102">
        <v>935</v>
      </c>
      <c r="G106" s="128">
        <v>7.5</v>
      </c>
      <c r="H106" s="102">
        <f t="shared" si="9"/>
        <v>70.125</v>
      </c>
      <c r="I106" s="102">
        <v>70.13</v>
      </c>
      <c r="J106" s="102">
        <f t="shared" si="10"/>
        <v>140.255</v>
      </c>
      <c r="K106" s="107">
        <f t="shared" si="11"/>
        <v>794.745</v>
      </c>
    </row>
    <row r="107" spans="1:11" s="73" customFormat="1" ht="12.75">
      <c r="A107" s="78" t="s">
        <v>415</v>
      </c>
      <c r="B107" s="72" t="s">
        <v>234</v>
      </c>
      <c r="C107" s="73">
        <v>2005</v>
      </c>
      <c r="D107" s="102">
        <v>0</v>
      </c>
      <c r="E107" s="102">
        <v>2918.4</v>
      </c>
      <c r="F107" s="102">
        <v>2918.4</v>
      </c>
      <c r="G107" s="128">
        <v>6.25</v>
      </c>
      <c r="H107" s="102">
        <f t="shared" si="9"/>
        <v>182.4</v>
      </c>
      <c r="I107" s="102">
        <v>0</v>
      </c>
      <c r="J107" s="102">
        <f t="shared" si="10"/>
        <v>182.4</v>
      </c>
      <c r="K107" s="107">
        <f t="shared" si="11"/>
        <v>2736</v>
      </c>
    </row>
    <row r="108" spans="1:11" s="73" customFormat="1" ht="12.75">
      <c r="A108" s="78" t="s">
        <v>416</v>
      </c>
      <c r="B108" s="72" t="s">
        <v>316</v>
      </c>
      <c r="C108" s="73">
        <v>2005</v>
      </c>
      <c r="D108" s="102">
        <v>0</v>
      </c>
      <c r="E108" s="102">
        <v>90</v>
      </c>
      <c r="F108" s="102">
        <v>90</v>
      </c>
      <c r="G108" s="128">
        <v>7.5</v>
      </c>
      <c r="H108" s="102">
        <f t="shared" si="9"/>
        <v>6.75</v>
      </c>
      <c r="I108" s="102">
        <v>0</v>
      </c>
      <c r="J108" s="102">
        <f t="shared" si="10"/>
        <v>6.75</v>
      </c>
      <c r="K108" s="107">
        <f t="shared" si="11"/>
        <v>83.25</v>
      </c>
    </row>
    <row r="109" spans="1:11" s="73" customFormat="1" ht="12.75">
      <c r="A109" s="78" t="s">
        <v>417</v>
      </c>
      <c r="B109" s="72" t="s">
        <v>316</v>
      </c>
      <c r="C109" s="73">
        <v>2005</v>
      </c>
      <c r="D109" s="102">
        <v>0</v>
      </c>
      <c r="E109" s="102">
        <v>210</v>
      </c>
      <c r="F109" s="102">
        <v>210</v>
      </c>
      <c r="G109" s="128">
        <v>6.25</v>
      </c>
      <c r="H109" s="102">
        <f t="shared" si="9"/>
        <v>13.125</v>
      </c>
      <c r="I109" s="102">
        <v>0</v>
      </c>
      <c r="J109" s="102">
        <f t="shared" si="10"/>
        <v>13.125</v>
      </c>
      <c r="K109" s="107">
        <f t="shared" si="11"/>
        <v>196.875</v>
      </c>
    </row>
    <row r="110" spans="1:11" s="73" customFormat="1" ht="12.75">
      <c r="A110" s="78" t="s">
        <v>418</v>
      </c>
      <c r="B110" s="72" t="s">
        <v>427</v>
      </c>
      <c r="C110" s="73">
        <v>2005</v>
      </c>
      <c r="D110" s="102">
        <v>0</v>
      </c>
      <c r="E110" s="102">
        <v>6853.08</v>
      </c>
      <c r="F110" s="102">
        <v>6853.08</v>
      </c>
      <c r="G110" s="128">
        <v>6.25</v>
      </c>
      <c r="H110" s="102">
        <f t="shared" si="9"/>
        <v>428.3175</v>
      </c>
      <c r="I110" s="102">
        <v>0</v>
      </c>
      <c r="J110" s="102">
        <f t="shared" si="10"/>
        <v>428.3175</v>
      </c>
      <c r="K110" s="107">
        <f t="shared" si="11"/>
        <v>6424.7625</v>
      </c>
    </row>
    <row r="111" spans="1:11" s="73" customFormat="1" ht="12.75">
      <c r="A111" s="78" t="s">
        <v>419</v>
      </c>
      <c r="B111" s="72" t="s">
        <v>427</v>
      </c>
      <c r="C111" s="73">
        <v>2005</v>
      </c>
      <c r="D111" s="102">
        <v>0</v>
      </c>
      <c r="E111" s="102">
        <v>7362.38</v>
      </c>
      <c r="F111" s="102">
        <v>7362.38</v>
      </c>
      <c r="G111" s="128">
        <v>6.25</v>
      </c>
      <c r="H111" s="102">
        <f t="shared" si="9"/>
        <v>460.14875</v>
      </c>
      <c r="I111" s="102">
        <v>0</v>
      </c>
      <c r="J111" s="102">
        <f t="shared" si="10"/>
        <v>460.14875</v>
      </c>
      <c r="K111" s="107">
        <f t="shared" si="11"/>
        <v>6902.23125</v>
      </c>
    </row>
    <row r="112" spans="1:11" s="73" customFormat="1" ht="12.75">
      <c r="A112" s="78" t="s">
        <v>420</v>
      </c>
      <c r="B112" s="72" t="s">
        <v>385</v>
      </c>
      <c r="C112" s="73">
        <v>2005</v>
      </c>
      <c r="D112" s="102">
        <v>0</v>
      </c>
      <c r="E112" s="102">
        <v>246.67</v>
      </c>
      <c r="F112" s="102">
        <v>246.67</v>
      </c>
      <c r="G112" s="128">
        <v>6.25</v>
      </c>
      <c r="H112" s="102">
        <f t="shared" si="9"/>
        <v>15.416875</v>
      </c>
      <c r="I112" s="102">
        <v>0</v>
      </c>
      <c r="J112" s="102">
        <f t="shared" si="10"/>
        <v>15.416875</v>
      </c>
      <c r="K112" s="107">
        <f t="shared" si="11"/>
        <v>231.25312499999998</v>
      </c>
    </row>
    <row r="113" spans="1:11" s="73" customFormat="1" ht="12.75">
      <c r="A113" s="78" t="s">
        <v>422</v>
      </c>
      <c r="B113" s="72" t="s">
        <v>149</v>
      </c>
      <c r="C113" s="73">
        <v>2005</v>
      </c>
      <c r="D113" s="102">
        <v>0</v>
      </c>
      <c r="E113" s="102">
        <v>129.9</v>
      </c>
      <c r="F113" s="102">
        <v>129.9</v>
      </c>
      <c r="G113" s="128">
        <v>6.25</v>
      </c>
      <c r="H113" s="102">
        <f t="shared" si="9"/>
        <v>8.11875</v>
      </c>
      <c r="I113" s="102">
        <v>0</v>
      </c>
      <c r="J113" s="102">
        <f t="shared" si="10"/>
        <v>8.11875</v>
      </c>
      <c r="K113" s="107">
        <f t="shared" si="11"/>
        <v>121.78125</v>
      </c>
    </row>
    <row r="114" spans="1:11" s="73" customFormat="1" ht="12.75">
      <c r="A114" s="78" t="s">
        <v>423</v>
      </c>
      <c r="B114" s="72" t="s">
        <v>427</v>
      </c>
      <c r="C114" s="73">
        <v>2005</v>
      </c>
      <c r="D114" s="102">
        <v>0</v>
      </c>
      <c r="E114" s="102">
        <v>991.95</v>
      </c>
      <c r="F114" s="102">
        <v>991.95</v>
      </c>
      <c r="G114" s="128">
        <v>6.25</v>
      </c>
      <c r="H114" s="102">
        <f t="shared" si="9"/>
        <v>61.996875</v>
      </c>
      <c r="I114" s="102">
        <v>0</v>
      </c>
      <c r="J114" s="102">
        <f t="shared" si="10"/>
        <v>61.996875</v>
      </c>
      <c r="K114" s="107">
        <f t="shared" si="11"/>
        <v>929.953125</v>
      </c>
    </row>
    <row r="115" spans="1:11" s="73" customFormat="1" ht="12.75">
      <c r="A115" s="78" t="s">
        <v>424</v>
      </c>
      <c r="B115" s="72" t="s">
        <v>427</v>
      </c>
      <c r="C115" s="73">
        <v>2005</v>
      </c>
      <c r="D115" s="102">
        <v>0</v>
      </c>
      <c r="E115" s="102">
        <v>18289.8</v>
      </c>
      <c r="F115" s="102">
        <v>18289.8</v>
      </c>
      <c r="G115" s="128">
        <v>6.25</v>
      </c>
      <c r="H115" s="102">
        <f t="shared" si="9"/>
        <v>1143.1125</v>
      </c>
      <c r="I115" s="102">
        <v>0</v>
      </c>
      <c r="J115" s="102">
        <f>+H115+I115</f>
        <v>1143.1125</v>
      </c>
      <c r="K115" s="107">
        <f t="shared" si="11"/>
        <v>17146.6875</v>
      </c>
    </row>
    <row r="116" spans="1:11" s="73" customFormat="1" ht="12.75">
      <c r="A116" s="78" t="s">
        <v>425</v>
      </c>
      <c r="B116" s="72" t="s">
        <v>316</v>
      </c>
      <c r="C116" s="73">
        <v>2005</v>
      </c>
      <c r="D116" s="102">
        <v>0</v>
      </c>
      <c r="E116" s="102">
        <v>100.04</v>
      </c>
      <c r="F116" s="102">
        <v>100.04</v>
      </c>
      <c r="G116" s="128">
        <v>6.25</v>
      </c>
      <c r="H116" s="102">
        <f t="shared" si="9"/>
        <v>6.2525</v>
      </c>
      <c r="I116" s="102">
        <v>0</v>
      </c>
      <c r="J116" s="102">
        <f t="shared" si="10"/>
        <v>6.2525</v>
      </c>
      <c r="K116" s="107">
        <f t="shared" si="11"/>
        <v>93.78750000000001</v>
      </c>
    </row>
    <row r="117" spans="1:11" s="73" customFormat="1" ht="12.75">
      <c r="A117" s="78" t="s">
        <v>426</v>
      </c>
      <c r="B117" s="72" t="s">
        <v>427</v>
      </c>
      <c r="C117" s="73">
        <v>2005</v>
      </c>
      <c r="D117" s="102">
        <v>0</v>
      </c>
      <c r="E117" s="102">
        <v>76.8</v>
      </c>
      <c r="F117" s="102">
        <v>76.8</v>
      </c>
      <c r="G117" s="128">
        <v>6.25</v>
      </c>
      <c r="H117" s="102">
        <f t="shared" si="9"/>
        <v>4.8</v>
      </c>
      <c r="I117" s="102">
        <v>0</v>
      </c>
      <c r="J117" s="102">
        <f t="shared" si="10"/>
        <v>4.8</v>
      </c>
      <c r="K117" s="107">
        <f t="shared" si="11"/>
        <v>72</v>
      </c>
    </row>
    <row r="118" spans="1:11" s="73" customFormat="1" ht="12.75">
      <c r="A118" s="78" t="s">
        <v>428</v>
      </c>
      <c r="B118" s="72" t="s">
        <v>316</v>
      </c>
      <c r="C118" s="73">
        <v>2005</v>
      </c>
      <c r="D118" s="102">
        <v>0</v>
      </c>
      <c r="E118" s="102">
        <v>151.2</v>
      </c>
      <c r="F118" s="102">
        <v>151.2</v>
      </c>
      <c r="G118" s="128">
        <v>6.25</v>
      </c>
      <c r="H118" s="102">
        <f t="shared" si="9"/>
        <v>9.45</v>
      </c>
      <c r="I118" s="102">
        <v>0</v>
      </c>
      <c r="J118" s="102">
        <f t="shared" si="10"/>
        <v>9.45</v>
      </c>
      <c r="K118" s="107">
        <f t="shared" si="11"/>
        <v>141.75</v>
      </c>
    </row>
    <row r="119" spans="1:11" s="73" customFormat="1" ht="12.75">
      <c r="A119" s="78" t="s">
        <v>429</v>
      </c>
      <c r="B119" s="72" t="s">
        <v>427</v>
      </c>
      <c r="C119" s="73">
        <v>2005</v>
      </c>
      <c r="D119" s="102">
        <v>0</v>
      </c>
      <c r="E119" s="102">
        <v>3348</v>
      </c>
      <c r="F119" s="102">
        <v>3348</v>
      </c>
      <c r="G119" s="128">
        <v>6.25</v>
      </c>
      <c r="H119" s="102">
        <f t="shared" si="9"/>
        <v>209.25</v>
      </c>
      <c r="I119" s="102">
        <v>0</v>
      </c>
      <c r="J119" s="102">
        <f t="shared" si="10"/>
        <v>209.25</v>
      </c>
      <c r="K119" s="107">
        <f t="shared" si="11"/>
        <v>3138.75</v>
      </c>
    </row>
    <row r="120" spans="1:11" s="73" customFormat="1" ht="12.75">
      <c r="A120" s="78" t="s">
        <v>430</v>
      </c>
      <c r="B120" s="72" t="s">
        <v>427</v>
      </c>
      <c r="C120" s="73">
        <v>2005</v>
      </c>
      <c r="D120" s="102">
        <v>0</v>
      </c>
      <c r="E120" s="102">
        <v>2119.09</v>
      </c>
      <c r="F120" s="102">
        <v>2119.09</v>
      </c>
      <c r="G120" s="128">
        <v>6.25</v>
      </c>
      <c r="H120" s="102">
        <f t="shared" si="9"/>
        <v>132.443125</v>
      </c>
      <c r="I120" s="102">
        <v>0</v>
      </c>
      <c r="J120" s="102">
        <f t="shared" si="10"/>
        <v>132.443125</v>
      </c>
      <c r="K120" s="107">
        <f t="shared" si="11"/>
        <v>1986.6468750000001</v>
      </c>
    </row>
    <row r="121" spans="1:11" s="73" customFormat="1" ht="12.75">
      <c r="A121" s="78" t="s">
        <v>431</v>
      </c>
      <c r="B121" s="72" t="s">
        <v>310</v>
      </c>
      <c r="C121" s="73">
        <v>2005</v>
      </c>
      <c r="D121" s="102">
        <v>0</v>
      </c>
      <c r="E121" s="102">
        <v>948.6</v>
      </c>
      <c r="F121" s="102">
        <v>948.6</v>
      </c>
      <c r="G121" s="128">
        <v>6.25</v>
      </c>
      <c r="H121" s="102">
        <f t="shared" si="9"/>
        <v>59.2875</v>
      </c>
      <c r="I121" s="102">
        <v>0</v>
      </c>
      <c r="J121" s="102">
        <f t="shared" si="10"/>
        <v>59.2875</v>
      </c>
      <c r="K121" s="107">
        <f t="shared" si="11"/>
        <v>889.3125</v>
      </c>
    </row>
    <row r="122" spans="1:11" s="73" customFormat="1" ht="12.75">
      <c r="A122" s="78" t="s">
        <v>432</v>
      </c>
      <c r="B122" s="72" t="s">
        <v>310</v>
      </c>
      <c r="C122" s="73">
        <v>2005</v>
      </c>
      <c r="D122" s="102">
        <v>0</v>
      </c>
      <c r="E122" s="102">
        <v>930</v>
      </c>
      <c r="F122" s="102">
        <v>930</v>
      </c>
      <c r="G122" s="128">
        <v>6.25</v>
      </c>
      <c r="H122" s="102">
        <f t="shared" si="9"/>
        <v>58.125</v>
      </c>
      <c r="I122" s="102">
        <v>0</v>
      </c>
      <c r="J122" s="102">
        <f t="shared" si="10"/>
        <v>58.125</v>
      </c>
      <c r="K122" s="107">
        <f t="shared" si="11"/>
        <v>871.875</v>
      </c>
    </row>
    <row r="123" spans="1:11" s="73" customFormat="1" ht="12.75">
      <c r="A123" s="78" t="s">
        <v>433</v>
      </c>
      <c r="B123" s="72" t="s">
        <v>316</v>
      </c>
      <c r="C123" s="73">
        <v>2005</v>
      </c>
      <c r="D123" s="102">
        <v>0</v>
      </c>
      <c r="E123" s="102">
        <v>3503.5</v>
      </c>
      <c r="F123" s="102">
        <v>3503.5</v>
      </c>
      <c r="G123" s="128">
        <v>6.25</v>
      </c>
      <c r="H123" s="102">
        <f t="shared" si="9"/>
        <v>218.96875</v>
      </c>
      <c r="I123" s="102">
        <v>0</v>
      </c>
      <c r="J123" s="102">
        <f t="shared" si="10"/>
        <v>218.96875</v>
      </c>
      <c r="K123" s="107">
        <f t="shared" si="11"/>
        <v>3284.53125</v>
      </c>
    </row>
    <row r="124" spans="1:11" s="73" customFormat="1" ht="12.75">
      <c r="A124" s="78" t="s">
        <v>434</v>
      </c>
      <c r="B124" s="72" t="s">
        <v>234</v>
      </c>
      <c r="C124" s="73">
        <v>2005</v>
      </c>
      <c r="D124" s="102">
        <v>0</v>
      </c>
      <c r="E124" s="102">
        <v>432</v>
      </c>
      <c r="F124" s="102">
        <v>432</v>
      </c>
      <c r="G124" s="128">
        <v>6.25</v>
      </c>
      <c r="H124" s="102">
        <f t="shared" si="9"/>
        <v>27</v>
      </c>
      <c r="I124" s="102">
        <v>0</v>
      </c>
      <c r="J124" s="102">
        <f t="shared" si="10"/>
        <v>27</v>
      </c>
      <c r="K124" s="107">
        <f t="shared" si="11"/>
        <v>405</v>
      </c>
    </row>
    <row r="125" spans="1:11" s="73" customFormat="1" ht="12.75">
      <c r="A125" s="78" t="s">
        <v>435</v>
      </c>
      <c r="B125" s="72" t="s">
        <v>316</v>
      </c>
      <c r="C125" s="73">
        <v>2005</v>
      </c>
      <c r="D125" s="102">
        <v>0</v>
      </c>
      <c r="E125" s="102">
        <v>4227.12</v>
      </c>
      <c r="F125" s="102">
        <v>4227.12</v>
      </c>
      <c r="G125" s="128">
        <v>6.25</v>
      </c>
      <c r="H125" s="102">
        <f t="shared" si="9"/>
        <v>264.195</v>
      </c>
      <c r="I125" s="102">
        <v>0</v>
      </c>
      <c r="J125" s="102">
        <f t="shared" si="10"/>
        <v>264.195</v>
      </c>
      <c r="K125" s="107">
        <f t="shared" si="11"/>
        <v>3962.9249999999997</v>
      </c>
    </row>
    <row r="126" spans="1:11" s="73" customFormat="1" ht="12.75">
      <c r="A126" s="78" t="s">
        <v>436</v>
      </c>
      <c r="B126" s="72" t="s">
        <v>268</v>
      </c>
      <c r="C126" s="73">
        <v>2005</v>
      </c>
      <c r="D126" s="102">
        <v>0</v>
      </c>
      <c r="E126" s="102">
        <v>1430</v>
      </c>
      <c r="F126" s="102">
        <v>1430</v>
      </c>
      <c r="G126" s="128">
        <v>6.25</v>
      </c>
      <c r="H126" s="102">
        <f t="shared" si="9"/>
        <v>89.375</v>
      </c>
      <c r="I126" s="102">
        <v>0</v>
      </c>
      <c r="J126" s="102">
        <f t="shared" si="10"/>
        <v>89.375</v>
      </c>
      <c r="K126" s="107">
        <f t="shared" si="11"/>
        <v>1340.625</v>
      </c>
    </row>
    <row r="127" spans="1:11" s="73" customFormat="1" ht="12.75">
      <c r="A127" s="78" t="s">
        <v>437</v>
      </c>
      <c r="B127" s="72" t="s">
        <v>316</v>
      </c>
      <c r="C127" s="73">
        <v>2005</v>
      </c>
      <c r="D127" s="102">
        <v>0</v>
      </c>
      <c r="E127" s="102">
        <v>930</v>
      </c>
      <c r="F127" s="102">
        <v>930</v>
      </c>
      <c r="G127" s="128">
        <v>6.25</v>
      </c>
      <c r="H127" s="102">
        <f t="shared" si="9"/>
        <v>58.125</v>
      </c>
      <c r="I127" s="102">
        <v>0</v>
      </c>
      <c r="J127" s="102">
        <f t="shared" si="10"/>
        <v>58.125</v>
      </c>
      <c r="K127" s="107">
        <f t="shared" si="11"/>
        <v>871.875</v>
      </c>
    </row>
    <row r="128" spans="1:11" s="73" customFormat="1" ht="12.75">
      <c r="A128" s="78" t="s">
        <v>438</v>
      </c>
      <c r="B128" s="72" t="s">
        <v>316</v>
      </c>
      <c r="C128" s="73">
        <v>2005</v>
      </c>
      <c r="D128" s="102">
        <v>0</v>
      </c>
      <c r="E128" s="102">
        <v>699.6</v>
      </c>
      <c r="F128" s="102">
        <v>699.6</v>
      </c>
      <c r="G128" s="128">
        <v>6.25</v>
      </c>
      <c r="H128" s="102">
        <f t="shared" si="9"/>
        <v>43.725</v>
      </c>
      <c r="I128" s="102">
        <v>0</v>
      </c>
      <c r="J128" s="102">
        <f t="shared" si="10"/>
        <v>43.725</v>
      </c>
      <c r="K128" s="107">
        <f t="shared" si="11"/>
        <v>655.875</v>
      </c>
    </row>
    <row r="129" spans="1:11" s="73" customFormat="1" ht="12.75">
      <c r="A129" s="78" t="s">
        <v>439</v>
      </c>
      <c r="B129" s="72" t="s">
        <v>234</v>
      </c>
      <c r="C129" s="73">
        <v>2005</v>
      </c>
      <c r="D129" s="102">
        <v>0</v>
      </c>
      <c r="E129" s="102">
        <v>3420</v>
      </c>
      <c r="F129" s="102">
        <v>3420</v>
      </c>
      <c r="G129" s="128">
        <v>6.25</v>
      </c>
      <c r="H129" s="102">
        <f t="shared" si="9"/>
        <v>213.75</v>
      </c>
      <c r="I129" s="102">
        <v>0</v>
      </c>
      <c r="J129" s="102">
        <f t="shared" si="10"/>
        <v>213.75</v>
      </c>
      <c r="K129" s="107">
        <f t="shared" si="11"/>
        <v>3206.25</v>
      </c>
    </row>
    <row r="130" spans="1:11" s="73" customFormat="1" ht="12.75">
      <c r="A130" s="78" t="s">
        <v>440</v>
      </c>
      <c r="B130" s="72" t="s">
        <v>316</v>
      </c>
      <c r="C130" s="73">
        <v>2005</v>
      </c>
      <c r="D130" s="102">
        <v>0</v>
      </c>
      <c r="E130" s="102">
        <v>1328</v>
      </c>
      <c r="F130" s="102">
        <v>1328</v>
      </c>
      <c r="G130" s="128">
        <v>6.25</v>
      </c>
      <c r="H130" s="102">
        <f t="shared" si="9"/>
        <v>83</v>
      </c>
      <c r="I130" s="102">
        <v>0</v>
      </c>
      <c r="J130" s="102">
        <f t="shared" si="10"/>
        <v>83</v>
      </c>
      <c r="K130" s="107">
        <f t="shared" si="11"/>
        <v>1245</v>
      </c>
    </row>
    <row r="131" spans="1:11" s="73" customFormat="1" ht="12.75">
      <c r="A131" s="78" t="s">
        <v>441</v>
      </c>
      <c r="B131" s="72" t="s">
        <v>316</v>
      </c>
      <c r="C131" s="73">
        <v>2005</v>
      </c>
      <c r="D131" s="102">
        <v>0</v>
      </c>
      <c r="E131" s="102">
        <v>2988</v>
      </c>
      <c r="F131" s="102">
        <v>2988</v>
      </c>
      <c r="G131" s="128">
        <v>6.25</v>
      </c>
      <c r="H131" s="102">
        <f t="shared" si="9"/>
        <v>186.75</v>
      </c>
      <c r="I131" s="102">
        <v>0</v>
      </c>
      <c r="J131" s="102">
        <f t="shared" si="10"/>
        <v>186.75</v>
      </c>
      <c r="K131" s="107">
        <f t="shared" si="11"/>
        <v>2801.25</v>
      </c>
    </row>
    <row r="132" spans="1:11" s="73" customFormat="1" ht="12.75">
      <c r="A132" s="78" t="s">
        <v>442</v>
      </c>
      <c r="B132" s="72" t="s">
        <v>316</v>
      </c>
      <c r="C132" s="73">
        <v>2005</v>
      </c>
      <c r="D132" s="102">
        <v>0</v>
      </c>
      <c r="E132" s="102">
        <v>708</v>
      </c>
      <c r="F132" s="102">
        <v>708</v>
      </c>
      <c r="G132" s="128">
        <v>6.25</v>
      </c>
      <c r="H132" s="102">
        <f t="shared" si="9"/>
        <v>44.25</v>
      </c>
      <c r="I132" s="102">
        <v>0</v>
      </c>
      <c r="J132" s="102">
        <f t="shared" si="10"/>
        <v>44.25</v>
      </c>
      <c r="K132" s="107">
        <f t="shared" si="11"/>
        <v>663.75</v>
      </c>
    </row>
    <row r="133" spans="1:11" s="73" customFormat="1" ht="12.75">
      <c r="A133" s="78" t="s">
        <v>443</v>
      </c>
      <c r="B133" s="72" t="s">
        <v>316</v>
      </c>
      <c r="C133" s="73">
        <v>2005</v>
      </c>
      <c r="D133" s="102">
        <v>0</v>
      </c>
      <c r="E133" s="102">
        <v>750</v>
      </c>
      <c r="F133" s="102">
        <v>750</v>
      </c>
      <c r="G133" s="128">
        <v>6.25</v>
      </c>
      <c r="H133" s="102">
        <f t="shared" si="9"/>
        <v>46.875</v>
      </c>
      <c r="I133" s="102">
        <v>0</v>
      </c>
      <c r="J133" s="102">
        <f t="shared" si="10"/>
        <v>46.875</v>
      </c>
      <c r="K133" s="107">
        <f t="shared" si="11"/>
        <v>703.125</v>
      </c>
    </row>
    <row r="134" spans="1:11" s="73" customFormat="1" ht="12.75">
      <c r="A134" s="78" t="s">
        <v>444</v>
      </c>
      <c r="B134" s="72" t="s">
        <v>316</v>
      </c>
      <c r="C134" s="73">
        <v>2005</v>
      </c>
      <c r="D134" s="102">
        <v>0</v>
      </c>
      <c r="E134" s="102">
        <v>2185.2</v>
      </c>
      <c r="F134" s="102">
        <v>2185.2</v>
      </c>
      <c r="G134" s="128">
        <v>6.25</v>
      </c>
      <c r="H134" s="102">
        <f t="shared" si="9"/>
        <v>136.575</v>
      </c>
      <c r="I134" s="102">
        <v>0</v>
      </c>
      <c r="J134" s="102">
        <f t="shared" si="10"/>
        <v>136.575</v>
      </c>
      <c r="K134" s="107">
        <f t="shared" si="11"/>
        <v>2048.625</v>
      </c>
    </row>
    <row r="135" spans="1:11" s="73" customFormat="1" ht="12.75">
      <c r="A135" s="78" t="s">
        <v>445</v>
      </c>
      <c r="B135" s="72" t="s">
        <v>427</v>
      </c>
      <c r="C135" s="73">
        <v>2005</v>
      </c>
      <c r="D135" s="102">
        <v>0</v>
      </c>
      <c r="E135" s="102">
        <v>266.28</v>
      </c>
      <c r="F135" s="102">
        <v>266.28</v>
      </c>
      <c r="G135" s="128">
        <v>6.25</v>
      </c>
      <c r="H135" s="102">
        <f t="shared" si="9"/>
        <v>16.6425</v>
      </c>
      <c r="I135" s="102">
        <v>0</v>
      </c>
      <c r="J135" s="102">
        <f t="shared" si="10"/>
        <v>16.6425</v>
      </c>
      <c r="K135" s="107">
        <f t="shared" si="11"/>
        <v>249.6375</v>
      </c>
    </row>
    <row r="136" spans="1:11" s="73" customFormat="1" ht="12.75">
      <c r="A136" s="78" t="s">
        <v>446</v>
      </c>
      <c r="B136" s="72" t="s">
        <v>234</v>
      </c>
      <c r="C136" s="73">
        <v>2005</v>
      </c>
      <c r="D136" s="102">
        <v>0</v>
      </c>
      <c r="E136" s="102">
        <v>1824</v>
      </c>
      <c r="F136" s="102">
        <v>1824</v>
      </c>
      <c r="G136" s="128">
        <v>6.25</v>
      </c>
      <c r="H136" s="102">
        <f t="shared" si="9"/>
        <v>114</v>
      </c>
      <c r="I136" s="102">
        <v>0</v>
      </c>
      <c r="J136" s="102">
        <f t="shared" si="10"/>
        <v>114</v>
      </c>
      <c r="K136" s="107">
        <f t="shared" si="11"/>
        <v>1710</v>
      </c>
    </row>
    <row r="137" spans="1:11" s="73" customFormat="1" ht="12.75">
      <c r="A137" s="78" t="s">
        <v>447</v>
      </c>
      <c r="B137" s="72" t="s">
        <v>310</v>
      </c>
      <c r="C137" s="73">
        <v>2005</v>
      </c>
      <c r="D137" s="102">
        <v>0</v>
      </c>
      <c r="E137" s="102">
        <v>1078</v>
      </c>
      <c r="F137" s="102">
        <v>1078</v>
      </c>
      <c r="G137" s="128">
        <v>6.25</v>
      </c>
      <c r="H137" s="102">
        <f t="shared" si="9"/>
        <v>67.375</v>
      </c>
      <c r="I137" s="102">
        <v>0</v>
      </c>
      <c r="J137" s="102">
        <f t="shared" si="10"/>
        <v>67.375</v>
      </c>
      <c r="K137" s="107">
        <f t="shared" si="11"/>
        <v>1010.625</v>
      </c>
    </row>
    <row r="138" spans="1:11" s="73" customFormat="1" ht="12.75">
      <c r="A138" s="78" t="s">
        <v>448</v>
      </c>
      <c r="B138" s="72" t="s">
        <v>316</v>
      </c>
      <c r="C138" s="73">
        <v>2005</v>
      </c>
      <c r="D138" s="102">
        <v>0</v>
      </c>
      <c r="E138" s="102">
        <v>183.6</v>
      </c>
      <c r="F138" s="102">
        <v>183.6</v>
      </c>
      <c r="G138" s="128">
        <v>6.25</v>
      </c>
      <c r="H138" s="102">
        <f t="shared" si="9"/>
        <v>11.475</v>
      </c>
      <c r="I138" s="102">
        <v>0</v>
      </c>
      <c r="J138" s="102">
        <f t="shared" si="10"/>
        <v>11.475</v>
      </c>
      <c r="K138" s="107">
        <f t="shared" si="11"/>
        <v>172.125</v>
      </c>
    </row>
    <row r="139" spans="1:11" s="73" customFormat="1" ht="12.75">
      <c r="A139" s="78" t="s">
        <v>449</v>
      </c>
      <c r="B139" s="72" t="s">
        <v>91</v>
      </c>
      <c r="C139" s="73">
        <v>2005</v>
      </c>
      <c r="D139" s="102">
        <v>0</v>
      </c>
      <c r="E139" s="102">
        <v>3080.75</v>
      </c>
      <c r="F139" s="102">
        <v>3080.75</v>
      </c>
      <c r="G139" s="128">
        <v>6.25</v>
      </c>
      <c r="H139" s="102">
        <f t="shared" si="9"/>
        <v>192.546875</v>
      </c>
      <c r="I139" s="102">
        <v>0</v>
      </c>
      <c r="J139" s="102">
        <f t="shared" si="10"/>
        <v>192.546875</v>
      </c>
      <c r="K139" s="107">
        <f t="shared" si="11"/>
        <v>2888.203125</v>
      </c>
    </row>
    <row r="140" spans="1:11" s="73" customFormat="1" ht="12.75">
      <c r="A140" s="78" t="s">
        <v>450</v>
      </c>
      <c r="B140" s="72" t="s">
        <v>91</v>
      </c>
      <c r="C140" s="73">
        <v>2005</v>
      </c>
      <c r="D140" s="102">
        <v>0</v>
      </c>
      <c r="E140" s="102">
        <v>1653.37</v>
      </c>
      <c r="F140" s="102">
        <v>1653.37</v>
      </c>
      <c r="G140" s="128">
        <v>6.25</v>
      </c>
      <c r="H140" s="102">
        <f t="shared" si="9"/>
        <v>103.335625</v>
      </c>
      <c r="I140" s="102">
        <v>0</v>
      </c>
      <c r="J140" s="102">
        <f t="shared" si="10"/>
        <v>103.335625</v>
      </c>
      <c r="K140" s="107">
        <f t="shared" si="11"/>
        <v>1550.034375</v>
      </c>
    </row>
    <row r="141" spans="1:11" s="73" customFormat="1" ht="12.75">
      <c r="A141" s="78" t="s">
        <v>451</v>
      </c>
      <c r="B141" s="72" t="s">
        <v>231</v>
      </c>
      <c r="C141" s="73">
        <v>2005</v>
      </c>
      <c r="D141" s="102">
        <v>0</v>
      </c>
      <c r="E141" s="102">
        <v>266.28</v>
      </c>
      <c r="F141" s="102">
        <v>266.28</v>
      </c>
      <c r="G141" s="128">
        <v>6.25</v>
      </c>
      <c r="H141" s="102">
        <f t="shared" si="9"/>
        <v>16.6425</v>
      </c>
      <c r="I141" s="102">
        <v>0</v>
      </c>
      <c r="J141" s="102">
        <f t="shared" si="10"/>
        <v>16.6425</v>
      </c>
      <c r="K141" s="107">
        <f t="shared" si="11"/>
        <v>249.6375</v>
      </c>
    </row>
    <row r="142" spans="1:11" s="73" customFormat="1" ht="12.75">
      <c r="A142" s="78" t="s">
        <v>490</v>
      </c>
      <c r="B142" s="72" t="s">
        <v>310</v>
      </c>
      <c r="C142" s="73">
        <v>2005</v>
      </c>
      <c r="D142" s="102">
        <v>0</v>
      </c>
      <c r="E142" s="102">
        <v>432</v>
      </c>
      <c r="F142" s="102">
        <v>432</v>
      </c>
      <c r="G142" s="128">
        <v>6.25</v>
      </c>
      <c r="H142" s="102">
        <f t="shared" si="9"/>
        <v>27</v>
      </c>
      <c r="I142" s="102">
        <v>0</v>
      </c>
      <c r="J142" s="102">
        <f t="shared" si="10"/>
        <v>27</v>
      </c>
      <c r="K142" s="107">
        <f t="shared" si="11"/>
        <v>405</v>
      </c>
    </row>
    <row r="143" spans="1:11" s="73" customFormat="1" ht="12.75">
      <c r="A143" s="78"/>
      <c r="B143" s="72"/>
      <c r="D143" s="102"/>
      <c r="E143" s="102"/>
      <c r="F143" s="102"/>
      <c r="G143" s="128"/>
      <c r="H143" s="102"/>
      <c r="I143" s="102"/>
      <c r="J143" s="102"/>
      <c r="K143" s="107"/>
    </row>
    <row r="144" spans="1:11" s="73" customFormat="1" ht="12.75">
      <c r="A144" s="78"/>
      <c r="B144" s="72"/>
      <c r="D144" s="102"/>
      <c r="E144" s="102"/>
      <c r="F144" s="102"/>
      <c r="G144" s="128"/>
      <c r="H144" s="102"/>
      <c r="I144" s="102"/>
      <c r="J144" s="102"/>
      <c r="K144" s="107"/>
    </row>
    <row r="145" spans="1:11" s="73" customFormat="1" ht="12.75">
      <c r="A145" s="78"/>
      <c r="B145" s="72"/>
      <c r="D145" s="102"/>
      <c r="E145" s="102"/>
      <c r="F145" s="102"/>
      <c r="G145" s="128"/>
      <c r="H145" s="102"/>
      <c r="I145" s="102"/>
      <c r="J145" s="102"/>
      <c r="K145" s="107"/>
    </row>
    <row r="146" spans="1:11" s="33" customFormat="1" ht="12.75">
      <c r="A146" s="38"/>
      <c r="B146" s="39"/>
      <c r="C146" s="40"/>
      <c r="D146" s="94"/>
      <c r="E146" s="94"/>
      <c r="F146" s="94"/>
      <c r="G146" s="71"/>
      <c r="H146" s="94"/>
      <c r="I146" s="94"/>
      <c r="J146" s="94"/>
      <c r="K146" s="100"/>
    </row>
    <row r="147" spans="1:11" s="4" customFormat="1" ht="12.75">
      <c r="A147" s="43" t="s">
        <v>63</v>
      </c>
      <c r="B147" s="44"/>
      <c r="C147" s="44"/>
      <c r="D147" s="103">
        <f>SUM(D7:D146)</f>
        <v>192490.42671213212</v>
      </c>
      <c r="E147" s="103">
        <f>SUM(E7:E146)</f>
        <v>76151.61</v>
      </c>
      <c r="F147" s="103">
        <f>SUM(F7:F146)</f>
        <v>268642.03671213216</v>
      </c>
      <c r="G147" s="45"/>
      <c r="H147" s="103">
        <f>SUM(H7:H146)</f>
        <v>17015.495560284722</v>
      </c>
      <c r="I147" s="103">
        <f>SUM(I7:I146)</f>
        <v>43372.87908473507</v>
      </c>
      <c r="J147" s="103">
        <f>SUM(J7:J146)</f>
        <v>60224.11027001978</v>
      </c>
      <c r="K147" s="103">
        <f>SUM(K7:K146)</f>
        <v>208417.92644211228</v>
      </c>
    </row>
    <row r="148" spans="1:11" ht="12.75">
      <c r="A148" s="19"/>
      <c r="F148" s="111"/>
      <c r="J148" s="111"/>
      <c r="K148" s="3"/>
    </row>
    <row r="149" ht="12.75">
      <c r="A149" s="18" t="s">
        <v>130</v>
      </c>
    </row>
    <row r="150" ht="12.75">
      <c r="A150" s="18"/>
    </row>
    <row r="151" spans="1:11" ht="12.75">
      <c r="A151" s="19" t="s">
        <v>41</v>
      </c>
      <c r="B151" s="30" t="s">
        <v>68</v>
      </c>
      <c r="C151">
        <v>1996</v>
      </c>
      <c r="D151" s="91">
        <f>89250/1936.27</f>
        <v>46.09377824373667</v>
      </c>
      <c r="E151" s="31">
        <v>0</v>
      </c>
      <c r="F151" s="91">
        <f aca="true" t="shared" si="12" ref="F151:F161">+D151+E151</f>
        <v>46.09377824373667</v>
      </c>
      <c r="G151" s="63">
        <v>10</v>
      </c>
      <c r="H151" s="91">
        <f aca="true" t="shared" si="13" ref="H151:H161">F151*G151/100</f>
        <v>4.609377824373667</v>
      </c>
      <c r="I151" s="91">
        <f>27.66+4.61</f>
        <v>32.27</v>
      </c>
      <c r="J151" s="91">
        <f aca="true" t="shared" si="14" ref="J151:J162">+H151+I151</f>
        <v>36.87937782437367</v>
      </c>
      <c r="K151" s="87">
        <f aca="true" t="shared" si="15" ref="K151:K161">+F151-J151</f>
        <v>9.214400419363002</v>
      </c>
    </row>
    <row r="152" spans="1:11" ht="12.75">
      <c r="A152" s="19" t="s">
        <v>42</v>
      </c>
      <c r="B152" s="30" t="s">
        <v>68</v>
      </c>
      <c r="C152">
        <v>1996</v>
      </c>
      <c r="D152" s="91">
        <f>1627920/1936.27</f>
        <v>840.7505151657568</v>
      </c>
      <c r="E152" s="31">
        <v>0</v>
      </c>
      <c r="F152" s="91">
        <f t="shared" si="12"/>
        <v>840.7505151657568</v>
      </c>
      <c r="G152" s="63">
        <v>10</v>
      </c>
      <c r="H152" s="91">
        <f t="shared" si="13"/>
        <v>84.07505151657568</v>
      </c>
      <c r="I152" s="91">
        <f>504.45+84.08</f>
        <v>588.53</v>
      </c>
      <c r="J152" s="91">
        <f t="shared" si="14"/>
        <v>672.6050515165757</v>
      </c>
      <c r="K152" s="87">
        <f t="shared" si="15"/>
        <v>168.14546364918112</v>
      </c>
    </row>
    <row r="153" spans="1:11" ht="12.75">
      <c r="A153" s="19" t="s">
        <v>43</v>
      </c>
      <c r="B153" s="30" t="s">
        <v>68</v>
      </c>
      <c r="C153">
        <v>1996</v>
      </c>
      <c r="D153" s="91">
        <f>357000/1936.27</f>
        <v>184.3751129749467</v>
      </c>
      <c r="E153" s="31">
        <v>0</v>
      </c>
      <c r="F153" s="91">
        <f t="shared" si="12"/>
        <v>184.3751129749467</v>
      </c>
      <c r="G153" s="63">
        <v>10</v>
      </c>
      <c r="H153" s="91">
        <f t="shared" si="13"/>
        <v>18.43751129749467</v>
      </c>
      <c r="I153" s="91">
        <f>110.63+18.44</f>
        <v>129.07</v>
      </c>
      <c r="J153" s="91">
        <f t="shared" si="14"/>
        <v>147.50751129749466</v>
      </c>
      <c r="K153" s="87">
        <f t="shared" si="15"/>
        <v>36.86760167745203</v>
      </c>
    </row>
    <row r="154" spans="1:11" ht="12.75">
      <c r="A154" s="19" t="s">
        <v>44</v>
      </c>
      <c r="B154" s="30" t="s">
        <v>68</v>
      </c>
      <c r="C154">
        <v>1996</v>
      </c>
      <c r="D154" s="91">
        <f>1320900/1936.27</f>
        <v>682.1879180073028</v>
      </c>
      <c r="E154" s="31">
        <v>0</v>
      </c>
      <c r="F154" s="91">
        <f t="shared" si="12"/>
        <v>682.1879180073028</v>
      </c>
      <c r="G154" s="63">
        <v>10</v>
      </c>
      <c r="H154" s="91">
        <f t="shared" si="13"/>
        <v>68.21879180073027</v>
      </c>
      <c r="I154" s="91">
        <f>409.32+68.22</f>
        <v>477.53999999999996</v>
      </c>
      <c r="J154" s="91">
        <f t="shared" si="14"/>
        <v>545.7587918007303</v>
      </c>
      <c r="K154" s="87">
        <f t="shared" si="15"/>
        <v>136.4291262065725</v>
      </c>
    </row>
    <row r="155" spans="1:11" ht="12.75">
      <c r="A155" s="19" t="s">
        <v>45</v>
      </c>
      <c r="B155" s="30" t="s">
        <v>68</v>
      </c>
      <c r="C155">
        <v>1996</v>
      </c>
      <c r="D155" s="91">
        <f>1142400/1936.27</f>
        <v>590.0003615198293</v>
      </c>
      <c r="E155" s="31">
        <v>0</v>
      </c>
      <c r="F155" s="91">
        <f t="shared" si="12"/>
        <v>590.0003615198293</v>
      </c>
      <c r="G155" s="63">
        <v>10</v>
      </c>
      <c r="H155" s="91">
        <f t="shared" si="13"/>
        <v>59.00003615198293</v>
      </c>
      <c r="I155" s="91">
        <f>354+59</f>
        <v>413</v>
      </c>
      <c r="J155" s="91">
        <f t="shared" si="14"/>
        <v>472.00003615198295</v>
      </c>
      <c r="K155" s="87">
        <f t="shared" si="15"/>
        <v>118.00032536784636</v>
      </c>
    </row>
    <row r="156" spans="1:11" ht="12.75">
      <c r="A156" s="19" t="s">
        <v>46</v>
      </c>
      <c r="B156" s="30" t="s">
        <v>68</v>
      </c>
      <c r="C156">
        <v>1997</v>
      </c>
      <c r="D156" s="92">
        <f>7788550/1936.27</f>
        <v>4022.45038140342</v>
      </c>
      <c r="E156" s="31">
        <v>0</v>
      </c>
      <c r="F156" s="91">
        <f t="shared" si="12"/>
        <v>4022.45038140342</v>
      </c>
      <c r="G156" s="63">
        <v>10</v>
      </c>
      <c r="H156" s="91">
        <f t="shared" si="13"/>
        <v>402.245038140342</v>
      </c>
      <c r="I156" s="91">
        <f>2246.04+402.25+402.25</f>
        <v>3050.54</v>
      </c>
      <c r="J156" s="91">
        <f t="shared" si="14"/>
        <v>3452.785038140342</v>
      </c>
      <c r="K156" s="87">
        <f t="shared" si="15"/>
        <v>569.6653432630783</v>
      </c>
    </row>
    <row r="157" spans="1:11" ht="12.75">
      <c r="A157" s="19" t="s">
        <v>47</v>
      </c>
      <c r="B157" s="30" t="s">
        <v>68</v>
      </c>
      <c r="C157">
        <v>1997</v>
      </c>
      <c r="D157" s="91">
        <f>464100/1936.27</f>
        <v>239.6876468674307</v>
      </c>
      <c r="E157" s="31">
        <v>0</v>
      </c>
      <c r="F157" s="91">
        <f t="shared" si="12"/>
        <v>239.6876468674307</v>
      </c>
      <c r="G157" s="63">
        <v>10</v>
      </c>
      <c r="H157" s="91">
        <f t="shared" si="13"/>
        <v>23.96876468674307</v>
      </c>
      <c r="I157" s="91">
        <f>143.82+23.97</f>
        <v>167.79</v>
      </c>
      <c r="J157" s="91">
        <f t="shared" si="14"/>
        <v>191.75876468674306</v>
      </c>
      <c r="K157" s="87">
        <f t="shared" si="15"/>
        <v>47.92888218068762</v>
      </c>
    </row>
    <row r="158" spans="1:11" ht="12.75">
      <c r="A158" s="19" t="s">
        <v>48</v>
      </c>
      <c r="B158" s="30" t="s">
        <v>68</v>
      </c>
      <c r="C158">
        <v>1997</v>
      </c>
      <c r="D158" s="91">
        <f>3703280/1936.27</f>
        <v>1912.5845052601135</v>
      </c>
      <c r="E158" s="31">
        <v>0</v>
      </c>
      <c r="F158" s="91">
        <f t="shared" si="12"/>
        <v>1912.5845052601135</v>
      </c>
      <c r="G158" s="63">
        <v>10</v>
      </c>
      <c r="H158" s="91">
        <f t="shared" si="13"/>
        <v>191.25845052601136</v>
      </c>
      <c r="I158" s="91">
        <f>1147.55+191.26</f>
        <v>1338.81</v>
      </c>
      <c r="J158" s="91">
        <f t="shared" si="14"/>
        <v>1530.0684505260112</v>
      </c>
      <c r="K158" s="87">
        <f t="shared" si="15"/>
        <v>382.5160547341022</v>
      </c>
    </row>
    <row r="159" spans="1:11" ht="12.75">
      <c r="A159" s="19" t="s">
        <v>49</v>
      </c>
      <c r="B159" s="30" t="s">
        <v>68</v>
      </c>
      <c r="C159">
        <v>1997</v>
      </c>
      <c r="D159" s="91">
        <f>17850/1936.27</f>
        <v>9.218755648747333</v>
      </c>
      <c r="E159" s="31">
        <v>0</v>
      </c>
      <c r="F159" s="91">
        <f t="shared" si="12"/>
        <v>9.218755648747333</v>
      </c>
      <c r="G159" s="63">
        <v>10</v>
      </c>
      <c r="H159" s="91">
        <f t="shared" si="13"/>
        <v>0.9218755648747333</v>
      </c>
      <c r="I159" s="91">
        <f>5.53+0.92</f>
        <v>6.45</v>
      </c>
      <c r="J159" s="91">
        <f t="shared" si="14"/>
        <v>7.371875564874734</v>
      </c>
      <c r="K159" s="87">
        <f t="shared" si="15"/>
        <v>1.8468800838725992</v>
      </c>
    </row>
    <row r="160" spans="1:11" ht="12.75">
      <c r="A160" s="19" t="s">
        <v>50</v>
      </c>
      <c r="B160" s="30" t="s">
        <v>68</v>
      </c>
      <c r="C160">
        <v>1996</v>
      </c>
      <c r="D160" s="91">
        <f>1303645/1936.27</f>
        <v>673.2764542135136</v>
      </c>
      <c r="E160" s="31">
        <v>0</v>
      </c>
      <c r="F160" s="91">
        <f t="shared" si="12"/>
        <v>673.2764542135136</v>
      </c>
      <c r="G160" s="63">
        <v>10</v>
      </c>
      <c r="H160" s="91">
        <f t="shared" si="13"/>
        <v>67.32764542135136</v>
      </c>
      <c r="I160" s="91">
        <f>302.97+67.33</f>
        <v>370.3</v>
      </c>
      <c r="J160" s="91">
        <f t="shared" si="14"/>
        <v>437.62764542135136</v>
      </c>
      <c r="K160" s="87">
        <f t="shared" si="15"/>
        <v>235.64880879216224</v>
      </c>
    </row>
    <row r="161" spans="1:11" ht="12.75">
      <c r="A161" s="19" t="s">
        <v>51</v>
      </c>
      <c r="B161" s="30" t="s">
        <v>68</v>
      </c>
      <c r="C161">
        <v>1996</v>
      </c>
      <c r="D161" s="91">
        <f>915467/1936.27</f>
        <v>472.7992480387549</v>
      </c>
      <c r="E161" s="31">
        <v>0</v>
      </c>
      <c r="F161" s="91">
        <f t="shared" si="12"/>
        <v>472.7992480387549</v>
      </c>
      <c r="G161" s="63">
        <v>10</v>
      </c>
      <c r="H161" s="91">
        <f t="shared" si="13"/>
        <v>47.279924803875495</v>
      </c>
      <c r="I161" s="91">
        <f>212.76+47.28</f>
        <v>260.03999999999996</v>
      </c>
      <c r="J161" s="91">
        <f t="shared" si="14"/>
        <v>307.31992480387544</v>
      </c>
      <c r="K161" s="87">
        <f t="shared" si="15"/>
        <v>165.47932323487947</v>
      </c>
    </row>
    <row r="162" spans="1:11" ht="12.75">
      <c r="A162" s="19" t="s">
        <v>74</v>
      </c>
      <c r="B162" s="30" t="s">
        <v>68</v>
      </c>
      <c r="C162">
        <v>1998</v>
      </c>
      <c r="D162" s="104">
        <f>8280000/1936.27</f>
        <v>4276.263124460948</v>
      </c>
      <c r="E162" s="104">
        <v>0</v>
      </c>
      <c r="F162" s="104">
        <f>+D162+E162</f>
        <v>4276.263124460948</v>
      </c>
      <c r="G162">
        <v>10</v>
      </c>
      <c r="H162" s="104">
        <f>(F162*G162/100)+155.79</f>
        <v>583.4163124460948</v>
      </c>
      <c r="I162" s="104">
        <f>1710.51+427.63+427.63+427.63+427.63</f>
        <v>3421.03</v>
      </c>
      <c r="J162" s="91">
        <f t="shared" si="14"/>
        <v>4004.446312446095</v>
      </c>
      <c r="K162" s="108">
        <f>+F162-J162</f>
        <v>271.81681201485344</v>
      </c>
    </row>
    <row r="163" spans="1:11" s="63" customFormat="1" ht="12.75">
      <c r="A163" s="76" t="s">
        <v>100</v>
      </c>
      <c r="B163" s="113" t="s">
        <v>68</v>
      </c>
      <c r="C163" s="63">
        <v>1999</v>
      </c>
      <c r="D163" s="109">
        <f>1792000/1936.27</f>
        <v>925.4907631683598</v>
      </c>
      <c r="E163" s="109">
        <v>0</v>
      </c>
      <c r="F163" s="109">
        <f aca="true" t="shared" si="16" ref="F163:F168">+D163+E163</f>
        <v>925.4907631683598</v>
      </c>
      <c r="G163" s="63">
        <v>10</v>
      </c>
      <c r="H163" s="109">
        <f aca="true" t="shared" si="17" ref="H163:H225">F163*G163/100</f>
        <v>92.54907631683598</v>
      </c>
      <c r="I163" s="109">
        <f>277.65+92.55+92.55</f>
        <v>462.75</v>
      </c>
      <c r="J163" s="109">
        <f aca="true" t="shared" si="18" ref="J163:J190">+H163+I163</f>
        <v>555.299076316836</v>
      </c>
      <c r="K163" s="112">
        <f aca="true" t="shared" si="19" ref="K163:K225">+F163-J163</f>
        <v>370.19168685152374</v>
      </c>
    </row>
    <row r="164" spans="1:11" s="63" customFormat="1" ht="12.75">
      <c r="A164" s="78" t="s">
        <v>101</v>
      </c>
      <c r="B164" s="113" t="s">
        <v>68</v>
      </c>
      <c r="C164" s="63">
        <v>1999</v>
      </c>
      <c r="D164" s="109">
        <f>4350000/1936.27</f>
        <v>2246.5875110392662</v>
      </c>
      <c r="E164" s="109">
        <v>0</v>
      </c>
      <c r="F164" s="109">
        <f t="shared" si="16"/>
        <v>2246.5875110392662</v>
      </c>
      <c r="G164" s="63">
        <v>10</v>
      </c>
      <c r="H164" s="109">
        <f t="shared" si="17"/>
        <v>224.65875110392662</v>
      </c>
      <c r="I164" s="109">
        <f>673.98+224.66+224.66+224.66+224.66</f>
        <v>1572.6200000000001</v>
      </c>
      <c r="J164" s="109">
        <f t="shared" si="18"/>
        <v>1797.2787511039267</v>
      </c>
      <c r="K164" s="112">
        <f t="shared" si="19"/>
        <v>449.3087599353396</v>
      </c>
    </row>
    <row r="165" spans="1:11" s="63" customFormat="1" ht="12.75">
      <c r="A165" s="78" t="s">
        <v>102</v>
      </c>
      <c r="B165" s="113" t="s">
        <v>68</v>
      </c>
      <c r="C165" s="63">
        <v>1999</v>
      </c>
      <c r="D165" s="109">
        <f>1400000/1936.27</f>
        <v>723.0396587252811</v>
      </c>
      <c r="E165" s="109">
        <v>0</v>
      </c>
      <c r="F165" s="109">
        <f t="shared" si="16"/>
        <v>723.0396587252811</v>
      </c>
      <c r="G165" s="63">
        <v>10</v>
      </c>
      <c r="H165" s="109">
        <f t="shared" si="17"/>
        <v>72.30396587252811</v>
      </c>
      <c r="I165" s="109">
        <f>216.91+72.3+72.3</f>
        <v>361.51</v>
      </c>
      <c r="J165" s="109">
        <f t="shared" si="18"/>
        <v>433.8139658725281</v>
      </c>
      <c r="K165" s="112">
        <f t="shared" si="19"/>
        <v>289.225692852753</v>
      </c>
    </row>
    <row r="166" spans="1:11" s="63" customFormat="1" ht="12.75">
      <c r="A166" s="78" t="s">
        <v>103</v>
      </c>
      <c r="B166" s="113" t="s">
        <v>68</v>
      </c>
      <c r="C166" s="63">
        <v>1999</v>
      </c>
      <c r="D166" s="109">
        <f>35000/1936.27</f>
        <v>18.075991468132028</v>
      </c>
      <c r="E166" s="109">
        <v>0</v>
      </c>
      <c r="F166" s="109">
        <f t="shared" si="16"/>
        <v>18.075991468132028</v>
      </c>
      <c r="G166" s="63">
        <v>0</v>
      </c>
      <c r="H166" s="109">
        <f t="shared" si="17"/>
        <v>0</v>
      </c>
      <c r="I166" s="109">
        <f>35000/1936.27</f>
        <v>18.075991468132028</v>
      </c>
      <c r="J166" s="109">
        <f t="shared" si="18"/>
        <v>18.075991468132028</v>
      </c>
      <c r="K166" s="112">
        <f t="shared" si="19"/>
        <v>0</v>
      </c>
    </row>
    <row r="167" spans="1:11" s="63" customFormat="1" ht="12.75">
      <c r="A167" s="78" t="s">
        <v>104</v>
      </c>
      <c r="B167" s="113" t="s">
        <v>68</v>
      </c>
      <c r="C167" s="63">
        <v>1999</v>
      </c>
      <c r="D167" s="109">
        <f>15000/1936.27</f>
        <v>7.746853486342298</v>
      </c>
      <c r="E167" s="109">
        <v>0</v>
      </c>
      <c r="F167" s="109">
        <f t="shared" si="16"/>
        <v>7.746853486342298</v>
      </c>
      <c r="G167" s="63">
        <v>0</v>
      </c>
      <c r="H167" s="109">
        <f t="shared" si="17"/>
        <v>0</v>
      </c>
      <c r="I167" s="109">
        <f>15000/1936.27</f>
        <v>7.746853486342298</v>
      </c>
      <c r="J167" s="109">
        <f t="shared" si="18"/>
        <v>7.746853486342298</v>
      </c>
      <c r="K167" s="112">
        <f t="shared" si="19"/>
        <v>0</v>
      </c>
    </row>
    <row r="168" spans="1:11" s="63" customFormat="1" ht="12.75">
      <c r="A168" s="78" t="s">
        <v>152</v>
      </c>
      <c r="B168" s="113" t="s">
        <v>68</v>
      </c>
      <c r="C168" s="63">
        <v>2000</v>
      </c>
      <c r="D168" s="109">
        <f>1416811/1936.27</f>
        <v>731.7218156558745</v>
      </c>
      <c r="E168" s="109">
        <v>0</v>
      </c>
      <c r="F168" s="109">
        <f t="shared" si="16"/>
        <v>731.7218156558745</v>
      </c>
      <c r="G168" s="63">
        <v>10</v>
      </c>
      <c r="H168" s="109">
        <f t="shared" si="17"/>
        <v>73.17218156558745</v>
      </c>
      <c r="I168" s="109">
        <f>146.34+73.17+73.17</f>
        <v>292.68</v>
      </c>
      <c r="J168" s="109">
        <f t="shared" si="18"/>
        <v>365.85218156558744</v>
      </c>
      <c r="K168" s="112">
        <f t="shared" si="19"/>
        <v>365.86963409028704</v>
      </c>
    </row>
    <row r="169" spans="1:11" s="63" customFormat="1" ht="12.75">
      <c r="A169" s="78" t="s">
        <v>153</v>
      </c>
      <c r="B169" s="113" t="s">
        <v>68</v>
      </c>
      <c r="C169" s="63">
        <v>2000</v>
      </c>
      <c r="D169" s="109">
        <f>1103210/1936.27</f>
        <v>569.7604156445124</v>
      </c>
      <c r="E169" s="109">
        <v>0</v>
      </c>
      <c r="F169" s="109">
        <f>+D169+E169</f>
        <v>569.7604156445124</v>
      </c>
      <c r="G169" s="63">
        <v>10</v>
      </c>
      <c r="H169" s="109">
        <f aca="true" t="shared" si="20" ref="H169:H175">F169*G169/100</f>
        <v>56.976041564451236</v>
      </c>
      <c r="I169" s="109">
        <f>203.48+101.74+101.74</f>
        <v>406.96</v>
      </c>
      <c r="J169" s="109">
        <f aca="true" t="shared" si="21" ref="J169:J175">+H169+I169</f>
        <v>463.9360415644512</v>
      </c>
      <c r="K169" s="112">
        <f aca="true" t="shared" si="22" ref="K169:K175">+F169-J169</f>
        <v>105.82437408006115</v>
      </c>
    </row>
    <row r="170" spans="1:11" s="63" customFormat="1" ht="12.75">
      <c r="A170" s="76" t="s">
        <v>146</v>
      </c>
      <c r="B170" s="113" t="s">
        <v>68</v>
      </c>
      <c r="C170" s="63">
        <v>2000</v>
      </c>
      <c r="D170" s="109">
        <f>249000/1936.27</f>
        <v>128.59776787328212</v>
      </c>
      <c r="E170" s="109">
        <v>0</v>
      </c>
      <c r="F170" s="109">
        <f>+D170+E170</f>
        <v>128.59776787328212</v>
      </c>
      <c r="G170" s="71">
        <v>10</v>
      </c>
      <c r="H170" s="109">
        <f t="shared" si="20"/>
        <v>12.859776787328212</v>
      </c>
      <c r="I170" s="109">
        <f>19.29+12.86+12.86</f>
        <v>45.01</v>
      </c>
      <c r="J170" s="109">
        <f t="shared" si="21"/>
        <v>57.869776787328206</v>
      </c>
      <c r="K170" s="112">
        <f t="shared" si="22"/>
        <v>70.72799108595392</v>
      </c>
    </row>
    <row r="171" spans="1:11" s="63" customFormat="1" ht="12.75">
      <c r="A171" s="76" t="s">
        <v>151</v>
      </c>
      <c r="B171" s="113" t="s">
        <v>149</v>
      </c>
      <c r="C171" s="63">
        <v>2000</v>
      </c>
      <c r="D171" s="109">
        <f>179000/1936.27</f>
        <v>92.44578493701808</v>
      </c>
      <c r="E171" s="109">
        <v>0</v>
      </c>
      <c r="F171" s="109">
        <f>+D171+E171</f>
        <v>92.44578493701808</v>
      </c>
      <c r="G171" s="71">
        <v>10</v>
      </c>
      <c r="H171" s="109">
        <f t="shared" si="20"/>
        <v>9.244578493701807</v>
      </c>
      <c r="I171" s="109">
        <f>13.86+9.24+9.24</f>
        <v>32.34</v>
      </c>
      <c r="J171" s="109">
        <f t="shared" si="21"/>
        <v>41.58457849370181</v>
      </c>
      <c r="K171" s="112">
        <f t="shared" si="22"/>
        <v>50.86120644331626</v>
      </c>
    </row>
    <row r="172" spans="1:11" s="63" customFormat="1" ht="12.75">
      <c r="A172" s="76" t="s">
        <v>167</v>
      </c>
      <c r="B172" s="113" t="s">
        <v>68</v>
      </c>
      <c r="C172" s="63">
        <v>2001</v>
      </c>
      <c r="D172" s="109">
        <v>350.16</v>
      </c>
      <c r="E172" s="109">
        <v>0</v>
      </c>
      <c r="F172" s="109">
        <f>+D172+E172</f>
        <v>350.16</v>
      </c>
      <c r="G172" s="71">
        <v>10</v>
      </c>
      <c r="H172" s="109">
        <f t="shared" si="20"/>
        <v>35.016000000000005</v>
      </c>
      <c r="I172" s="109">
        <f>17.51+35.02+35.02</f>
        <v>87.55000000000001</v>
      </c>
      <c r="J172" s="109">
        <f t="shared" si="21"/>
        <v>122.56600000000002</v>
      </c>
      <c r="K172" s="112">
        <f t="shared" si="22"/>
        <v>227.594</v>
      </c>
    </row>
    <row r="173" spans="1:11" s="63" customFormat="1" ht="12.75">
      <c r="A173" s="78" t="s">
        <v>166</v>
      </c>
      <c r="B173" s="113" t="s">
        <v>231</v>
      </c>
      <c r="C173" s="63">
        <v>2001</v>
      </c>
      <c r="D173" s="109">
        <v>0</v>
      </c>
      <c r="E173" s="109">
        <v>0</v>
      </c>
      <c r="F173" s="109">
        <v>0</v>
      </c>
      <c r="G173" s="63">
        <v>10</v>
      </c>
      <c r="H173" s="109">
        <f t="shared" si="20"/>
        <v>0</v>
      </c>
      <c r="I173" s="109">
        <v>0</v>
      </c>
      <c r="J173" s="109">
        <f t="shared" si="21"/>
        <v>0</v>
      </c>
      <c r="K173" s="112">
        <f t="shared" si="22"/>
        <v>0</v>
      </c>
    </row>
    <row r="174" spans="1:11" s="63" customFormat="1" ht="12.75">
      <c r="A174" s="78" t="s">
        <v>164</v>
      </c>
      <c r="B174" s="113" t="s">
        <v>231</v>
      </c>
      <c r="C174" s="63">
        <v>2001</v>
      </c>
      <c r="D174" s="109">
        <v>1054.94</v>
      </c>
      <c r="E174" s="109">
        <v>0</v>
      </c>
      <c r="F174" s="109">
        <f>+D174+E174</f>
        <v>1054.94</v>
      </c>
      <c r="G174" s="63">
        <v>10</v>
      </c>
      <c r="H174" s="109">
        <f t="shared" si="20"/>
        <v>105.49400000000001</v>
      </c>
      <c r="I174" s="109">
        <f>105.49+105.49+105.49</f>
        <v>316.46999999999997</v>
      </c>
      <c r="J174" s="109">
        <f t="shared" si="21"/>
        <v>421.964</v>
      </c>
      <c r="K174" s="112">
        <f t="shared" si="22"/>
        <v>632.9760000000001</v>
      </c>
    </row>
    <row r="175" spans="1:11" s="63" customFormat="1" ht="12.75">
      <c r="A175" s="78" t="s">
        <v>165</v>
      </c>
      <c r="B175" s="113" t="s">
        <v>231</v>
      </c>
      <c r="C175" s="63">
        <v>2001</v>
      </c>
      <c r="D175" s="109">
        <v>183.25</v>
      </c>
      <c r="E175" s="109">
        <v>0</v>
      </c>
      <c r="F175" s="109">
        <f>+D175+E175</f>
        <v>183.25</v>
      </c>
      <c r="G175" s="63">
        <v>10</v>
      </c>
      <c r="H175" s="109">
        <f t="shared" si="20"/>
        <v>18.325</v>
      </c>
      <c r="I175" s="109">
        <f>18.33+18.33+18.33</f>
        <v>54.989999999999995</v>
      </c>
      <c r="J175" s="109">
        <f t="shared" si="21"/>
        <v>73.315</v>
      </c>
      <c r="K175" s="112">
        <f t="shared" si="22"/>
        <v>109.935</v>
      </c>
    </row>
    <row r="176" spans="1:11" s="63" customFormat="1" ht="12.75">
      <c r="A176" s="76" t="s">
        <v>171</v>
      </c>
      <c r="B176" s="113" t="s">
        <v>91</v>
      </c>
      <c r="C176" s="63">
        <v>2001</v>
      </c>
      <c r="D176" s="109">
        <v>42.61</v>
      </c>
      <c r="E176" s="109">
        <v>0</v>
      </c>
      <c r="F176" s="109">
        <f>+D176+E176</f>
        <v>42.61</v>
      </c>
      <c r="G176" s="71">
        <v>100</v>
      </c>
      <c r="H176" s="109">
        <v>0</v>
      </c>
      <c r="I176" s="109">
        <v>42.61</v>
      </c>
      <c r="J176" s="109">
        <f t="shared" si="18"/>
        <v>42.61</v>
      </c>
      <c r="K176" s="112">
        <f t="shared" si="19"/>
        <v>0</v>
      </c>
    </row>
    <row r="177" spans="1:11" s="63" customFormat="1" ht="12.75">
      <c r="A177" s="76" t="s">
        <v>172</v>
      </c>
      <c r="B177" s="113" t="s">
        <v>159</v>
      </c>
      <c r="C177" s="63">
        <v>2001</v>
      </c>
      <c r="D177" s="109">
        <v>515.94</v>
      </c>
      <c r="E177" s="109">
        <v>0</v>
      </c>
      <c r="F177" s="109">
        <f>+D177+E177</f>
        <v>515.94</v>
      </c>
      <c r="G177" s="71">
        <v>10</v>
      </c>
      <c r="H177" s="109">
        <f>F177*G177/100</f>
        <v>51.59400000000001</v>
      </c>
      <c r="I177" s="109">
        <f>25.8+51.59+51.59</f>
        <v>128.98000000000002</v>
      </c>
      <c r="J177" s="109">
        <f t="shared" si="18"/>
        <v>180.574</v>
      </c>
      <c r="K177" s="112">
        <f t="shared" si="19"/>
        <v>335.36600000000004</v>
      </c>
    </row>
    <row r="178" spans="1:11" s="63" customFormat="1" ht="12.75">
      <c r="A178" s="76" t="s">
        <v>229</v>
      </c>
      <c r="B178" s="113" t="s">
        <v>68</v>
      </c>
      <c r="C178" s="63">
        <v>2002</v>
      </c>
      <c r="D178" s="109">
        <v>637.99</v>
      </c>
      <c r="E178" s="109">
        <v>0</v>
      </c>
      <c r="F178" s="109">
        <v>637.99</v>
      </c>
      <c r="G178" s="71">
        <v>10</v>
      </c>
      <c r="H178" s="109">
        <f>F178*G178/100</f>
        <v>63.799</v>
      </c>
      <c r="I178" s="127">
        <f>63.8+63.8</f>
        <v>127.6</v>
      </c>
      <c r="J178" s="109">
        <f t="shared" si="18"/>
        <v>191.399</v>
      </c>
      <c r="K178" s="112">
        <f t="shared" si="19"/>
        <v>446.591</v>
      </c>
    </row>
    <row r="179" spans="1:11" s="63" customFormat="1" ht="12.75">
      <c r="A179" s="76" t="s">
        <v>222</v>
      </c>
      <c r="B179" s="113" t="s">
        <v>223</v>
      </c>
      <c r="C179" s="63">
        <v>2002</v>
      </c>
      <c r="D179" s="109">
        <v>476.23</v>
      </c>
      <c r="E179" s="109">
        <v>0</v>
      </c>
      <c r="F179" s="109">
        <v>476.23</v>
      </c>
      <c r="G179" s="63">
        <v>10</v>
      </c>
      <c r="H179" s="109">
        <f t="shared" si="17"/>
        <v>47.623000000000005</v>
      </c>
      <c r="I179" s="109">
        <f>47.62+47.62</f>
        <v>95.24</v>
      </c>
      <c r="J179" s="109">
        <f t="shared" si="18"/>
        <v>142.863</v>
      </c>
      <c r="K179" s="112">
        <f t="shared" si="19"/>
        <v>333.367</v>
      </c>
    </row>
    <row r="180" spans="1:11" s="63" customFormat="1" ht="12.75">
      <c r="A180" s="76" t="s">
        <v>224</v>
      </c>
      <c r="B180" s="113" t="s">
        <v>223</v>
      </c>
      <c r="C180" s="63">
        <v>2002</v>
      </c>
      <c r="D180" s="109">
        <v>353.3</v>
      </c>
      <c r="E180" s="109">
        <v>0</v>
      </c>
      <c r="F180" s="109">
        <v>353.3</v>
      </c>
      <c r="G180" s="63">
        <v>10</v>
      </c>
      <c r="H180" s="109">
        <f t="shared" si="17"/>
        <v>35.33</v>
      </c>
      <c r="I180" s="109">
        <f>35.33+35.33</f>
        <v>70.66</v>
      </c>
      <c r="J180" s="109">
        <f t="shared" si="18"/>
        <v>105.99</v>
      </c>
      <c r="K180" s="112">
        <f t="shared" si="19"/>
        <v>247.31</v>
      </c>
    </row>
    <row r="181" spans="1:11" s="63" customFormat="1" ht="12.75">
      <c r="A181" s="76" t="s">
        <v>225</v>
      </c>
      <c r="B181" s="113" t="s">
        <v>223</v>
      </c>
      <c r="C181" s="63">
        <v>2002</v>
      </c>
      <c r="D181" s="109">
        <v>415.32</v>
      </c>
      <c r="E181" s="109">
        <v>0</v>
      </c>
      <c r="F181" s="109">
        <v>415.32</v>
      </c>
      <c r="G181" s="63">
        <v>10</v>
      </c>
      <c r="H181" s="109">
        <f t="shared" si="17"/>
        <v>41.532</v>
      </c>
      <c r="I181" s="109">
        <f>41.53+41.53</f>
        <v>83.06</v>
      </c>
      <c r="J181" s="109">
        <f t="shared" si="18"/>
        <v>124.592</v>
      </c>
      <c r="K181" s="112">
        <f t="shared" si="19"/>
        <v>290.728</v>
      </c>
    </row>
    <row r="182" spans="1:11" s="63" customFormat="1" ht="12.75">
      <c r="A182" s="76" t="s">
        <v>226</v>
      </c>
      <c r="B182" s="113" t="s">
        <v>223</v>
      </c>
      <c r="C182" s="63">
        <v>2002</v>
      </c>
      <c r="D182" s="109">
        <v>1069.86</v>
      </c>
      <c r="E182" s="109">
        <v>0</v>
      </c>
      <c r="F182" s="109">
        <v>1069.86</v>
      </c>
      <c r="G182" s="63">
        <v>10</v>
      </c>
      <c r="H182" s="109">
        <f t="shared" si="17"/>
        <v>106.98599999999999</v>
      </c>
      <c r="I182" s="109">
        <f>106.99+106.99</f>
        <v>213.98</v>
      </c>
      <c r="J182" s="109">
        <f t="shared" si="18"/>
        <v>320.966</v>
      </c>
      <c r="K182" s="112">
        <f t="shared" si="19"/>
        <v>748.8939999999999</v>
      </c>
    </row>
    <row r="183" spans="1:11" s="63" customFormat="1" ht="12.75">
      <c r="A183" s="76" t="s">
        <v>230</v>
      </c>
      <c r="B183" s="113" t="s">
        <v>231</v>
      </c>
      <c r="C183" s="63">
        <v>2002</v>
      </c>
      <c r="D183" s="109">
        <v>586.82</v>
      </c>
      <c r="E183" s="109">
        <v>0</v>
      </c>
      <c r="F183" s="109">
        <v>586.82</v>
      </c>
      <c r="G183" s="71">
        <v>10</v>
      </c>
      <c r="H183" s="109">
        <f t="shared" si="17"/>
        <v>58.68200000000001</v>
      </c>
      <c r="I183" s="109">
        <f>58.68+58.68</f>
        <v>117.36</v>
      </c>
      <c r="J183" s="109">
        <f t="shared" si="18"/>
        <v>176.042</v>
      </c>
      <c r="K183" s="112">
        <f t="shared" si="19"/>
        <v>410.778</v>
      </c>
    </row>
    <row r="184" spans="1:11" s="63" customFormat="1" ht="12" customHeight="1">
      <c r="A184" s="78" t="s">
        <v>279</v>
      </c>
      <c r="B184" s="113" t="s">
        <v>231</v>
      </c>
      <c r="C184" s="63">
        <v>2003</v>
      </c>
      <c r="D184" s="109">
        <v>4031.2</v>
      </c>
      <c r="E184" s="109">
        <v>0</v>
      </c>
      <c r="F184" s="109">
        <f aca="true" t="shared" si="23" ref="F184:F189">+D184+E184</f>
        <v>4031.2</v>
      </c>
      <c r="G184" s="126">
        <v>10</v>
      </c>
      <c r="H184" s="109">
        <f t="shared" si="17"/>
        <v>403.12</v>
      </c>
      <c r="I184" s="109">
        <f>403.12+401.44</f>
        <v>804.56</v>
      </c>
      <c r="J184" s="109">
        <f t="shared" si="18"/>
        <v>1207.6799999999998</v>
      </c>
      <c r="K184" s="112">
        <f t="shared" si="19"/>
        <v>2823.52</v>
      </c>
    </row>
    <row r="185" spans="1:11" s="63" customFormat="1" ht="12.75">
      <c r="A185" s="78" t="s">
        <v>280</v>
      </c>
      <c r="B185" s="113" t="s">
        <v>231</v>
      </c>
      <c r="C185" s="63">
        <v>2003</v>
      </c>
      <c r="D185" s="109">
        <v>240.62</v>
      </c>
      <c r="E185" s="109">
        <v>0</v>
      </c>
      <c r="F185" s="109">
        <f t="shared" si="23"/>
        <v>240.62</v>
      </c>
      <c r="G185" s="126">
        <v>10</v>
      </c>
      <c r="H185" s="109">
        <f t="shared" si="17"/>
        <v>24.061999999999998</v>
      </c>
      <c r="I185" s="109">
        <f>24.06+24.06</f>
        <v>48.12</v>
      </c>
      <c r="J185" s="109">
        <f t="shared" si="18"/>
        <v>72.18199999999999</v>
      </c>
      <c r="K185" s="112">
        <f t="shared" si="19"/>
        <v>168.43800000000002</v>
      </c>
    </row>
    <row r="186" spans="1:11" s="63" customFormat="1" ht="12.75">
      <c r="A186" s="78" t="s">
        <v>281</v>
      </c>
      <c r="B186" s="113" t="s">
        <v>231</v>
      </c>
      <c r="C186" s="63">
        <v>2003</v>
      </c>
      <c r="D186" s="109">
        <v>309.09</v>
      </c>
      <c r="E186" s="109">
        <v>0</v>
      </c>
      <c r="F186" s="109">
        <f t="shared" si="23"/>
        <v>309.09</v>
      </c>
      <c r="G186" s="126">
        <v>10</v>
      </c>
      <c r="H186" s="109">
        <f t="shared" si="17"/>
        <v>30.908999999999995</v>
      </c>
      <c r="I186" s="109">
        <f>30.91+30.91</f>
        <v>61.82</v>
      </c>
      <c r="J186" s="109">
        <f t="shared" si="18"/>
        <v>92.729</v>
      </c>
      <c r="K186" s="112">
        <f t="shared" si="19"/>
        <v>216.361</v>
      </c>
    </row>
    <row r="187" spans="1:11" s="63" customFormat="1" ht="12.75">
      <c r="A187" s="78" t="s">
        <v>282</v>
      </c>
      <c r="B187" s="113" t="s">
        <v>231</v>
      </c>
      <c r="C187" s="63">
        <v>2003</v>
      </c>
      <c r="D187" s="109">
        <v>51</v>
      </c>
      <c r="E187" s="109">
        <v>0</v>
      </c>
      <c r="F187" s="109">
        <f t="shared" si="23"/>
        <v>51</v>
      </c>
      <c r="G187" s="126">
        <v>10</v>
      </c>
      <c r="H187" s="109">
        <f t="shared" si="17"/>
        <v>5.1</v>
      </c>
      <c r="I187" s="109">
        <f>5.1+5.1</f>
        <v>10.2</v>
      </c>
      <c r="J187" s="109">
        <f t="shared" si="18"/>
        <v>15.299999999999999</v>
      </c>
      <c r="K187" s="112">
        <f t="shared" si="19"/>
        <v>35.7</v>
      </c>
    </row>
    <row r="188" spans="1:11" s="63" customFormat="1" ht="12.75">
      <c r="A188" s="78" t="s">
        <v>283</v>
      </c>
      <c r="B188" s="113" t="s">
        <v>231</v>
      </c>
      <c r="C188" s="63">
        <v>2003</v>
      </c>
      <c r="D188" s="109">
        <v>536.93</v>
      </c>
      <c r="E188" s="109">
        <v>0</v>
      </c>
      <c r="F188" s="109">
        <f t="shared" si="23"/>
        <v>536.93</v>
      </c>
      <c r="G188" s="126">
        <v>10</v>
      </c>
      <c r="H188" s="109">
        <f t="shared" si="17"/>
        <v>53.69299999999999</v>
      </c>
      <c r="I188" s="109">
        <f>53.69+53.69</f>
        <v>107.38</v>
      </c>
      <c r="J188" s="109">
        <f t="shared" si="18"/>
        <v>161.07299999999998</v>
      </c>
      <c r="K188" s="112">
        <f t="shared" si="19"/>
        <v>375.85699999999997</v>
      </c>
    </row>
    <row r="189" spans="1:11" s="63" customFormat="1" ht="12.75">
      <c r="A189" s="78" t="s">
        <v>284</v>
      </c>
      <c r="B189" s="113" t="s">
        <v>231</v>
      </c>
      <c r="C189" s="63">
        <v>2003</v>
      </c>
      <c r="D189" s="109">
        <v>1428.97</v>
      </c>
      <c r="E189" s="109">
        <v>0</v>
      </c>
      <c r="F189" s="109">
        <f t="shared" si="23"/>
        <v>1428.97</v>
      </c>
      <c r="G189" s="126">
        <v>10</v>
      </c>
      <c r="H189" s="109">
        <f t="shared" si="17"/>
        <v>142.89700000000002</v>
      </c>
      <c r="I189" s="109">
        <f>142.9+142.9</f>
        <v>285.8</v>
      </c>
      <c r="J189" s="109">
        <f t="shared" si="18"/>
        <v>428.697</v>
      </c>
      <c r="K189" s="112">
        <f t="shared" si="19"/>
        <v>1000.273</v>
      </c>
    </row>
    <row r="190" spans="1:11" s="63" customFormat="1" ht="12.75">
      <c r="A190" s="76" t="s">
        <v>302</v>
      </c>
      <c r="B190" s="113" t="s">
        <v>223</v>
      </c>
      <c r="C190" s="63">
        <v>2003</v>
      </c>
      <c r="D190" s="109">
        <v>54.67</v>
      </c>
      <c r="E190" s="109">
        <v>0</v>
      </c>
      <c r="F190" s="109">
        <v>54.67</v>
      </c>
      <c r="G190" s="75">
        <v>0</v>
      </c>
      <c r="H190" s="109">
        <f t="shared" si="17"/>
        <v>0</v>
      </c>
      <c r="I190" s="109">
        <v>54.67</v>
      </c>
      <c r="J190" s="109">
        <f t="shared" si="18"/>
        <v>54.67</v>
      </c>
      <c r="K190" s="112">
        <f t="shared" si="19"/>
        <v>0</v>
      </c>
    </row>
    <row r="191" spans="1:11" s="63" customFormat="1" ht="12.75">
      <c r="A191" s="76" t="s">
        <v>285</v>
      </c>
      <c r="B191" s="113" t="s">
        <v>223</v>
      </c>
      <c r="C191" s="63">
        <v>2003</v>
      </c>
      <c r="D191" s="109">
        <v>2921.87</v>
      </c>
      <c r="E191" s="109">
        <v>0</v>
      </c>
      <c r="F191" s="109">
        <v>2921.87</v>
      </c>
      <c r="G191" s="126">
        <v>10</v>
      </c>
      <c r="H191" s="109">
        <f t="shared" si="17"/>
        <v>292.18699999999995</v>
      </c>
      <c r="I191" s="109">
        <f>292.19+292.19</f>
        <v>584.38</v>
      </c>
      <c r="J191" s="109">
        <f>+H191+I191</f>
        <v>876.567</v>
      </c>
      <c r="K191" s="112">
        <f t="shared" si="19"/>
        <v>2045.3029999999999</v>
      </c>
    </row>
    <row r="192" spans="1:11" s="63" customFormat="1" ht="12.75">
      <c r="A192" s="76" t="s">
        <v>286</v>
      </c>
      <c r="B192" s="113" t="s">
        <v>223</v>
      </c>
      <c r="C192" s="63">
        <v>2003</v>
      </c>
      <c r="D192" s="109">
        <v>70.23</v>
      </c>
      <c r="E192" s="109">
        <v>0</v>
      </c>
      <c r="F192" s="109">
        <v>70.23</v>
      </c>
      <c r="G192" s="126">
        <v>10</v>
      </c>
      <c r="H192" s="109">
        <f t="shared" si="17"/>
        <v>7.023000000000001</v>
      </c>
      <c r="I192" s="109">
        <f>7.02+7.02</f>
        <v>14.04</v>
      </c>
      <c r="J192" s="109">
        <f>+H192+I192</f>
        <v>21.063</v>
      </c>
      <c r="K192" s="112">
        <f t="shared" si="19"/>
        <v>49.167</v>
      </c>
    </row>
    <row r="193" spans="1:11" s="63" customFormat="1" ht="12.75">
      <c r="A193" s="76" t="s">
        <v>259</v>
      </c>
      <c r="B193" s="113" t="s">
        <v>68</v>
      </c>
      <c r="C193" s="63">
        <v>2003</v>
      </c>
      <c r="D193" s="109">
        <v>252</v>
      </c>
      <c r="E193" s="109">
        <v>0</v>
      </c>
      <c r="F193" s="109">
        <v>252</v>
      </c>
      <c r="G193" s="71">
        <v>10</v>
      </c>
      <c r="H193" s="109">
        <f t="shared" si="17"/>
        <v>25.2</v>
      </c>
      <c r="I193" s="109">
        <f>25.2+25.2</f>
        <v>50.4</v>
      </c>
      <c r="J193" s="109">
        <f aca="true" t="shared" si="24" ref="J193:J202">+H193+I193</f>
        <v>75.6</v>
      </c>
      <c r="K193" s="112">
        <f t="shared" si="19"/>
        <v>176.4</v>
      </c>
    </row>
    <row r="194" spans="1:11" s="63" customFormat="1" ht="12.75">
      <c r="A194" s="76" t="s">
        <v>260</v>
      </c>
      <c r="B194" s="113" t="s">
        <v>91</v>
      </c>
      <c r="C194" s="63">
        <v>2003</v>
      </c>
      <c r="D194" s="109">
        <v>16.38</v>
      </c>
      <c r="E194" s="109">
        <v>0</v>
      </c>
      <c r="F194" s="109">
        <v>16.38</v>
      </c>
      <c r="G194" s="71">
        <v>0</v>
      </c>
      <c r="H194" s="109">
        <v>0</v>
      </c>
      <c r="I194" s="109">
        <f>16.38+16.38</f>
        <v>32.76</v>
      </c>
      <c r="J194" s="109">
        <f t="shared" si="24"/>
        <v>32.76</v>
      </c>
      <c r="K194" s="112">
        <f t="shared" si="19"/>
        <v>-16.38</v>
      </c>
    </row>
    <row r="195" spans="1:11" s="63" customFormat="1" ht="12.75">
      <c r="A195" s="76" t="s">
        <v>264</v>
      </c>
      <c r="B195" s="113" t="s">
        <v>149</v>
      </c>
      <c r="C195" s="63">
        <v>2003</v>
      </c>
      <c r="D195" s="109">
        <v>299</v>
      </c>
      <c r="E195" s="109">
        <v>0</v>
      </c>
      <c r="F195" s="109">
        <v>299</v>
      </c>
      <c r="G195" s="71">
        <v>10</v>
      </c>
      <c r="H195" s="109">
        <f aca="true" t="shared" si="25" ref="H195:H202">F195*G195/100</f>
        <v>29.9</v>
      </c>
      <c r="I195" s="109">
        <f>29.9+29.9</f>
        <v>59.8</v>
      </c>
      <c r="J195" s="109">
        <f t="shared" si="24"/>
        <v>89.69999999999999</v>
      </c>
      <c r="K195" s="112">
        <f t="shared" si="19"/>
        <v>209.3</v>
      </c>
    </row>
    <row r="196" spans="1:11" s="63" customFormat="1" ht="12.75">
      <c r="A196" s="76" t="s">
        <v>271</v>
      </c>
      <c r="B196" s="113" t="s">
        <v>249</v>
      </c>
      <c r="C196" s="63">
        <v>2003</v>
      </c>
      <c r="D196" s="109">
        <v>874.8</v>
      </c>
      <c r="E196" s="109">
        <v>0</v>
      </c>
      <c r="F196" s="109">
        <v>874.8</v>
      </c>
      <c r="G196" s="71">
        <v>10</v>
      </c>
      <c r="H196" s="109">
        <f t="shared" si="25"/>
        <v>87.48</v>
      </c>
      <c r="I196" s="109">
        <f>87.48+87.48</f>
        <v>174.96</v>
      </c>
      <c r="J196" s="109">
        <f t="shared" si="24"/>
        <v>262.44</v>
      </c>
      <c r="K196" s="112">
        <f t="shared" si="19"/>
        <v>612.3599999999999</v>
      </c>
    </row>
    <row r="197" spans="1:11" s="63" customFormat="1" ht="12.75">
      <c r="A197" s="76" t="s">
        <v>358</v>
      </c>
      <c r="B197" s="113" t="s">
        <v>249</v>
      </c>
      <c r="C197" s="63">
        <v>2004</v>
      </c>
      <c r="D197" s="109">
        <v>482.4</v>
      </c>
      <c r="E197" s="109"/>
      <c r="F197" s="109">
        <v>482.4</v>
      </c>
      <c r="G197" s="71">
        <v>10</v>
      </c>
      <c r="H197" s="109">
        <f t="shared" si="25"/>
        <v>48.24</v>
      </c>
      <c r="I197" s="109">
        <f>48.24</f>
        <v>48.24</v>
      </c>
      <c r="J197" s="109">
        <f t="shared" si="24"/>
        <v>96.48</v>
      </c>
      <c r="K197" s="112">
        <f t="shared" si="19"/>
        <v>385.91999999999996</v>
      </c>
    </row>
    <row r="198" spans="1:11" s="63" customFormat="1" ht="12.75">
      <c r="A198" s="76" t="s">
        <v>359</v>
      </c>
      <c r="B198" s="113" t="s">
        <v>68</v>
      </c>
      <c r="C198" s="63">
        <v>2004</v>
      </c>
      <c r="D198" s="109">
        <v>192</v>
      </c>
      <c r="E198" s="109"/>
      <c r="F198" s="109">
        <v>192</v>
      </c>
      <c r="G198" s="71">
        <v>10</v>
      </c>
      <c r="H198" s="109">
        <f t="shared" si="25"/>
        <v>19.2</v>
      </c>
      <c r="I198" s="109">
        <v>19.2</v>
      </c>
      <c r="J198" s="109">
        <f t="shared" si="24"/>
        <v>38.4</v>
      </c>
      <c r="K198" s="112">
        <f t="shared" si="19"/>
        <v>153.6</v>
      </c>
    </row>
    <row r="199" spans="1:11" s="63" customFormat="1" ht="12.75">
      <c r="A199" s="76" t="s">
        <v>360</v>
      </c>
      <c r="B199" s="113" t="s">
        <v>249</v>
      </c>
      <c r="C199" s="63">
        <v>2004</v>
      </c>
      <c r="D199" s="109">
        <v>163.2</v>
      </c>
      <c r="E199" s="109"/>
      <c r="F199" s="109">
        <v>163.2</v>
      </c>
      <c r="G199" s="71">
        <v>10</v>
      </c>
      <c r="H199" s="109">
        <f t="shared" si="25"/>
        <v>16.32</v>
      </c>
      <c r="I199" s="109">
        <v>16.32</v>
      </c>
      <c r="J199" s="109">
        <f t="shared" si="24"/>
        <v>32.64</v>
      </c>
      <c r="K199" s="112">
        <f t="shared" si="19"/>
        <v>130.56</v>
      </c>
    </row>
    <row r="200" spans="1:11" s="63" customFormat="1" ht="12.75">
      <c r="A200" s="76" t="s">
        <v>361</v>
      </c>
      <c r="B200" s="113" t="s">
        <v>249</v>
      </c>
      <c r="C200" s="63">
        <v>2004</v>
      </c>
      <c r="D200" s="109">
        <v>548.4</v>
      </c>
      <c r="E200" s="109"/>
      <c r="F200" s="109">
        <v>548.4</v>
      </c>
      <c r="G200" s="71">
        <v>10</v>
      </c>
      <c r="H200" s="109">
        <f t="shared" si="25"/>
        <v>54.84</v>
      </c>
      <c r="I200" s="109">
        <v>54.84</v>
      </c>
      <c r="J200" s="109">
        <f t="shared" si="24"/>
        <v>109.68</v>
      </c>
      <c r="K200" s="112">
        <f t="shared" si="19"/>
        <v>438.71999999999997</v>
      </c>
    </row>
    <row r="201" spans="1:11" s="63" customFormat="1" ht="12.75">
      <c r="A201" s="76" t="s">
        <v>363</v>
      </c>
      <c r="B201" s="113" t="s">
        <v>149</v>
      </c>
      <c r="C201" s="63">
        <v>2004</v>
      </c>
      <c r="D201" s="109">
        <v>136</v>
      </c>
      <c r="E201" s="109"/>
      <c r="F201" s="109">
        <v>136</v>
      </c>
      <c r="G201" s="71">
        <v>10</v>
      </c>
      <c r="H201" s="109">
        <f t="shared" si="25"/>
        <v>13.6</v>
      </c>
      <c r="I201" s="109">
        <v>13.6</v>
      </c>
      <c r="J201" s="109">
        <f t="shared" si="24"/>
        <v>27.2</v>
      </c>
      <c r="K201" s="112">
        <f t="shared" si="19"/>
        <v>108.8</v>
      </c>
    </row>
    <row r="202" spans="1:11" s="63" customFormat="1" ht="12.75">
      <c r="A202" s="76" t="s">
        <v>383</v>
      </c>
      <c r="B202" s="113" t="s">
        <v>68</v>
      </c>
      <c r="C202" s="63">
        <v>2004</v>
      </c>
      <c r="D202" s="109">
        <v>78</v>
      </c>
      <c r="E202" s="109"/>
      <c r="F202" s="109">
        <v>78</v>
      </c>
      <c r="G202" s="71">
        <v>10</v>
      </c>
      <c r="H202" s="109">
        <f t="shared" si="25"/>
        <v>7.8</v>
      </c>
      <c r="I202" s="109">
        <v>7.8</v>
      </c>
      <c r="J202" s="109">
        <f t="shared" si="24"/>
        <v>15.6</v>
      </c>
      <c r="K202" s="112">
        <f t="shared" si="19"/>
        <v>62.4</v>
      </c>
    </row>
    <row r="203" spans="1:11" s="63" customFormat="1" ht="12.75">
      <c r="A203" s="78" t="s">
        <v>371</v>
      </c>
      <c r="B203" s="113" t="s">
        <v>249</v>
      </c>
      <c r="C203" s="63">
        <v>2004</v>
      </c>
      <c r="D203" s="109">
        <v>3060</v>
      </c>
      <c r="E203" s="109"/>
      <c r="F203" s="109">
        <f aca="true" t="shared" si="26" ref="F203:F210">+D203+E203</f>
        <v>3060</v>
      </c>
      <c r="G203" s="126">
        <v>10</v>
      </c>
      <c r="H203" s="109">
        <f t="shared" si="17"/>
        <v>306</v>
      </c>
      <c r="I203" s="109">
        <v>306</v>
      </c>
      <c r="J203" s="109">
        <f aca="true" t="shared" si="27" ref="J203:J210">+H203+I203</f>
        <v>612</v>
      </c>
      <c r="K203" s="112">
        <f t="shared" si="19"/>
        <v>2448</v>
      </c>
    </row>
    <row r="204" spans="1:11" s="63" customFormat="1" ht="12.75">
      <c r="A204" s="78" t="s">
        <v>372</v>
      </c>
      <c r="B204" s="113" t="s">
        <v>249</v>
      </c>
      <c r="C204" s="63">
        <v>2004</v>
      </c>
      <c r="D204" s="109">
        <v>6802.8</v>
      </c>
      <c r="E204" s="109"/>
      <c r="F204" s="109">
        <f t="shared" si="26"/>
        <v>6802.8</v>
      </c>
      <c r="G204" s="126">
        <v>10</v>
      </c>
      <c r="H204" s="109">
        <f t="shared" si="17"/>
        <v>680.28</v>
      </c>
      <c r="I204" s="109">
        <v>680.28</v>
      </c>
      <c r="J204" s="109">
        <f t="shared" si="27"/>
        <v>1360.56</v>
      </c>
      <c r="K204" s="112">
        <f t="shared" si="19"/>
        <v>5442.24</v>
      </c>
    </row>
    <row r="205" spans="1:11" s="63" customFormat="1" ht="12.75">
      <c r="A205" s="78" t="s">
        <v>373</v>
      </c>
      <c r="B205" s="113" t="s">
        <v>231</v>
      </c>
      <c r="C205" s="63">
        <v>2004</v>
      </c>
      <c r="D205" s="109">
        <v>941.8</v>
      </c>
      <c r="E205" s="109"/>
      <c r="F205" s="109">
        <f t="shared" si="26"/>
        <v>941.8</v>
      </c>
      <c r="G205" s="126">
        <v>10</v>
      </c>
      <c r="H205" s="109">
        <f t="shared" si="17"/>
        <v>94.18</v>
      </c>
      <c r="I205" s="109">
        <v>94.18</v>
      </c>
      <c r="J205" s="109">
        <f t="shared" si="27"/>
        <v>188.36</v>
      </c>
      <c r="K205" s="112">
        <f t="shared" si="19"/>
        <v>753.4399999999999</v>
      </c>
    </row>
    <row r="206" spans="1:11" s="63" customFormat="1" ht="12.75">
      <c r="A206" s="78" t="s">
        <v>374</v>
      </c>
      <c r="B206" s="113" t="s">
        <v>68</v>
      </c>
      <c r="C206" s="63">
        <v>2004</v>
      </c>
      <c r="D206" s="109">
        <v>1220.26</v>
      </c>
      <c r="E206" s="109"/>
      <c r="F206" s="109">
        <f t="shared" si="26"/>
        <v>1220.26</v>
      </c>
      <c r="G206" s="126">
        <v>10</v>
      </c>
      <c r="H206" s="109">
        <f t="shared" si="17"/>
        <v>122.02600000000001</v>
      </c>
      <c r="I206" s="109">
        <v>122.03</v>
      </c>
      <c r="J206" s="109">
        <f t="shared" si="27"/>
        <v>244.056</v>
      </c>
      <c r="K206" s="112">
        <f t="shared" si="19"/>
        <v>976.204</v>
      </c>
    </row>
    <row r="207" spans="1:11" s="63" customFormat="1" ht="12.75">
      <c r="A207" s="78" t="s">
        <v>375</v>
      </c>
      <c r="B207" s="113" t="s">
        <v>231</v>
      </c>
      <c r="C207" s="63">
        <v>2004</v>
      </c>
      <c r="D207" s="109">
        <v>4228.09</v>
      </c>
      <c r="E207" s="109"/>
      <c r="F207" s="109">
        <f t="shared" si="26"/>
        <v>4228.09</v>
      </c>
      <c r="G207" s="126">
        <v>10</v>
      </c>
      <c r="H207" s="109">
        <f t="shared" si="17"/>
        <v>422.809</v>
      </c>
      <c r="I207" s="109">
        <v>422.81</v>
      </c>
      <c r="J207" s="109">
        <f t="shared" si="27"/>
        <v>845.619</v>
      </c>
      <c r="K207" s="112">
        <f t="shared" si="19"/>
        <v>3382.471</v>
      </c>
    </row>
    <row r="208" spans="1:11" s="63" customFormat="1" ht="12.75">
      <c r="A208" s="78" t="s">
        <v>376</v>
      </c>
      <c r="B208" s="113" t="s">
        <v>68</v>
      </c>
      <c r="C208" s="63">
        <v>2004</v>
      </c>
      <c r="D208" s="109">
        <v>132</v>
      </c>
      <c r="E208" s="109"/>
      <c r="F208" s="109">
        <f t="shared" si="26"/>
        <v>132</v>
      </c>
      <c r="G208" s="126">
        <v>10</v>
      </c>
      <c r="H208" s="109">
        <f t="shared" si="17"/>
        <v>13.2</v>
      </c>
      <c r="I208" s="109">
        <v>13.2</v>
      </c>
      <c r="J208" s="109">
        <f t="shared" si="27"/>
        <v>26.4</v>
      </c>
      <c r="K208" s="112">
        <f t="shared" si="19"/>
        <v>105.6</v>
      </c>
    </row>
    <row r="209" spans="1:11" s="63" customFormat="1" ht="12.75">
      <c r="A209" s="78" t="s">
        <v>377</v>
      </c>
      <c r="B209" s="113" t="s">
        <v>249</v>
      </c>
      <c r="C209" s="63">
        <v>2004</v>
      </c>
      <c r="D209" s="109">
        <v>49.86</v>
      </c>
      <c r="E209" s="109"/>
      <c r="F209" s="109">
        <f t="shared" si="26"/>
        <v>49.86</v>
      </c>
      <c r="G209" s="126">
        <v>10</v>
      </c>
      <c r="H209" s="109">
        <f t="shared" si="17"/>
        <v>4.986000000000001</v>
      </c>
      <c r="I209" s="109">
        <v>4.99</v>
      </c>
      <c r="J209" s="109">
        <f t="shared" si="27"/>
        <v>9.976</v>
      </c>
      <c r="K209" s="112">
        <f t="shared" si="19"/>
        <v>39.884</v>
      </c>
    </row>
    <row r="210" spans="1:11" s="63" customFormat="1" ht="12.75">
      <c r="A210" s="78" t="s">
        <v>378</v>
      </c>
      <c r="B210" s="113" t="s">
        <v>68</v>
      </c>
      <c r="C210" s="63">
        <v>2004</v>
      </c>
      <c r="D210" s="109">
        <v>792</v>
      </c>
      <c r="E210" s="109"/>
      <c r="F210" s="109">
        <f t="shared" si="26"/>
        <v>792</v>
      </c>
      <c r="G210" s="126">
        <v>10</v>
      </c>
      <c r="H210" s="109">
        <f t="shared" si="17"/>
        <v>79.2</v>
      </c>
      <c r="I210" s="109">
        <v>79.2</v>
      </c>
      <c r="J210" s="109">
        <f t="shared" si="27"/>
        <v>158.4</v>
      </c>
      <c r="K210" s="112">
        <f t="shared" si="19"/>
        <v>633.6</v>
      </c>
    </row>
    <row r="211" spans="1:11" s="63" customFormat="1" ht="12.75">
      <c r="A211" s="76" t="s">
        <v>342</v>
      </c>
      <c r="B211" s="113" t="s">
        <v>343</v>
      </c>
      <c r="C211" s="63">
        <v>2004</v>
      </c>
      <c r="D211" s="109">
        <v>348</v>
      </c>
      <c r="E211" s="109"/>
      <c r="F211" s="109">
        <v>348</v>
      </c>
      <c r="G211" s="126">
        <v>10</v>
      </c>
      <c r="H211" s="109">
        <f t="shared" si="17"/>
        <v>34.8</v>
      </c>
      <c r="I211" s="109">
        <v>34.8</v>
      </c>
      <c r="J211" s="109">
        <f aca="true" t="shared" si="28" ref="J211:J225">+H211+I211</f>
        <v>69.6</v>
      </c>
      <c r="K211" s="112">
        <f t="shared" si="19"/>
        <v>278.4</v>
      </c>
    </row>
    <row r="212" spans="1:11" s="63" customFormat="1" ht="12.75">
      <c r="A212" s="76" t="s">
        <v>344</v>
      </c>
      <c r="B212" s="113" t="s">
        <v>343</v>
      </c>
      <c r="C212" s="63">
        <v>2004</v>
      </c>
      <c r="D212" s="109">
        <v>1980</v>
      </c>
      <c r="E212" s="109"/>
      <c r="F212" s="109">
        <v>1980</v>
      </c>
      <c r="G212" s="126">
        <v>10</v>
      </c>
      <c r="H212" s="109">
        <f t="shared" si="17"/>
        <v>198</v>
      </c>
      <c r="I212" s="109">
        <v>198</v>
      </c>
      <c r="J212" s="109">
        <f t="shared" si="28"/>
        <v>396</v>
      </c>
      <c r="K212" s="112">
        <f t="shared" si="19"/>
        <v>1584</v>
      </c>
    </row>
    <row r="213" spans="1:11" s="63" customFormat="1" ht="12.75">
      <c r="A213" s="76" t="s">
        <v>452</v>
      </c>
      <c r="B213" s="113" t="s">
        <v>343</v>
      </c>
      <c r="C213" s="63">
        <v>2005</v>
      </c>
      <c r="D213" s="109">
        <v>0</v>
      </c>
      <c r="E213" s="109">
        <v>796.8</v>
      </c>
      <c r="F213" s="109">
        <v>796.8</v>
      </c>
      <c r="G213" s="126">
        <v>10</v>
      </c>
      <c r="H213" s="109">
        <f t="shared" si="17"/>
        <v>79.68</v>
      </c>
      <c r="I213" s="109">
        <v>0</v>
      </c>
      <c r="J213" s="109">
        <f t="shared" si="28"/>
        <v>79.68</v>
      </c>
      <c r="K213" s="112">
        <f t="shared" si="19"/>
        <v>717.1199999999999</v>
      </c>
    </row>
    <row r="214" spans="1:11" s="63" customFormat="1" ht="12.75">
      <c r="A214" s="76" t="s">
        <v>453</v>
      </c>
      <c r="B214" s="113" t="s">
        <v>231</v>
      </c>
      <c r="C214" s="63">
        <v>2005</v>
      </c>
      <c r="D214" s="109">
        <v>0</v>
      </c>
      <c r="E214" s="109">
        <v>114.62</v>
      </c>
      <c r="F214" s="109">
        <v>114.62</v>
      </c>
      <c r="G214" s="126">
        <v>10</v>
      </c>
      <c r="H214" s="109">
        <f t="shared" si="17"/>
        <v>11.462</v>
      </c>
      <c r="I214" s="109">
        <v>0</v>
      </c>
      <c r="J214" s="109">
        <f t="shared" si="28"/>
        <v>11.462</v>
      </c>
      <c r="K214" s="112">
        <f t="shared" si="19"/>
        <v>103.158</v>
      </c>
    </row>
    <row r="215" spans="1:11" s="63" customFormat="1" ht="12.75">
      <c r="A215" s="76" t="s">
        <v>454</v>
      </c>
      <c r="B215" s="113" t="s">
        <v>91</v>
      </c>
      <c r="C215" s="63">
        <v>2005</v>
      </c>
      <c r="D215" s="109">
        <v>0</v>
      </c>
      <c r="E215" s="109">
        <v>767</v>
      </c>
      <c r="F215" s="109">
        <v>767</v>
      </c>
      <c r="G215" s="126">
        <v>10</v>
      </c>
      <c r="H215" s="109">
        <f t="shared" si="17"/>
        <v>76.7</v>
      </c>
      <c r="I215" s="109">
        <v>0</v>
      </c>
      <c r="J215" s="109">
        <f t="shared" si="28"/>
        <v>76.7</v>
      </c>
      <c r="K215" s="112">
        <f t="shared" si="19"/>
        <v>690.3</v>
      </c>
    </row>
    <row r="216" spans="1:11" s="63" customFormat="1" ht="12.75">
      <c r="A216" s="76" t="s">
        <v>455</v>
      </c>
      <c r="B216" s="113" t="s">
        <v>91</v>
      </c>
      <c r="C216" s="63">
        <v>2005</v>
      </c>
      <c r="D216" s="109">
        <v>0</v>
      </c>
      <c r="E216" s="109">
        <v>481.58</v>
      </c>
      <c r="F216" s="109">
        <v>481.58</v>
      </c>
      <c r="G216" s="126">
        <v>10</v>
      </c>
      <c r="H216" s="109">
        <f t="shared" si="17"/>
        <v>48.158</v>
      </c>
      <c r="I216" s="109">
        <v>0</v>
      </c>
      <c r="J216" s="109">
        <f t="shared" si="28"/>
        <v>48.158</v>
      </c>
      <c r="K216" s="112">
        <f t="shared" si="19"/>
        <v>433.42199999999997</v>
      </c>
    </row>
    <row r="217" spans="1:11" s="63" customFormat="1" ht="12.75">
      <c r="A217" s="76" t="s">
        <v>456</v>
      </c>
      <c r="B217" s="113" t="s">
        <v>316</v>
      </c>
      <c r="C217" s="63">
        <v>2005</v>
      </c>
      <c r="D217" s="109">
        <v>0</v>
      </c>
      <c r="E217" s="109">
        <v>6.6</v>
      </c>
      <c r="F217" s="109">
        <v>6.6</v>
      </c>
      <c r="G217" s="126">
        <v>100</v>
      </c>
      <c r="H217" s="109">
        <f t="shared" si="17"/>
        <v>6.6</v>
      </c>
      <c r="I217" s="109">
        <v>0</v>
      </c>
      <c r="J217" s="109">
        <f t="shared" si="28"/>
        <v>6.6</v>
      </c>
      <c r="K217" s="112">
        <f t="shared" si="19"/>
        <v>0</v>
      </c>
    </row>
    <row r="218" spans="1:11" s="63" customFormat="1" ht="12.75">
      <c r="A218" s="76" t="s">
        <v>457</v>
      </c>
      <c r="B218" s="113" t="s">
        <v>91</v>
      </c>
      <c r="C218" s="63">
        <v>2005</v>
      </c>
      <c r="D218" s="109">
        <v>0</v>
      </c>
      <c r="E218" s="109">
        <v>108</v>
      </c>
      <c r="F218" s="109">
        <v>108</v>
      </c>
      <c r="G218" s="126">
        <v>10</v>
      </c>
      <c r="H218" s="109">
        <f t="shared" si="17"/>
        <v>10.8</v>
      </c>
      <c r="I218" s="109">
        <v>0</v>
      </c>
      <c r="J218" s="109">
        <f t="shared" si="28"/>
        <v>10.8</v>
      </c>
      <c r="K218" s="112">
        <f t="shared" si="19"/>
        <v>97.2</v>
      </c>
    </row>
    <row r="219" spans="1:11" s="63" customFormat="1" ht="12.75">
      <c r="A219" s="76" t="s">
        <v>458</v>
      </c>
      <c r="B219" s="113" t="s">
        <v>149</v>
      </c>
      <c r="C219" s="63">
        <v>2005</v>
      </c>
      <c r="D219" s="109">
        <v>0</v>
      </c>
      <c r="E219" s="109">
        <v>219</v>
      </c>
      <c r="F219" s="109">
        <v>219</v>
      </c>
      <c r="G219" s="126">
        <v>10</v>
      </c>
      <c r="H219" s="109">
        <f t="shared" si="17"/>
        <v>21.9</v>
      </c>
      <c r="I219" s="109">
        <v>0</v>
      </c>
      <c r="J219" s="109">
        <f t="shared" si="28"/>
        <v>21.9</v>
      </c>
      <c r="K219" s="112">
        <f t="shared" si="19"/>
        <v>197.1</v>
      </c>
    </row>
    <row r="220" spans="1:11" s="63" customFormat="1" ht="12.75">
      <c r="A220" s="76" t="s">
        <v>459</v>
      </c>
      <c r="B220" s="113" t="s">
        <v>427</v>
      </c>
      <c r="C220" s="63">
        <v>2005</v>
      </c>
      <c r="D220" s="109">
        <v>0</v>
      </c>
      <c r="E220" s="109">
        <v>908.4</v>
      </c>
      <c r="F220" s="109">
        <v>908.4</v>
      </c>
      <c r="G220" s="126">
        <v>10</v>
      </c>
      <c r="H220" s="109">
        <f t="shared" si="17"/>
        <v>90.84</v>
      </c>
      <c r="I220" s="109">
        <v>0</v>
      </c>
      <c r="J220" s="109">
        <f t="shared" si="28"/>
        <v>90.84</v>
      </c>
      <c r="K220" s="112">
        <f t="shared" si="19"/>
        <v>817.56</v>
      </c>
    </row>
    <row r="221" spans="1:11" s="63" customFormat="1" ht="12.75">
      <c r="A221" s="76" t="s">
        <v>460</v>
      </c>
      <c r="B221" s="113" t="s">
        <v>343</v>
      </c>
      <c r="C221" s="63">
        <v>2005</v>
      </c>
      <c r="D221" s="109">
        <v>0</v>
      </c>
      <c r="E221" s="109">
        <v>282.6</v>
      </c>
      <c r="F221" s="109">
        <v>282.6</v>
      </c>
      <c r="G221" s="126">
        <v>10</v>
      </c>
      <c r="H221" s="109">
        <f t="shared" si="17"/>
        <v>28.26</v>
      </c>
      <c r="I221" s="109">
        <v>0</v>
      </c>
      <c r="J221" s="109">
        <f t="shared" si="28"/>
        <v>28.26</v>
      </c>
      <c r="K221" s="112">
        <f t="shared" si="19"/>
        <v>254.34000000000003</v>
      </c>
    </row>
    <row r="222" spans="1:11" s="63" customFormat="1" ht="12.75">
      <c r="A222" s="76" t="s">
        <v>461</v>
      </c>
      <c r="B222" s="113" t="s">
        <v>316</v>
      </c>
      <c r="C222" s="63">
        <v>2005</v>
      </c>
      <c r="D222" s="109">
        <v>0</v>
      </c>
      <c r="E222" s="109">
        <v>527.32</v>
      </c>
      <c r="F222" s="109">
        <v>527.32</v>
      </c>
      <c r="G222" s="126">
        <v>10</v>
      </c>
      <c r="H222" s="109">
        <f t="shared" si="17"/>
        <v>52.732000000000006</v>
      </c>
      <c r="I222" s="109">
        <v>0</v>
      </c>
      <c r="J222" s="109">
        <f t="shared" si="28"/>
        <v>52.732000000000006</v>
      </c>
      <c r="K222" s="112">
        <f t="shared" si="19"/>
        <v>474.588</v>
      </c>
    </row>
    <row r="223" spans="1:11" s="63" customFormat="1" ht="12.75">
      <c r="A223" s="76" t="s">
        <v>462</v>
      </c>
      <c r="B223" s="113" t="s">
        <v>343</v>
      </c>
      <c r="C223" s="63">
        <v>2005</v>
      </c>
      <c r="D223" s="109">
        <v>0</v>
      </c>
      <c r="E223" s="109">
        <v>115</v>
      </c>
      <c r="F223" s="109">
        <v>115</v>
      </c>
      <c r="G223" s="126">
        <v>10</v>
      </c>
      <c r="H223" s="109">
        <f t="shared" si="17"/>
        <v>11.5</v>
      </c>
      <c r="I223" s="109">
        <v>0</v>
      </c>
      <c r="J223" s="109">
        <f t="shared" si="28"/>
        <v>11.5</v>
      </c>
      <c r="K223" s="112">
        <f t="shared" si="19"/>
        <v>103.5</v>
      </c>
    </row>
    <row r="224" spans="1:11" s="63" customFormat="1" ht="12.75">
      <c r="A224" s="76" t="s">
        <v>463</v>
      </c>
      <c r="B224" s="113" t="s">
        <v>316</v>
      </c>
      <c r="C224" s="63">
        <v>2005</v>
      </c>
      <c r="D224" s="109">
        <v>0</v>
      </c>
      <c r="E224" s="109">
        <v>192</v>
      </c>
      <c r="F224" s="109">
        <v>192</v>
      </c>
      <c r="G224" s="126">
        <v>10</v>
      </c>
      <c r="H224" s="109">
        <f t="shared" si="17"/>
        <v>19.2</v>
      </c>
      <c r="I224" s="109">
        <v>0</v>
      </c>
      <c r="J224" s="109">
        <f t="shared" si="28"/>
        <v>19.2</v>
      </c>
      <c r="K224" s="112">
        <f t="shared" si="19"/>
        <v>172.8</v>
      </c>
    </row>
    <row r="225" spans="1:11" s="63" customFormat="1" ht="12.75">
      <c r="A225" s="76" t="s">
        <v>464</v>
      </c>
      <c r="B225" s="113" t="s">
        <v>316</v>
      </c>
      <c r="C225" s="63">
        <v>2005</v>
      </c>
      <c r="D225" s="109">
        <v>0</v>
      </c>
      <c r="E225" s="109">
        <v>58.8</v>
      </c>
      <c r="F225" s="109">
        <v>58.8</v>
      </c>
      <c r="G225" s="126">
        <v>10</v>
      </c>
      <c r="H225" s="109">
        <f t="shared" si="17"/>
        <v>5.88</v>
      </c>
      <c r="I225" s="109">
        <v>0</v>
      </c>
      <c r="J225" s="109">
        <f t="shared" si="28"/>
        <v>5.88</v>
      </c>
      <c r="K225" s="112">
        <f t="shared" si="19"/>
        <v>52.919999999999995</v>
      </c>
    </row>
    <row r="226" spans="1:11" s="63" customFormat="1" ht="12.75">
      <c r="A226" s="76"/>
      <c r="B226" s="113"/>
      <c r="D226" s="109"/>
      <c r="E226" s="109"/>
      <c r="F226" s="109"/>
      <c r="G226" s="126"/>
      <c r="H226" s="109"/>
      <c r="I226" s="109"/>
      <c r="J226" s="109"/>
      <c r="K226" s="112"/>
    </row>
    <row r="227" spans="1:11" s="63" customFormat="1" ht="12.75">
      <c r="A227" s="76"/>
      <c r="B227" s="113"/>
      <c r="D227" s="109"/>
      <c r="E227" s="109"/>
      <c r="F227" s="109"/>
      <c r="G227" s="126"/>
      <c r="H227" s="109"/>
      <c r="I227" s="109"/>
      <c r="J227" s="109"/>
      <c r="K227" s="112"/>
    </row>
    <row r="228" spans="1:11" ht="12.75">
      <c r="A228" s="19"/>
      <c r="B228" s="30"/>
      <c r="D228" s="104"/>
      <c r="E228" s="104"/>
      <c r="F228" s="104"/>
      <c r="G228" s="63"/>
      <c r="H228" s="104"/>
      <c r="I228" s="104"/>
      <c r="J228" s="104"/>
      <c r="K228" s="108"/>
    </row>
    <row r="229" spans="1:11" s="4" customFormat="1" ht="12.75">
      <c r="A229" s="43" t="s">
        <v>63</v>
      </c>
      <c r="B229" s="44"/>
      <c r="C229" s="44"/>
      <c r="D229" s="103">
        <f>SUM(D151:D228)</f>
        <v>57321.14436380258</v>
      </c>
      <c r="E229" s="103">
        <f>SUM(E162:E228)</f>
        <v>4577.72</v>
      </c>
      <c r="F229" s="103">
        <f>SUM(F151:F228)</f>
        <v>61898.86436380259</v>
      </c>
      <c r="G229" s="45"/>
      <c r="H229" s="103">
        <f>SUM(H151:H228)</f>
        <v>6337.668151884811</v>
      </c>
      <c r="I229" s="103">
        <f>SUM(I151:I228)</f>
        <v>19197.942844954472</v>
      </c>
      <c r="J229" s="103">
        <f>SUM(J151:J228)</f>
        <v>25535.610996839285</v>
      </c>
      <c r="K229" s="103">
        <f>SUM(K151:K228)</f>
        <v>36363.25336696328</v>
      </c>
    </row>
    <row r="230" spans="1:11" ht="12.75">
      <c r="A230" s="20"/>
      <c r="D230" s="21"/>
      <c r="E230" s="21"/>
      <c r="F230" s="21"/>
      <c r="G230" s="21"/>
      <c r="H230" s="21"/>
      <c r="I230" s="21"/>
      <c r="J230" s="21"/>
      <c r="K230" s="21"/>
    </row>
    <row r="231" spans="1:11" ht="13.5" customHeight="1">
      <c r="A231" s="18" t="s">
        <v>131</v>
      </c>
      <c r="K231" s="3"/>
    </row>
    <row r="232" spans="1:11" ht="13.5" customHeight="1">
      <c r="A232" s="18"/>
      <c r="K232" s="3"/>
    </row>
    <row r="233" spans="1:11" ht="12.75">
      <c r="A233" s="19" t="s">
        <v>77</v>
      </c>
      <c r="B233" s="30" t="s">
        <v>75</v>
      </c>
      <c r="C233">
        <v>1999</v>
      </c>
      <c r="D233" s="104">
        <f>3602376/1936.27</f>
        <v>1860.471938314388</v>
      </c>
      <c r="E233" s="104">
        <v>0</v>
      </c>
      <c r="F233" s="104">
        <f aca="true" t="shared" si="29" ref="F233:F239">+D233+E233</f>
        <v>1860.471938314388</v>
      </c>
      <c r="G233" s="40">
        <v>5</v>
      </c>
      <c r="H233" s="104">
        <f aca="true" t="shared" si="30" ref="H233:H239">F233*G233/100</f>
        <v>93.0235969157194</v>
      </c>
      <c r="I233" s="104">
        <f>465.12+93.02</f>
        <v>558.14</v>
      </c>
      <c r="J233" s="104">
        <f aca="true" t="shared" si="31" ref="J233:J239">+H233+I233</f>
        <v>651.1635969157194</v>
      </c>
      <c r="K233" s="108">
        <f aca="true" t="shared" si="32" ref="K233:K239">+F233-J233</f>
        <v>1209.3083413986685</v>
      </c>
    </row>
    <row r="234" spans="1:11" ht="12.75">
      <c r="A234" s="19" t="s">
        <v>76</v>
      </c>
      <c r="B234" s="30" t="s">
        <v>75</v>
      </c>
      <c r="C234">
        <v>1999</v>
      </c>
      <c r="D234" s="104">
        <f>685912/1936.27</f>
        <v>354.2439845682679</v>
      </c>
      <c r="E234" s="104">
        <v>0</v>
      </c>
      <c r="F234" s="104">
        <f t="shared" si="29"/>
        <v>354.2439845682679</v>
      </c>
      <c r="G234" s="40">
        <v>5</v>
      </c>
      <c r="H234" s="104">
        <f t="shared" si="30"/>
        <v>17.712199228413393</v>
      </c>
      <c r="I234" s="104">
        <f>88.56+17.71</f>
        <v>106.27000000000001</v>
      </c>
      <c r="J234" s="104">
        <f t="shared" si="31"/>
        <v>123.9821992284134</v>
      </c>
      <c r="K234" s="108">
        <f t="shared" si="32"/>
        <v>230.26178533985447</v>
      </c>
    </row>
    <row r="235" spans="1:11" ht="12.75">
      <c r="A235" s="19" t="s">
        <v>78</v>
      </c>
      <c r="B235" s="30" t="s">
        <v>68</v>
      </c>
      <c r="C235">
        <v>1999</v>
      </c>
      <c r="D235" s="104">
        <f>1382400/1936.27</f>
        <v>713.9500173013062</v>
      </c>
      <c r="E235" s="104">
        <v>0</v>
      </c>
      <c r="F235" s="104">
        <f t="shared" si="29"/>
        <v>713.9500173013062</v>
      </c>
      <c r="G235" s="40">
        <v>5</v>
      </c>
      <c r="H235" s="104">
        <f t="shared" si="30"/>
        <v>35.69750086506531</v>
      </c>
      <c r="I235" s="104">
        <f>178.49+35.7</f>
        <v>214.19</v>
      </c>
      <c r="J235" s="104">
        <f t="shared" si="31"/>
        <v>249.8875008650653</v>
      </c>
      <c r="K235" s="108">
        <f t="shared" si="32"/>
        <v>464.06251643624086</v>
      </c>
    </row>
    <row r="236" spans="1:11" ht="12.75">
      <c r="A236" s="19" t="s">
        <v>79</v>
      </c>
      <c r="B236" s="30" t="s">
        <v>68</v>
      </c>
      <c r="C236">
        <v>1999</v>
      </c>
      <c r="D236" s="104">
        <f>2541600/1936.27</f>
        <v>1312.626854725839</v>
      </c>
      <c r="E236" s="104">
        <v>0</v>
      </c>
      <c r="F236" s="104">
        <f t="shared" si="29"/>
        <v>1312.626854725839</v>
      </c>
      <c r="G236" s="40">
        <v>5</v>
      </c>
      <c r="H236" s="104">
        <f t="shared" si="30"/>
        <v>65.63134273629194</v>
      </c>
      <c r="I236" s="104">
        <f>328.15+65.63</f>
        <v>393.78</v>
      </c>
      <c r="J236" s="104">
        <f t="shared" si="31"/>
        <v>459.4113427362919</v>
      </c>
      <c r="K236" s="108">
        <f t="shared" si="32"/>
        <v>853.215511989547</v>
      </c>
    </row>
    <row r="237" spans="1:11" ht="12.75">
      <c r="A237" s="19" t="s">
        <v>138</v>
      </c>
      <c r="B237" s="30" t="s">
        <v>68</v>
      </c>
      <c r="C237">
        <v>2000</v>
      </c>
      <c r="D237" s="104">
        <f>841200/1936.27</f>
        <v>434.44354351407605</v>
      </c>
      <c r="E237" s="104">
        <v>0</v>
      </c>
      <c r="F237" s="104">
        <f t="shared" si="29"/>
        <v>434.44354351407605</v>
      </c>
      <c r="G237" s="40">
        <v>5</v>
      </c>
      <c r="H237" s="104">
        <f t="shared" si="30"/>
        <v>21.722177175703802</v>
      </c>
      <c r="I237" s="104">
        <f>65.16+21.72</f>
        <v>86.88</v>
      </c>
      <c r="J237" s="104">
        <f t="shared" si="31"/>
        <v>108.6021771757038</v>
      </c>
      <c r="K237" s="108">
        <f t="shared" si="32"/>
        <v>325.84136633837227</v>
      </c>
    </row>
    <row r="238" spans="1:11" ht="12.75">
      <c r="A238" s="19" t="s">
        <v>139</v>
      </c>
      <c r="B238" s="30" t="s">
        <v>91</v>
      </c>
      <c r="C238">
        <v>2000</v>
      </c>
      <c r="D238" s="104">
        <f>3060000/1936.27</f>
        <v>1580.3581112138286</v>
      </c>
      <c r="E238" s="104">
        <v>0</v>
      </c>
      <c r="F238" s="104">
        <f t="shared" si="29"/>
        <v>1580.3581112138286</v>
      </c>
      <c r="G238" s="40">
        <v>5</v>
      </c>
      <c r="H238" s="104">
        <f t="shared" si="30"/>
        <v>79.01790556069143</v>
      </c>
      <c r="I238" s="104">
        <f>237.06+79.02</f>
        <v>316.08</v>
      </c>
      <c r="J238" s="104">
        <f t="shared" si="31"/>
        <v>395.0979055606914</v>
      </c>
      <c r="K238" s="108">
        <f t="shared" si="32"/>
        <v>1185.2602056531373</v>
      </c>
    </row>
    <row r="239" spans="1:11" ht="12.75">
      <c r="A239" s="19" t="s">
        <v>140</v>
      </c>
      <c r="B239" s="30" t="s">
        <v>91</v>
      </c>
      <c r="C239">
        <v>2000</v>
      </c>
      <c r="D239" s="104">
        <f>3146279/1936.27</f>
        <v>1624.9174960103705</v>
      </c>
      <c r="E239" s="104">
        <v>0</v>
      </c>
      <c r="F239" s="104">
        <f t="shared" si="29"/>
        <v>1624.9174960103705</v>
      </c>
      <c r="G239" s="40">
        <v>5</v>
      </c>
      <c r="H239" s="104">
        <f t="shared" si="30"/>
        <v>81.24587480051852</v>
      </c>
      <c r="I239" s="104">
        <f>309.87+103.29</f>
        <v>413.16</v>
      </c>
      <c r="J239" s="104">
        <f t="shared" si="31"/>
        <v>494.4058748005185</v>
      </c>
      <c r="K239" s="108">
        <f t="shared" si="32"/>
        <v>1130.511621209852</v>
      </c>
    </row>
    <row r="240" spans="1:11" ht="12.75">
      <c r="A240" s="19" t="s">
        <v>157</v>
      </c>
      <c r="B240" s="30" t="s">
        <v>99</v>
      </c>
      <c r="C240">
        <v>2000</v>
      </c>
      <c r="D240" s="104">
        <f>3615013/1936.27</f>
        <v>1866.9984041481819</v>
      </c>
      <c r="E240" s="104">
        <v>0</v>
      </c>
      <c r="F240" s="104">
        <f aca="true" t="shared" si="33" ref="F240:F247">+D240+E240</f>
        <v>1866.9984041481819</v>
      </c>
      <c r="G240" s="40">
        <v>5</v>
      </c>
      <c r="H240" s="104">
        <f aca="true" t="shared" si="34" ref="H240:H247">F240*G240/100</f>
        <v>93.34992020740908</v>
      </c>
      <c r="I240" s="104">
        <f>280.05+93.35</f>
        <v>373.4</v>
      </c>
      <c r="J240" s="104">
        <f aca="true" t="shared" si="35" ref="J240:J247">+H240+I240</f>
        <v>466.74992020740905</v>
      </c>
      <c r="K240" s="108">
        <f aca="true" t="shared" si="36" ref="K240:K247">+F240-J240</f>
        <v>1400.2484839407728</v>
      </c>
    </row>
    <row r="241" spans="1:11" ht="12.75">
      <c r="A241" s="76" t="s">
        <v>175</v>
      </c>
      <c r="B241" s="30" t="s">
        <v>99</v>
      </c>
      <c r="C241">
        <v>2001</v>
      </c>
      <c r="D241" s="104">
        <v>371.7</v>
      </c>
      <c r="E241" s="104">
        <v>0</v>
      </c>
      <c r="F241" s="104">
        <f t="shared" si="33"/>
        <v>371.7</v>
      </c>
      <c r="G241" s="40">
        <v>5</v>
      </c>
      <c r="H241" s="104">
        <f t="shared" si="34"/>
        <v>18.585</v>
      </c>
      <c r="I241" s="104">
        <f>18.59+18.59</f>
        <v>37.18</v>
      </c>
      <c r="J241" s="104">
        <f t="shared" si="35"/>
        <v>55.765</v>
      </c>
      <c r="K241" s="108">
        <f t="shared" si="36"/>
        <v>315.935</v>
      </c>
    </row>
    <row r="242" spans="1:11" ht="12.75">
      <c r="A242" s="76" t="s">
        <v>176</v>
      </c>
      <c r="B242" s="30" t="s">
        <v>99</v>
      </c>
      <c r="C242">
        <v>2001</v>
      </c>
      <c r="D242" s="104">
        <v>489.06</v>
      </c>
      <c r="E242" s="104">
        <v>0</v>
      </c>
      <c r="F242" s="104">
        <f t="shared" si="33"/>
        <v>489.06</v>
      </c>
      <c r="G242" s="40">
        <v>5</v>
      </c>
      <c r="H242" s="104">
        <f t="shared" si="34"/>
        <v>24.453000000000003</v>
      </c>
      <c r="I242" s="104">
        <f>24.45+24.45</f>
        <v>48.9</v>
      </c>
      <c r="J242" s="104">
        <f t="shared" si="35"/>
        <v>73.35300000000001</v>
      </c>
      <c r="K242" s="108">
        <f t="shared" si="36"/>
        <v>415.707</v>
      </c>
    </row>
    <row r="243" spans="1:11" ht="12.75">
      <c r="A243" s="76" t="s">
        <v>177</v>
      </c>
      <c r="B243" s="30" t="s">
        <v>68</v>
      </c>
      <c r="C243">
        <v>2001</v>
      </c>
      <c r="D243" s="104">
        <v>6564.62</v>
      </c>
      <c r="E243" s="109">
        <v>0</v>
      </c>
      <c r="F243" s="104">
        <f t="shared" si="33"/>
        <v>6564.62</v>
      </c>
      <c r="G243" s="40">
        <v>5</v>
      </c>
      <c r="H243" s="104">
        <f>(F243*G243/100)+202.35</f>
        <v>530.581</v>
      </c>
      <c r="I243" s="104">
        <f>328.23+328.23</f>
        <v>656.46</v>
      </c>
      <c r="J243" s="104">
        <f t="shared" si="35"/>
        <v>1187.0410000000002</v>
      </c>
      <c r="K243" s="108">
        <f t="shared" si="36"/>
        <v>5377.579</v>
      </c>
    </row>
    <row r="244" spans="1:11" ht="12.75">
      <c r="A244" s="76" t="s">
        <v>178</v>
      </c>
      <c r="B244" s="30" t="s">
        <v>68</v>
      </c>
      <c r="C244">
        <v>2001</v>
      </c>
      <c r="D244" s="104">
        <v>515.63</v>
      </c>
      <c r="E244" s="104">
        <v>0</v>
      </c>
      <c r="F244" s="104">
        <f t="shared" si="33"/>
        <v>515.63</v>
      </c>
      <c r="G244" s="40">
        <v>5</v>
      </c>
      <c r="H244" s="104">
        <f t="shared" si="34"/>
        <v>25.7815</v>
      </c>
      <c r="I244" s="104">
        <f>25.78+25.78</f>
        <v>51.56</v>
      </c>
      <c r="J244" s="104">
        <f t="shared" si="35"/>
        <v>77.3415</v>
      </c>
      <c r="K244" s="108">
        <f t="shared" si="36"/>
        <v>438.2885</v>
      </c>
    </row>
    <row r="245" spans="1:11" ht="12.75">
      <c r="A245" s="76" t="s">
        <v>179</v>
      </c>
      <c r="B245" s="30" t="s">
        <v>180</v>
      </c>
      <c r="C245">
        <v>2001</v>
      </c>
      <c r="D245" s="104">
        <v>10104.48</v>
      </c>
      <c r="E245" s="104">
        <v>0</v>
      </c>
      <c r="F245" s="104">
        <f t="shared" si="33"/>
        <v>10104.48</v>
      </c>
      <c r="G245" s="40">
        <v>5</v>
      </c>
      <c r="H245" s="104">
        <f>(F245*G245/100)+210.31</f>
        <v>715.5339999999999</v>
      </c>
      <c r="I245" s="104">
        <f>505.22+505.22</f>
        <v>1010.44</v>
      </c>
      <c r="J245" s="104">
        <f t="shared" si="35"/>
        <v>1725.974</v>
      </c>
      <c r="K245" s="108">
        <f t="shared" si="36"/>
        <v>8378.506</v>
      </c>
    </row>
    <row r="246" spans="1:11" ht="12.75">
      <c r="A246" s="76" t="s">
        <v>179</v>
      </c>
      <c r="B246" s="30" t="s">
        <v>180</v>
      </c>
      <c r="C246">
        <v>2001</v>
      </c>
      <c r="D246" s="104">
        <v>10440.18</v>
      </c>
      <c r="E246" s="104">
        <v>0</v>
      </c>
      <c r="F246" s="104">
        <f t="shared" si="33"/>
        <v>10440.18</v>
      </c>
      <c r="G246" s="40">
        <v>5</v>
      </c>
      <c r="H246" s="104">
        <f>(F246*G246/100)+275.69</f>
        <v>797.6990000000001</v>
      </c>
      <c r="I246" s="104">
        <f>522.01+522.01</f>
        <v>1044.02</v>
      </c>
      <c r="J246" s="104">
        <f t="shared" si="35"/>
        <v>1841.719</v>
      </c>
      <c r="K246" s="108">
        <f t="shared" si="36"/>
        <v>8598.461</v>
      </c>
    </row>
    <row r="247" spans="1:11" ht="12.75">
      <c r="A247" s="76" t="s">
        <v>181</v>
      </c>
      <c r="B247" s="30" t="s">
        <v>68</v>
      </c>
      <c r="C247">
        <v>2001</v>
      </c>
      <c r="D247" s="104">
        <v>2705.26</v>
      </c>
      <c r="E247" s="104">
        <v>0</v>
      </c>
      <c r="F247" s="104">
        <f t="shared" si="33"/>
        <v>2705.26</v>
      </c>
      <c r="G247" s="40">
        <v>5</v>
      </c>
      <c r="H247" s="104">
        <f t="shared" si="34"/>
        <v>135.263</v>
      </c>
      <c r="I247" s="104">
        <f>135.26+135.26</f>
        <v>270.52</v>
      </c>
      <c r="J247" s="104">
        <f t="shared" si="35"/>
        <v>405.783</v>
      </c>
      <c r="K247" s="108">
        <f t="shared" si="36"/>
        <v>2299.4770000000003</v>
      </c>
    </row>
    <row r="248" spans="1:11" ht="12.75">
      <c r="A248" s="76" t="s">
        <v>182</v>
      </c>
      <c r="B248" s="30" t="s">
        <v>159</v>
      </c>
      <c r="C248">
        <v>2001</v>
      </c>
      <c r="D248" s="104">
        <v>526.79</v>
      </c>
      <c r="E248" s="104">
        <v>0</v>
      </c>
      <c r="F248" s="104">
        <f>+D248+E248</f>
        <v>526.79</v>
      </c>
      <c r="G248" s="40">
        <v>5</v>
      </c>
      <c r="H248" s="104">
        <f aca="true" t="shared" si="37" ref="H248:H299">F248*G248/100</f>
        <v>26.339499999999997</v>
      </c>
      <c r="I248" s="104">
        <f>26.34+26.34</f>
        <v>52.68</v>
      </c>
      <c r="J248" s="104">
        <f aca="true" t="shared" si="38" ref="J248:J299">+H248+I248</f>
        <v>79.0195</v>
      </c>
      <c r="K248" s="108">
        <f aca="true" t="shared" si="39" ref="K248:K299">+F248-J248</f>
        <v>447.77049999999997</v>
      </c>
    </row>
    <row r="249" spans="1:11" s="63" customFormat="1" ht="12.75">
      <c r="A249" s="76" t="s">
        <v>193</v>
      </c>
      <c r="B249" s="113" t="s">
        <v>68</v>
      </c>
      <c r="C249" s="63">
        <v>2002</v>
      </c>
      <c r="D249" s="109">
        <v>4020</v>
      </c>
      <c r="E249" s="109">
        <v>0</v>
      </c>
      <c r="F249" s="109">
        <v>4020</v>
      </c>
      <c r="G249" s="71">
        <v>5</v>
      </c>
      <c r="H249" s="109">
        <f t="shared" si="37"/>
        <v>201</v>
      </c>
      <c r="I249" s="109">
        <f>201+201</f>
        <v>402</v>
      </c>
      <c r="J249" s="109">
        <f t="shared" si="38"/>
        <v>603</v>
      </c>
      <c r="K249" s="112">
        <f t="shared" si="39"/>
        <v>3417</v>
      </c>
    </row>
    <row r="250" spans="1:11" s="63" customFormat="1" ht="12.75">
      <c r="A250" s="76" t="s">
        <v>194</v>
      </c>
      <c r="B250" s="113" t="s">
        <v>68</v>
      </c>
      <c r="C250" s="63">
        <v>2002</v>
      </c>
      <c r="D250" s="109">
        <v>6993.05</v>
      </c>
      <c r="E250" s="109">
        <v>0</v>
      </c>
      <c r="F250" s="109">
        <v>6993.05</v>
      </c>
      <c r="G250" s="71">
        <v>5</v>
      </c>
      <c r="H250" s="109">
        <f t="shared" si="37"/>
        <v>349.6525</v>
      </c>
      <c r="I250" s="109">
        <f>349.65+349.65</f>
        <v>699.3</v>
      </c>
      <c r="J250" s="109">
        <f t="shared" si="38"/>
        <v>1048.9524999999999</v>
      </c>
      <c r="K250" s="112">
        <f t="shared" si="39"/>
        <v>5944.0975</v>
      </c>
    </row>
    <row r="251" spans="1:11" s="63" customFormat="1" ht="12.75">
      <c r="A251" s="76" t="s">
        <v>202</v>
      </c>
      <c r="B251" s="113" t="s">
        <v>68</v>
      </c>
      <c r="C251" s="63">
        <v>2002</v>
      </c>
      <c r="D251" s="109">
        <v>398.4</v>
      </c>
      <c r="E251" s="109">
        <v>0</v>
      </c>
      <c r="F251" s="109">
        <v>398.4</v>
      </c>
      <c r="G251" s="71">
        <v>5</v>
      </c>
      <c r="H251" s="109">
        <f t="shared" si="37"/>
        <v>19.92</v>
      </c>
      <c r="I251" s="109">
        <f>19.92+19.92</f>
        <v>39.84</v>
      </c>
      <c r="J251" s="109">
        <f t="shared" si="38"/>
        <v>59.760000000000005</v>
      </c>
      <c r="K251" s="112">
        <f t="shared" si="39"/>
        <v>338.64</v>
      </c>
    </row>
    <row r="252" spans="1:11" s="63" customFormat="1" ht="12.75">
      <c r="A252" s="76" t="s">
        <v>201</v>
      </c>
      <c r="B252" s="113" t="s">
        <v>68</v>
      </c>
      <c r="C252" s="63">
        <v>2002</v>
      </c>
      <c r="D252" s="109">
        <v>45387.07</v>
      </c>
      <c r="E252" s="109">
        <v>0</v>
      </c>
      <c r="F252" s="109">
        <v>45387.07</v>
      </c>
      <c r="G252" s="71">
        <v>5</v>
      </c>
      <c r="H252" s="109">
        <f t="shared" si="37"/>
        <v>2269.3535</v>
      </c>
      <c r="I252" s="109">
        <f>2269.35+2269.35</f>
        <v>4538.7</v>
      </c>
      <c r="J252" s="109">
        <f t="shared" si="38"/>
        <v>6808.0535</v>
      </c>
      <c r="K252" s="112">
        <f t="shared" si="39"/>
        <v>38579.0165</v>
      </c>
    </row>
    <row r="253" spans="1:11" s="63" customFormat="1" ht="12.75">
      <c r="A253" s="76" t="s">
        <v>195</v>
      </c>
      <c r="B253" s="113" t="s">
        <v>68</v>
      </c>
      <c r="C253" s="63">
        <v>2002</v>
      </c>
      <c r="D253" s="109">
        <v>5169.96</v>
      </c>
      <c r="E253" s="109">
        <v>0</v>
      </c>
      <c r="F253" s="109">
        <v>5169.96</v>
      </c>
      <c r="G253" s="71">
        <v>5</v>
      </c>
      <c r="H253" s="109">
        <f t="shared" si="37"/>
        <v>258.498</v>
      </c>
      <c r="I253" s="109">
        <f>258.5+258.5</f>
        <v>517</v>
      </c>
      <c r="J253" s="109">
        <f t="shared" si="38"/>
        <v>775.498</v>
      </c>
      <c r="K253" s="112">
        <f t="shared" si="39"/>
        <v>4394.4619999999995</v>
      </c>
    </row>
    <row r="254" spans="1:11" s="63" customFormat="1" ht="12.75">
      <c r="A254" s="76" t="s">
        <v>196</v>
      </c>
      <c r="B254" s="113" t="s">
        <v>180</v>
      </c>
      <c r="C254" s="63">
        <v>2002</v>
      </c>
      <c r="D254" s="109">
        <v>8950</v>
      </c>
      <c r="E254" s="109">
        <v>0</v>
      </c>
      <c r="F254" s="109">
        <v>8950</v>
      </c>
      <c r="G254" s="71">
        <v>5</v>
      </c>
      <c r="H254" s="109">
        <f t="shared" si="37"/>
        <v>447.5</v>
      </c>
      <c r="I254" s="109">
        <f>447.5+447.5</f>
        <v>895</v>
      </c>
      <c r="J254" s="109">
        <f t="shared" si="38"/>
        <v>1342.5</v>
      </c>
      <c r="K254" s="112">
        <f t="shared" si="39"/>
        <v>7607.5</v>
      </c>
    </row>
    <row r="255" spans="1:11" s="63" customFormat="1" ht="12.75">
      <c r="A255" s="76" t="s">
        <v>200</v>
      </c>
      <c r="B255" s="113" t="s">
        <v>68</v>
      </c>
      <c r="C255" s="63">
        <v>2002</v>
      </c>
      <c r="D255" s="109">
        <v>3948</v>
      </c>
      <c r="E255" s="109">
        <v>0</v>
      </c>
      <c r="F255" s="109">
        <v>3948</v>
      </c>
      <c r="G255" s="71">
        <v>5</v>
      </c>
      <c r="H255" s="109">
        <f t="shared" si="37"/>
        <v>197.4</v>
      </c>
      <c r="I255" s="109">
        <f>197.4+197.4</f>
        <v>394.8</v>
      </c>
      <c r="J255" s="109">
        <f t="shared" si="38"/>
        <v>592.2</v>
      </c>
      <c r="K255" s="112">
        <f t="shared" si="39"/>
        <v>3355.8</v>
      </c>
    </row>
    <row r="256" spans="1:11" s="63" customFormat="1" ht="12.75">
      <c r="A256" s="76" t="s">
        <v>197</v>
      </c>
      <c r="B256" s="113" t="s">
        <v>180</v>
      </c>
      <c r="C256" s="63">
        <v>2002</v>
      </c>
      <c r="D256" s="109">
        <v>1153</v>
      </c>
      <c r="E256" s="109">
        <v>0</v>
      </c>
      <c r="F256" s="109">
        <v>1153</v>
      </c>
      <c r="G256" s="71">
        <v>5</v>
      </c>
      <c r="H256" s="109">
        <f t="shared" si="37"/>
        <v>57.65</v>
      </c>
      <c r="I256" s="109">
        <f>57.65+57.65</f>
        <v>115.3</v>
      </c>
      <c r="J256" s="109">
        <f t="shared" si="38"/>
        <v>172.95</v>
      </c>
      <c r="K256" s="112">
        <f t="shared" si="39"/>
        <v>980.05</v>
      </c>
    </row>
    <row r="257" spans="1:11" s="63" customFormat="1" ht="12.75">
      <c r="A257" s="76" t="s">
        <v>198</v>
      </c>
      <c r="B257" s="113" t="s">
        <v>68</v>
      </c>
      <c r="C257" s="63">
        <v>2002</v>
      </c>
      <c r="D257" s="109">
        <v>3891.19</v>
      </c>
      <c r="E257" s="109">
        <v>0</v>
      </c>
      <c r="F257" s="109">
        <v>3891.19</v>
      </c>
      <c r="G257" s="71">
        <v>5</v>
      </c>
      <c r="H257" s="109">
        <f t="shared" si="37"/>
        <v>194.5595</v>
      </c>
      <c r="I257" s="109">
        <f>194.56+194.56</f>
        <v>389.12</v>
      </c>
      <c r="J257" s="109">
        <f t="shared" si="38"/>
        <v>583.6795</v>
      </c>
      <c r="K257" s="112">
        <f t="shared" si="39"/>
        <v>3307.5105000000003</v>
      </c>
    </row>
    <row r="258" spans="1:11" s="63" customFormat="1" ht="12.75">
      <c r="A258" s="76" t="s">
        <v>199</v>
      </c>
      <c r="B258" s="113" t="s">
        <v>68</v>
      </c>
      <c r="C258" s="63">
        <v>2002</v>
      </c>
      <c r="D258" s="109">
        <v>438</v>
      </c>
      <c r="E258" s="109">
        <v>0</v>
      </c>
      <c r="F258" s="109">
        <v>438</v>
      </c>
      <c r="G258" s="71">
        <v>5</v>
      </c>
      <c r="H258" s="109">
        <f t="shared" si="37"/>
        <v>21.9</v>
      </c>
      <c r="I258" s="109">
        <f>21.9+21.9</f>
        <v>43.8</v>
      </c>
      <c r="J258" s="109">
        <f t="shared" si="38"/>
        <v>65.69999999999999</v>
      </c>
      <c r="K258" s="112">
        <f t="shared" si="39"/>
        <v>372.3</v>
      </c>
    </row>
    <row r="259" spans="1:11" s="63" customFormat="1" ht="12.75">
      <c r="A259" s="76" t="s">
        <v>201</v>
      </c>
      <c r="B259" s="113" t="s">
        <v>68</v>
      </c>
      <c r="C259" s="63">
        <v>2002</v>
      </c>
      <c r="D259" s="109">
        <v>58223.23</v>
      </c>
      <c r="E259" s="109">
        <v>0</v>
      </c>
      <c r="F259" s="109">
        <v>58223.23</v>
      </c>
      <c r="G259" s="71">
        <v>5</v>
      </c>
      <c r="H259" s="109">
        <f>(F259*G259/100)+22.05</f>
        <v>2933.2115000000003</v>
      </c>
      <c r="I259" s="109">
        <f>2911.16+2911.16+2911.16</f>
        <v>8733.48</v>
      </c>
      <c r="J259" s="109">
        <f>+H259+I259-71.65</f>
        <v>11595.041500000001</v>
      </c>
      <c r="K259" s="112">
        <f t="shared" si="39"/>
        <v>46628.188500000004</v>
      </c>
    </row>
    <row r="260" spans="1:11" s="63" customFormat="1" ht="12.75">
      <c r="A260" s="76" t="s">
        <v>201</v>
      </c>
      <c r="B260" s="113" t="s">
        <v>68</v>
      </c>
      <c r="C260" s="63">
        <v>2002</v>
      </c>
      <c r="D260" s="109">
        <v>5137.34</v>
      </c>
      <c r="E260" s="109">
        <v>0</v>
      </c>
      <c r="F260" s="109">
        <v>5137.34</v>
      </c>
      <c r="G260" s="71">
        <v>5</v>
      </c>
      <c r="H260" s="109">
        <f t="shared" si="37"/>
        <v>256.867</v>
      </c>
      <c r="I260" s="109">
        <f>256.87+256.87</f>
        <v>513.74</v>
      </c>
      <c r="J260" s="109">
        <f t="shared" si="38"/>
        <v>770.607</v>
      </c>
      <c r="K260" s="112">
        <f t="shared" si="39"/>
        <v>4366.733</v>
      </c>
    </row>
    <row r="261" spans="1:11" s="63" customFormat="1" ht="12.75">
      <c r="A261" s="76" t="s">
        <v>243</v>
      </c>
      <c r="B261" s="113" t="s">
        <v>68</v>
      </c>
      <c r="C261" s="63">
        <v>2003</v>
      </c>
      <c r="D261" s="127">
        <v>146.4</v>
      </c>
      <c r="E261" s="109">
        <v>0</v>
      </c>
      <c r="F261" s="109">
        <v>146.4</v>
      </c>
      <c r="G261" s="71">
        <v>5</v>
      </c>
      <c r="H261" s="109">
        <f t="shared" si="37"/>
        <v>7.32</v>
      </c>
      <c r="I261" s="109">
        <v>7.32</v>
      </c>
      <c r="J261" s="109">
        <f t="shared" si="38"/>
        <v>14.64</v>
      </c>
      <c r="K261" s="112">
        <f t="shared" si="39"/>
        <v>131.76</v>
      </c>
    </row>
    <row r="262" spans="1:11" s="63" customFormat="1" ht="12.75">
      <c r="A262" s="76" t="s">
        <v>244</v>
      </c>
      <c r="B262" s="113" t="s">
        <v>68</v>
      </c>
      <c r="C262" s="63">
        <v>2003</v>
      </c>
      <c r="D262" s="109">
        <v>1573</v>
      </c>
      <c r="E262" s="109">
        <v>0</v>
      </c>
      <c r="F262" s="109">
        <v>1573</v>
      </c>
      <c r="G262" s="71">
        <v>5</v>
      </c>
      <c r="H262" s="109">
        <f t="shared" si="37"/>
        <v>78.65</v>
      </c>
      <c r="I262" s="109">
        <v>78.65</v>
      </c>
      <c r="J262" s="109">
        <f t="shared" si="38"/>
        <v>157.3</v>
      </c>
      <c r="K262" s="112">
        <f t="shared" si="39"/>
        <v>1415.7</v>
      </c>
    </row>
    <row r="263" spans="1:11" s="63" customFormat="1" ht="12.75">
      <c r="A263" s="76" t="s">
        <v>245</v>
      </c>
      <c r="B263" s="113" t="s">
        <v>68</v>
      </c>
      <c r="C263" s="63">
        <v>2003</v>
      </c>
      <c r="D263" s="109">
        <v>345.6</v>
      </c>
      <c r="E263" s="109">
        <v>0</v>
      </c>
      <c r="F263" s="109">
        <v>345.6</v>
      </c>
      <c r="G263" s="71">
        <v>5</v>
      </c>
      <c r="H263" s="109">
        <f t="shared" si="37"/>
        <v>17.28</v>
      </c>
      <c r="I263" s="109">
        <v>17.28</v>
      </c>
      <c r="J263" s="109">
        <f t="shared" si="38"/>
        <v>34.56</v>
      </c>
      <c r="K263" s="112">
        <f t="shared" si="39"/>
        <v>311.04</v>
      </c>
    </row>
    <row r="264" spans="1:11" s="63" customFormat="1" ht="12.75">
      <c r="A264" s="76" t="s">
        <v>246</v>
      </c>
      <c r="B264" s="113" t="s">
        <v>68</v>
      </c>
      <c r="C264" s="63">
        <v>2003</v>
      </c>
      <c r="D264" s="109">
        <v>3348</v>
      </c>
      <c r="E264" s="109">
        <v>0</v>
      </c>
      <c r="F264" s="109">
        <v>3348</v>
      </c>
      <c r="G264" s="71">
        <v>5</v>
      </c>
      <c r="H264" s="109">
        <f t="shared" si="37"/>
        <v>167.4</v>
      </c>
      <c r="I264" s="109">
        <v>167.4</v>
      </c>
      <c r="J264" s="109">
        <f t="shared" si="38"/>
        <v>334.8</v>
      </c>
      <c r="K264" s="112">
        <f t="shared" si="39"/>
        <v>3013.2</v>
      </c>
    </row>
    <row r="265" spans="1:11" s="63" customFormat="1" ht="12.75">
      <c r="A265" s="76" t="s">
        <v>247</v>
      </c>
      <c r="B265" s="113" t="s">
        <v>249</v>
      </c>
      <c r="C265" s="63">
        <v>2003</v>
      </c>
      <c r="D265" s="109">
        <v>3720.91</v>
      </c>
      <c r="E265" s="109">
        <v>0</v>
      </c>
      <c r="F265" s="109">
        <v>3720.91</v>
      </c>
      <c r="G265" s="71">
        <v>5</v>
      </c>
      <c r="H265" s="109">
        <f t="shared" si="37"/>
        <v>186.0455</v>
      </c>
      <c r="I265" s="109">
        <v>0</v>
      </c>
      <c r="J265" s="109">
        <f t="shared" si="38"/>
        <v>186.0455</v>
      </c>
      <c r="K265" s="112">
        <f t="shared" si="39"/>
        <v>3534.8644999999997</v>
      </c>
    </row>
    <row r="266" spans="1:11" s="63" customFormat="1" ht="12.75">
      <c r="A266" s="76" t="s">
        <v>248</v>
      </c>
      <c r="B266" s="113" t="s">
        <v>249</v>
      </c>
      <c r="C266" s="63">
        <v>2003</v>
      </c>
      <c r="D266" s="109">
        <v>1432.44</v>
      </c>
      <c r="E266" s="109">
        <v>0</v>
      </c>
      <c r="F266" s="109">
        <v>1432.44</v>
      </c>
      <c r="G266" s="71">
        <v>5</v>
      </c>
      <c r="H266" s="109">
        <f t="shared" si="37"/>
        <v>71.62200000000001</v>
      </c>
      <c r="I266" s="109">
        <v>0</v>
      </c>
      <c r="J266" s="109">
        <f t="shared" si="38"/>
        <v>71.62200000000001</v>
      </c>
      <c r="K266" s="112">
        <f t="shared" si="39"/>
        <v>1360.818</v>
      </c>
    </row>
    <row r="267" spans="1:11" s="63" customFormat="1" ht="12.75">
      <c r="A267" s="76" t="s">
        <v>250</v>
      </c>
      <c r="B267" s="113" t="s">
        <v>249</v>
      </c>
      <c r="C267" s="63">
        <v>2003</v>
      </c>
      <c r="D267" s="109">
        <v>846.78</v>
      </c>
      <c r="E267" s="109">
        <v>0</v>
      </c>
      <c r="F267" s="109">
        <v>846.78</v>
      </c>
      <c r="G267" s="71">
        <v>5</v>
      </c>
      <c r="H267" s="109">
        <f t="shared" si="37"/>
        <v>42.339</v>
      </c>
      <c r="I267" s="109">
        <v>0</v>
      </c>
      <c r="J267" s="109">
        <f t="shared" si="38"/>
        <v>42.339</v>
      </c>
      <c r="K267" s="112">
        <f t="shared" si="39"/>
        <v>804.441</v>
      </c>
    </row>
    <row r="268" spans="1:11" s="63" customFormat="1" ht="12.75">
      <c r="A268" s="76" t="s">
        <v>252</v>
      </c>
      <c r="B268" s="113" t="s">
        <v>68</v>
      </c>
      <c r="C268" s="63">
        <v>2003</v>
      </c>
      <c r="D268" s="109">
        <v>816</v>
      </c>
      <c r="E268" s="109">
        <v>0</v>
      </c>
      <c r="F268" s="109">
        <v>816</v>
      </c>
      <c r="G268" s="71">
        <v>5</v>
      </c>
      <c r="H268" s="109">
        <f t="shared" si="37"/>
        <v>40.8</v>
      </c>
      <c r="I268" s="109">
        <v>40.8</v>
      </c>
      <c r="J268" s="109">
        <f t="shared" si="38"/>
        <v>81.6</v>
      </c>
      <c r="K268" s="112">
        <f t="shared" si="39"/>
        <v>734.4</v>
      </c>
    </row>
    <row r="269" spans="1:11" s="63" customFormat="1" ht="12.75">
      <c r="A269" s="76" t="s">
        <v>296</v>
      </c>
      <c r="B269" s="113" t="s">
        <v>249</v>
      </c>
      <c r="C269" s="63">
        <v>2003</v>
      </c>
      <c r="D269" s="109">
        <v>3151.5</v>
      </c>
      <c r="E269" s="109">
        <v>0</v>
      </c>
      <c r="F269" s="109">
        <v>3151.5</v>
      </c>
      <c r="G269" s="71">
        <v>5</v>
      </c>
      <c r="H269" s="109">
        <f t="shared" si="37"/>
        <v>157.575</v>
      </c>
      <c r="I269" s="109">
        <v>0</v>
      </c>
      <c r="J269" s="109">
        <f t="shared" si="38"/>
        <v>157.575</v>
      </c>
      <c r="K269" s="112">
        <f t="shared" si="39"/>
        <v>2993.925</v>
      </c>
    </row>
    <row r="270" spans="1:11" s="63" customFormat="1" ht="12.75">
      <c r="A270" s="76" t="s">
        <v>345</v>
      </c>
      <c r="B270" s="113" t="s">
        <v>249</v>
      </c>
      <c r="C270" s="63">
        <v>2004</v>
      </c>
      <c r="D270" s="109">
        <v>2496</v>
      </c>
      <c r="E270" s="109">
        <v>0</v>
      </c>
      <c r="F270" s="109">
        <v>2496</v>
      </c>
      <c r="G270" s="71">
        <v>5</v>
      </c>
      <c r="H270" s="109">
        <f t="shared" si="37"/>
        <v>124.8</v>
      </c>
      <c r="I270" s="109">
        <v>0</v>
      </c>
      <c r="J270" s="109">
        <f>+H270+I270+0.01</f>
        <v>124.81</v>
      </c>
      <c r="K270" s="112">
        <f t="shared" si="39"/>
        <v>2371.19</v>
      </c>
    </row>
    <row r="271" spans="1:11" s="63" customFormat="1" ht="12.75">
      <c r="A271" s="76" t="s">
        <v>346</v>
      </c>
      <c r="B271" s="113" t="s">
        <v>68</v>
      </c>
      <c r="C271" s="63">
        <v>2004</v>
      </c>
      <c r="D271" s="109">
        <v>4120.2</v>
      </c>
      <c r="E271" s="109">
        <v>0</v>
      </c>
      <c r="F271" s="109">
        <v>4120.2</v>
      </c>
      <c r="G271" s="71">
        <v>5</v>
      </c>
      <c r="H271" s="109">
        <f t="shared" si="37"/>
        <v>206.01</v>
      </c>
      <c r="I271" s="109">
        <v>0</v>
      </c>
      <c r="J271" s="109">
        <f t="shared" si="38"/>
        <v>206.01</v>
      </c>
      <c r="K271" s="112">
        <f t="shared" si="39"/>
        <v>3914.1899999999996</v>
      </c>
    </row>
    <row r="272" spans="1:11" s="63" customFormat="1" ht="12.75">
      <c r="A272" s="76" t="s">
        <v>347</v>
      </c>
      <c r="B272" s="113" t="s">
        <v>249</v>
      </c>
      <c r="C272" s="63">
        <v>2004</v>
      </c>
      <c r="D272" s="109">
        <v>2827.2</v>
      </c>
      <c r="E272" s="109">
        <v>0</v>
      </c>
      <c r="F272" s="109">
        <v>2827.2</v>
      </c>
      <c r="G272" s="71">
        <v>5</v>
      </c>
      <c r="H272" s="109">
        <f t="shared" si="37"/>
        <v>141.36</v>
      </c>
      <c r="I272" s="109">
        <v>0</v>
      </c>
      <c r="J272" s="109">
        <f t="shared" si="38"/>
        <v>141.36</v>
      </c>
      <c r="K272" s="112">
        <f t="shared" si="39"/>
        <v>2685.8399999999997</v>
      </c>
    </row>
    <row r="273" spans="1:11" s="63" customFormat="1" ht="12.75">
      <c r="A273" s="76" t="s">
        <v>348</v>
      </c>
      <c r="B273" s="113" t="s">
        <v>68</v>
      </c>
      <c r="C273" s="63">
        <v>2004</v>
      </c>
      <c r="D273" s="109">
        <v>294</v>
      </c>
      <c r="E273" s="109">
        <v>0</v>
      </c>
      <c r="F273" s="109">
        <v>294</v>
      </c>
      <c r="G273" s="71">
        <v>5</v>
      </c>
      <c r="H273" s="109">
        <f t="shared" si="37"/>
        <v>14.7</v>
      </c>
      <c r="I273" s="109">
        <v>0</v>
      </c>
      <c r="J273" s="109">
        <f t="shared" si="38"/>
        <v>14.7</v>
      </c>
      <c r="K273" s="112">
        <f t="shared" si="39"/>
        <v>279.3</v>
      </c>
    </row>
    <row r="274" spans="1:11" s="63" customFormat="1" ht="12.75">
      <c r="A274" s="76" t="s">
        <v>349</v>
      </c>
      <c r="B274" s="113" t="s">
        <v>68</v>
      </c>
      <c r="C274" s="63">
        <v>2004</v>
      </c>
      <c r="D274" s="109">
        <v>846</v>
      </c>
      <c r="E274" s="109">
        <v>0</v>
      </c>
      <c r="F274" s="109">
        <v>846</v>
      </c>
      <c r="G274" s="71">
        <v>5</v>
      </c>
      <c r="H274" s="109">
        <f t="shared" si="37"/>
        <v>42.3</v>
      </c>
      <c r="I274" s="109">
        <v>0</v>
      </c>
      <c r="J274" s="109">
        <f t="shared" si="38"/>
        <v>42.3</v>
      </c>
      <c r="K274" s="112">
        <f t="shared" si="39"/>
        <v>803.7</v>
      </c>
    </row>
    <row r="275" spans="1:11" s="63" customFormat="1" ht="12.75">
      <c r="A275" s="76" t="s">
        <v>350</v>
      </c>
      <c r="B275" s="113" t="s">
        <v>234</v>
      </c>
      <c r="C275" s="63">
        <v>2004</v>
      </c>
      <c r="D275" s="109">
        <v>2724</v>
      </c>
      <c r="E275" s="109">
        <v>0</v>
      </c>
      <c r="F275" s="109">
        <v>2724</v>
      </c>
      <c r="G275" s="71">
        <v>5</v>
      </c>
      <c r="H275" s="109">
        <f t="shared" si="37"/>
        <v>136.2</v>
      </c>
      <c r="I275" s="109">
        <v>0</v>
      </c>
      <c r="J275" s="109">
        <f t="shared" si="38"/>
        <v>136.2</v>
      </c>
      <c r="K275" s="112">
        <f t="shared" si="39"/>
        <v>2587.8</v>
      </c>
    </row>
    <row r="276" spans="1:11" s="63" customFormat="1" ht="12.75">
      <c r="A276" s="76" t="s">
        <v>351</v>
      </c>
      <c r="B276" s="113" t="s">
        <v>68</v>
      </c>
      <c r="C276" s="63">
        <v>2004</v>
      </c>
      <c r="D276" s="109">
        <v>1054.8</v>
      </c>
      <c r="E276" s="109">
        <v>0</v>
      </c>
      <c r="F276" s="109">
        <v>1054.8</v>
      </c>
      <c r="G276" s="71">
        <v>5</v>
      </c>
      <c r="H276" s="109">
        <f t="shared" si="37"/>
        <v>52.74</v>
      </c>
      <c r="I276" s="109">
        <v>0</v>
      </c>
      <c r="J276" s="109">
        <f t="shared" si="38"/>
        <v>52.74</v>
      </c>
      <c r="K276" s="112">
        <f t="shared" si="39"/>
        <v>1002.06</v>
      </c>
    </row>
    <row r="277" spans="1:11" s="63" customFormat="1" ht="12.75">
      <c r="A277" s="76" t="s">
        <v>352</v>
      </c>
      <c r="B277" s="113" t="s">
        <v>223</v>
      </c>
      <c r="C277" s="63">
        <v>2004</v>
      </c>
      <c r="D277" s="109">
        <v>262.6</v>
      </c>
      <c r="E277" s="109">
        <v>0</v>
      </c>
      <c r="F277" s="109">
        <v>262.6</v>
      </c>
      <c r="G277" s="71">
        <v>5</v>
      </c>
      <c r="H277" s="109">
        <f t="shared" si="37"/>
        <v>13.13</v>
      </c>
      <c r="I277" s="109">
        <v>0</v>
      </c>
      <c r="J277" s="109">
        <f t="shared" si="38"/>
        <v>13.13</v>
      </c>
      <c r="K277" s="112">
        <f t="shared" si="39"/>
        <v>249.47000000000003</v>
      </c>
    </row>
    <row r="278" spans="1:11" s="63" customFormat="1" ht="12.75">
      <c r="A278" s="76" t="s">
        <v>465</v>
      </c>
      <c r="B278" s="113" t="s">
        <v>316</v>
      </c>
      <c r="C278" s="63">
        <v>2005</v>
      </c>
      <c r="D278" s="109">
        <v>0</v>
      </c>
      <c r="E278" s="109">
        <v>1072.8</v>
      </c>
      <c r="F278" s="109">
        <v>1072.8</v>
      </c>
      <c r="G278" s="71">
        <v>5</v>
      </c>
      <c r="H278" s="109">
        <f t="shared" si="37"/>
        <v>53.64</v>
      </c>
      <c r="I278" s="109">
        <v>0</v>
      </c>
      <c r="J278" s="109">
        <f t="shared" si="38"/>
        <v>53.64</v>
      </c>
      <c r="K278" s="112">
        <f t="shared" si="39"/>
        <v>1019.16</v>
      </c>
    </row>
    <row r="279" spans="1:11" s="63" customFormat="1" ht="12.75">
      <c r="A279" s="76" t="s">
        <v>470</v>
      </c>
      <c r="B279" s="113" t="s">
        <v>231</v>
      </c>
      <c r="C279" s="63">
        <v>2005</v>
      </c>
      <c r="D279" s="109">
        <v>0</v>
      </c>
      <c r="E279" s="109">
        <v>15948.07</v>
      </c>
      <c r="F279" s="109">
        <v>15948.07</v>
      </c>
      <c r="G279" s="71">
        <v>5</v>
      </c>
      <c r="H279" s="109">
        <f t="shared" si="37"/>
        <v>797.4035</v>
      </c>
      <c r="I279" s="109">
        <v>0</v>
      </c>
      <c r="J279" s="109">
        <f t="shared" si="38"/>
        <v>797.4035</v>
      </c>
      <c r="K279" s="112">
        <f t="shared" si="39"/>
        <v>15150.6665</v>
      </c>
    </row>
    <row r="280" spans="1:11" s="63" customFormat="1" ht="12.75">
      <c r="A280" s="76" t="s">
        <v>466</v>
      </c>
      <c r="B280" s="113" t="s">
        <v>231</v>
      </c>
      <c r="C280" s="63">
        <v>2005</v>
      </c>
      <c r="D280" s="109">
        <v>0</v>
      </c>
      <c r="E280" s="109">
        <v>1213.67</v>
      </c>
      <c r="F280" s="109">
        <v>1213.67</v>
      </c>
      <c r="G280" s="71">
        <v>5</v>
      </c>
      <c r="H280" s="109">
        <f t="shared" si="37"/>
        <v>60.6835</v>
      </c>
      <c r="I280" s="109">
        <v>0</v>
      </c>
      <c r="J280" s="109">
        <f t="shared" si="38"/>
        <v>60.6835</v>
      </c>
      <c r="K280" s="112">
        <f t="shared" si="39"/>
        <v>1152.9865</v>
      </c>
    </row>
    <row r="281" spans="1:11" s="63" customFormat="1" ht="12.75">
      <c r="A281" s="76" t="s">
        <v>467</v>
      </c>
      <c r="B281" s="113" t="s">
        <v>316</v>
      </c>
      <c r="C281" s="63">
        <v>2005</v>
      </c>
      <c r="D281" s="109">
        <v>0</v>
      </c>
      <c r="E281" s="109">
        <v>539.76</v>
      </c>
      <c r="F281" s="109">
        <v>539.76</v>
      </c>
      <c r="G281" s="71">
        <v>5</v>
      </c>
      <c r="H281" s="109">
        <f t="shared" si="37"/>
        <v>26.988000000000003</v>
      </c>
      <c r="I281" s="109">
        <v>0</v>
      </c>
      <c r="J281" s="109">
        <f t="shared" si="38"/>
        <v>26.988000000000003</v>
      </c>
      <c r="K281" s="112">
        <f t="shared" si="39"/>
        <v>512.7719999999999</v>
      </c>
    </row>
    <row r="282" spans="1:11" s="63" customFormat="1" ht="12.75">
      <c r="A282" s="76" t="s">
        <v>468</v>
      </c>
      <c r="B282" s="113" t="s">
        <v>231</v>
      </c>
      <c r="C282" s="63">
        <v>2005</v>
      </c>
      <c r="D282" s="109">
        <v>0</v>
      </c>
      <c r="E282" s="109">
        <v>1392</v>
      </c>
      <c r="F282" s="109">
        <v>1392</v>
      </c>
      <c r="G282" s="71">
        <v>5</v>
      </c>
      <c r="H282" s="109">
        <f t="shared" si="37"/>
        <v>69.6</v>
      </c>
      <c r="I282" s="109">
        <v>0</v>
      </c>
      <c r="J282" s="109">
        <f t="shared" si="38"/>
        <v>69.6</v>
      </c>
      <c r="K282" s="112">
        <f t="shared" si="39"/>
        <v>1322.4</v>
      </c>
    </row>
    <row r="283" spans="1:11" s="63" customFormat="1" ht="12.75">
      <c r="A283" s="76" t="s">
        <v>469</v>
      </c>
      <c r="B283" s="113" t="s">
        <v>231</v>
      </c>
      <c r="C283" s="63">
        <v>2005</v>
      </c>
      <c r="D283" s="109">
        <v>0</v>
      </c>
      <c r="E283" s="109">
        <v>205.64</v>
      </c>
      <c r="F283" s="109">
        <v>205.64</v>
      </c>
      <c r="G283" s="71">
        <v>5</v>
      </c>
      <c r="H283" s="109">
        <f t="shared" si="37"/>
        <v>10.281999999999998</v>
      </c>
      <c r="I283" s="109">
        <v>0</v>
      </c>
      <c r="J283" s="109">
        <f t="shared" si="38"/>
        <v>10.281999999999998</v>
      </c>
      <c r="K283" s="112">
        <f t="shared" si="39"/>
        <v>195.35799999999998</v>
      </c>
    </row>
    <row r="284" spans="1:11" s="63" customFormat="1" ht="12.75">
      <c r="A284" s="76" t="s">
        <v>470</v>
      </c>
      <c r="B284" s="113" t="s">
        <v>231</v>
      </c>
      <c r="C284" s="63">
        <v>2005</v>
      </c>
      <c r="D284" s="109">
        <v>0</v>
      </c>
      <c r="E284" s="109">
        <v>10796.16</v>
      </c>
      <c r="F284" s="109">
        <v>10796.16</v>
      </c>
      <c r="G284" s="71">
        <v>5</v>
      </c>
      <c r="H284" s="109">
        <f t="shared" si="37"/>
        <v>539.808</v>
      </c>
      <c r="I284" s="109">
        <v>0</v>
      </c>
      <c r="J284" s="109">
        <f t="shared" si="38"/>
        <v>539.808</v>
      </c>
      <c r="K284" s="112">
        <f t="shared" si="39"/>
        <v>10256.351999999999</v>
      </c>
    </row>
    <row r="285" spans="1:11" s="63" customFormat="1" ht="12.75">
      <c r="A285" s="76" t="s">
        <v>471</v>
      </c>
      <c r="B285" s="113" t="s">
        <v>323</v>
      </c>
      <c r="C285" s="63">
        <v>2005</v>
      </c>
      <c r="D285" s="109">
        <v>0</v>
      </c>
      <c r="E285" s="109">
        <v>102</v>
      </c>
      <c r="F285" s="109">
        <v>102</v>
      </c>
      <c r="G285" s="71">
        <v>100</v>
      </c>
      <c r="H285" s="109">
        <f t="shared" si="37"/>
        <v>102</v>
      </c>
      <c r="I285" s="109">
        <v>0</v>
      </c>
      <c r="J285" s="109">
        <f t="shared" si="38"/>
        <v>102</v>
      </c>
      <c r="K285" s="112">
        <f t="shared" si="39"/>
        <v>0</v>
      </c>
    </row>
    <row r="286" spans="1:11" s="63" customFormat="1" ht="12.75">
      <c r="A286" s="76" t="s">
        <v>352</v>
      </c>
      <c r="B286" s="113" t="s">
        <v>427</v>
      </c>
      <c r="C286" s="63">
        <v>2005</v>
      </c>
      <c r="D286" s="109">
        <v>0</v>
      </c>
      <c r="E286" s="109">
        <v>376.2</v>
      </c>
      <c r="F286" s="109">
        <v>376.2</v>
      </c>
      <c r="G286" s="71">
        <v>5</v>
      </c>
      <c r="H286" s="109">
        <f t="shared" si="37"/>
        <v>18.81</v>
      </c>
      <c r="I286" s="109">
        <v>0</v>
      </c>
      <c r="J286" s="109">
        <f t="shared" si="38"/>
        <v>18.81</v>
      </c>
      <c r="K286" s="112">
        <f t="shared" si="39"/>
        <v>357.39</v>
      </c>
    </row>
    <row r="287" spans="1:11" s="63" customFormat="1" ht="12.75">
      <c r="A287" s="76" t="s">
        <v>472</v>
      </c>
      <c r="B287" s="113" t="s">
        <v>249</v>
      </c>
      <c r="C287" s="63">
        <v>2005</v>
      </c>
      <c r="D287" s="109">
        <v>0</v>
      </c>
      <c r="E287" s="109">
        <v>108.25</v>
      </c>
      <c r="F287" s="109">
        <v>108.25</v>
      </c>
      <c r="G287" s="71">
        <v>100</v>
      </c>
      <c r="H287" s="109">
        <f t="shared" si="37"/>
        <v>108.25</v>
      </c>
      <c r="I287" s="109">
        <v>0</v>
      </c>
      <c r="J287" s="109">
        <f t="shared" si="38"/>
        <v>108.25</v>
      </c>
      <c r="K287" s="112">
        <f t="shared" si="39"/>
        <v>0</v>
      </c>
    </row>
    <row r="288" spans="1:11" s="63" customFormat="1" ht="12.75">
      <c r="A288" s="76" t="s">
        <v>473</v>
      </c>
      <c r="B288" s="113" t="s">
        <v>316</v>
      </c>
      <c r="C288" s="63">
        <v>2005</v>
      </c>
      <c r="D288" s="109">
        <v>0</v>
      </c>
      <c r="E288" s="109">
        <v>891.72</v>
      </c>
      <c r="F288" s="109">
        <v>891.72</v>
      </c>
      <c r="G288" s="71">
        <v>5</v>
      </c>
      <c r="H288" s="109">
        <f t="shared" si="37"/>
        <v>44.586000000000006</v>
      </c>
      <c r="I288" s="109">
        <v>0</v>
      </c>
      <c r="J288" s="109">
        <f t="shared" si="38"/>
        <v>44.586000000000006</v>
      </c>
      <c r="K288" s="112">
        <f t="shared" si="39"/>
        <v>847.134</v>
      </c>
    </row>
    <row r="289" spans="1:11" s="63" customFormat="1" ht="12.75">
      <c r="A289" s="76" t="s">
        <v>474</v>
      </c>
      <c r="B289" s="113" t="s">
        <v>316</v>
      </c>
      <c r="C289" s="63">
        <v>2005</v>
      </c>
      <c r="D289" s="109">
        <v>0</v>
      </c>
      <c r="E289" s="109">
        <v>1416</v>
      </c>
      <c r="F289" s="109">
        <v>1416</v>
      </c>
      <c r="G289" s="71">
        <v>5</v>
      </c>
      <c r="H289" s="109">
        <f t="shared" si="37"/>
        <v>70.8</v>
      </c>
      <c r="I289" s="109">
        <v>0</v>
      </c>
      <c r="J289" s="109">
        <f t="shared" si="38"/>
        <v>70.8</v>
      </c>
      <c r="K289" s="112">
        <f t="shared" si="39"/>
        <v>1345.2</v>
      </c>
    </row>
    <row r="290" spans="1:11" s="63" customFormat="1" ht="12.75">
      <c r="A290" s="76" t="s">
        <v>475</v>
      </c>
      <c r="B290" s="113" t="s">
        <v>427</v>
      </c>
      <c r="C290" s="63">
        <v>2005</v>
      </c>
      <c r="D290" s="109">
        <v>0</v>
      </c>
      <c r="E290" s="109">
        <v>440.16</v>
      </c>
      <c r="F290" s="109">
        <v>440.16</v>
      </c>
      <c r="G290" s="71">
        <v>5</v>
      </c>
      <c r="H290" s="109">
        <f t="shared" si="37"/>
        <v>22.008000000000003</v>
      </c>
      <c r="I290" s="109">
        <v>0</v>
      </c>
      <c r="J290" s="109">
        <f t="shared" si="38"/>
        <v>22.008000000000003</v>
      </c>
      <c r="K290" s="112">
        <f t="shared" si="39"/>
        <v>418.15200000000004</v>
      </c>
    </row>
    <row r="291" spans="1:11" s="63" customFormat="1" ht="12.75">
      <c r="A291" s="76" t="s">
        <v>476</v>
      </c>
      <c r="B291" s="113" t="s">
        <v>316</v>
      </c>
      <c r="C291" s="63">
        <v>2005</v>
      </c>
      <c r="D291" s="109">
        <v>0</v>
      </c>
      <c r="E291" s="109">
        <v>402.48</v>
      </c>
      <c r="F291" s="109">
        <v>402.48</v>
      </c>
      <c r="G291" s="71">
        <v>5</v>
      </c>
      <c r="H291" s="109">
        <f t="shared" si="37"/>
        <v>20.124000000000002</v>
      </c>
      <c r="I291" s="109">
        <v>0</v>
      </c>
      <c r="J291" s="109">
        <f t="shared" si="38"/>
        <v>20.124000000000002</v>
      </c>
      <c r="K291" s="112">
        <f t="shared" si="39"/>
        <v>382.356</v>
      </c>
    </row>
    <row r="292" spans="1:11" s="63" customFormat="1" ht="12.75">
      <c r="A292" s="76" t="s">
        <v>477</v>
      </c>
      <c r="B292" s="113" t="s">
        <v>316</v>
      </c>
      <c r="C292" s="63">
        <v>2005</v>
      </c>
      <c r="D292" s="109">
        <v>0</v>
      </c>
      <c r="E292" s="109">
        <v>1573.44</v>
      </c>
      <c r="F292" s="109">
        <v>1573.44</v>
      </c>
      <c r="G292" s="71">
        <v>5</v>
      </c>
      <c r="H292" s="109">
        <f t="shared" si="37"/>
        <v>78.67200000000001</v>
      </c>
      <c r="I292" s="109">
        <v>0</v>
      </c>
      <c r="J292" s="109">
        <f t="shared" si="38"/>
        <v>78.67200000000001</v>
      </c>
      <c r="K292" s="112">
        <f t="shared" si="39"/>
        <v>1494.768</v>
      </c>
    </row>
    <row r="293" spans="1:11" s="63" customFormat="1" ht="12.75">
      <c r="A293" s="76" t="s">
        <v>478</v>
      </c>
      <c r="B293" s="113" t="s">
        <v>316</v>
      </c>
      <c r="C293" s="63">
        <v>2005</v>
      </c>
      <c r="D293" s="109">
        <v>0</v>
      </c>
      <c r="E293" s="109">
        <v>54.78</v>
      </c>
      <c r="F293" s="109">
        <v>54.78</v>
      </c>
      <c r="G293" s="71">
        <v>100</v>
      </c>
      <c r="H293" s="109">
        <f t="shared" si="37"/>
        <v>54.78</v>
      </c>
      <c r="I293" s="109">
        <v>0</v>
      </c>
      <c r="J293" s="109">
        <f t="shared" si="38"/>
        <v>54.78</v>
      </c>
      <c r="K293" s="112">
        <f t="shared" si="39"/>
        <v>0</v>
      </c>
    </row>
    <row r="294" spans="1:11" s="63" customFormat="1" ht="12.75">
      <c r="A294" s="76" t="s">
        <v>479</v>
      </c>
      <c r="B294" s="113" t="s">
        <v>421</v>
      </c>
      <c r="C294" s="63">
        <v>2005</v>
      </c>
      <c r="D294" s="109">
        <v>0</v>
      </c>
      <c r="E294" s="109">
        <v>8767.33</v>
      </c>
      <c r="F294" s="109">
        <v>8767.33</v>
      </c>
      <c r="G294" s="71">
        <v>5</v>
      </c>
      <c r="H294" s="109">
        <f t="shared" si="37"/>
        <v>438.36650000000003</v>
      </c>
      <c r="I294" s="109">
        <v>0</v>
      </c>
      <c r="J294" s="109">
        <f t="shared" si="38"/>
        <v>438.36650000000003</v>
      </c>
      <c r="K294" s="112">
        <f t="shared" si="39"/>
        <v>8328.9635</v>
      </c>
    </row>
    <row r="295" spans="1:11" s="63" customFormat="1" ht="12.75">
      <c r="A295" s="76" t="s">
        <v>480</v>
      </c>
      <c r="B295" s="113" t="s">
        <v>316</v>
      </c>
      <c r="C295" s="63">
        <v>2005</v>
      </c>
      <c r="D295" s="109">
        <v>0</v>
      </c>
      <c r="E295" s="109">
        <v>2636.4</v>
      </c>
      <c r="F295" s="109">
        <v>2636.4</v>
      </c>
      <c r="G295" s="71">
        <v>5</v>
      </c>
      <c r="H295" s="109">
        <f t="shared" si="37"/>
        <v>131.82</v>
      </c>
      <c r="I295" s="109">
        <v>0</v>
      </c>
      <c r="J295" s="109">
        <f t="shared" si="38"/>
        <v>131.82</v>
      </c>
      <c r="K295" s="112">
        <f t="shared" si="39"/>
        <v>2504.58</v>
      </c>
    </row>
    <row r="296" spans="1:11" s="63" customFormat="1" ht="12.75">
      <c r="A296" s="76" t="s">
        <v>481</v>
      </c>
      <c r="B296" s="113" t="s">
        <v>249</v>
      </c>
      <c r="C296" s="63">
        <v>2005</v>
      </c>
      <c r="D296" s="109">
        <v>0</v>
      </c>
      <c r="E296" s="109">
        <v>400.8</v>
      </c>
      <c r="F296" s="109">
        <v>400.8</v>
      </c>
      <c r="G296" s="71">
        <v>5</v>
      </c>
      <c r="H296" s="109">
        <f t="shared" si="37"/>
        <v>20.04</v>
      </c>
      <c r="I296" s="109">
        <v>0</v>
      </c>
      <c r="J296" s="109">
        <f t="shared" si="38"/>
        <v>20.04</v>
      </c>
      <c r="K296" s="112">
        <f t="shared" si="39"/>
        <v>380.76</v>
      </c>
    </row>
    <row r="297" spans="1:11" s="63" customFormat="1" ht="12.75">
      <c r="A297" s="76" t="s">
        <v>482</v>
      </c>
      <c r="B297" s="113" t="s">
        <v>249</v>
      </c>
      <c r="C297" s="63">
        <v>2005</v>
      </c>
      <c r="D297" s="109">
        <v>0</v>
      </c>
      <c r="E297" s="109">
        <v>3996</v>
      </c>
      <c r="F297" s="109">
        <v>3996</v>
      </c>
      <c r="G297" s="71">
        <v>5</v>
      </c>
      <c r="H297" s="109">
        <f t="shared" si="37"/>
        <v>199.8</v>
      </c>
      <c r="I297" s="109">
        <v>0</v>
      </c>
      <c r="J297" s="109">
        <f t="shared" si="38"/>
        <v>199.8</v>
      </c>
      <c r="K297" s="112">
        <f t="shared" si="39"/>
        <v>3796.2</v>
      </c>
    </row>
    <row r="298" spans="1:11" s="63" customFormat="1" ht="12.75">
      <c r="A298" s="76" t="s">
        <v>483</v>
      </c>
      <c r="B298" s="113" t="s">
        <v>316</v>
      </c>
      <c r="C298" s="63">
        <v>2005</v>
      </c>
      <c r="D298" s="109">
        <v>0</v>
      </c>
      <c r="E298" s="109">
        <v>1344</v>
      </c>
      <c r="F298" s="109">
        <v>1344</v>
      </c>
      <c r="G298" s="71">
        <v>5</v>
      </c>
      <c r="H298" s="109">
        <f t="shared" si="37"/>
        <v>67.2</v>
      </c>
      <c r="I298" s="109">
        <v>0</v>
      </c>
      <c r="J298" s="109">
        <f t="shared" si="38"/>
        <v>67.2</v>
      </c>
      <c r="K298" s="112">
        <f t="shared" si="39"/>
        <v>1276.8</v>
      </c>
    </row>
    <row r="299" spans="1:11" s="63" customFormat="1" ht="12.75">
      <c r="A299" s="76" t="s">
        <v>484</v>
      </c>
      <c r="B299" s="113" t="s">
        <v>316</v>
      </c>
      <c r="C299" s="63">
        <v>2005</v>
      </c>
      <c r="D299" s="109">
        <v>0</v>
      </c>
      <c r="E299" s="109">
        <v>3168</v>
      </c>
      <c r="F299" s="109">
        <v>3168</v>
      </c>
      <c r="G299" s="71">
        <v>5</v>
      </c>
      <c r="H299" s="109">
        <f t="shared" si="37"/>
        <v>158.4</v>
      </c>
      <c r="I299" s="109">
        <v>0</v>
      </c>
      <c r="J299" s="109">
        <f t="shared" si="38"/>
        <v>158.4</v>
      </c>
      <c r="K299" s="112">
        <f t="shared" si="39"/>
        <v>3009.6</v>
      </c>
    </row>
    <row r="300" spans="1:11" s="63" customFormat="1" ht="12.75">
      <c r="A300" s="76"/>
      <c r="B300" s="113"/>
      <c r="D300" s="109"/>
      <c r="E300" s="109"/>
      <c r="F300" s="109"/>
      <c r="G300" s="71"/>
      <c r="H300" s="109"/>
      <c r="I300" s="109"/>
      <c r="J300" s="109"/>
      <c r="K300" s="112"/>
    </row>
    <row r="301" spans="1:11" s="63" customFormat="1" ht="12.75">
      <c r="A301" s="76"/>
      <c r="B301" s="113"/>
      <c r="D301" s="109"/>
      <c r="E301" s="109"/>
      <c r="F301" s="109"/>
      <c r="G301" s="71"/>
      <c r="H301" s="109"/>
      <c r="I301" s="109"/>
      <c r="J301" s="109"/>
      <c r="K301" s="112"/>
    </row>
    <row r="302" spans="1:11" ht="12.75">
      <c r="A302" s="19"/>
      <c r="B302" s="30"/>
      <c r="D302" s="104"/>
      <c r="E302" s="104"/>
      <c r="F302" s="104"/>
      <c r="G302" s="40"/>
      <c r="H302" s="104"/>
      <c r="I302" s="104"/>
      <c r="J302" s="104"/>
      <c r="K302" s="108"/>
    </row>
    <row r="303" spans="1:11" ht="12.75">
      <c r="A303" s="43" t="s">
        <v>63</v>
      </c>
      <c r="B303" s="44"/>
      <c r="C303" s="44"/>
      <c r="D303" s="103">
        <f>SUM(D233:D302)</f>
        <v>215180.40034979628</v>
      </c>
      <c r="E303" s="103">
        <f>SUM(E233:E302)</f>
        <v>56845.66000000002</v>
      </c>
      <c r="F303" s="103">
        <f>SUM(F233:F299)</f>
        <v>272026.0603497963</v>
      </c>
      <c r="G303" s="45"/>
      <c r="H303" s="103">
        <f>SUM(H233:H302)</f>
        <v>14563.481517489809</v>
      </c>
      <c r="I303" s="103">
        <f>SUM(I233:I302)</f>
        <v>23227.190000000002</v>
      </c>
      <c r="J303" s="103">
        <f>SUM(J233:J302)</f>
        <v>37719.03151748981</v>
      </c>
      <c r="K303" s="103">
        <f>SUM(K233:K302)</f>
        <v>234307.02883230653</v>
      </c>
    </row>
    <row r="304" spans="1:11" s="63" customFormat="1" ht="12.75">
      <c r="A304" s="47"/>
      <c r="B304" s="48"/>
      <c r="C304" s="48"/>
      <c r="D304" s="105"/>
      <c r="E304" s="105"/>
      <c r="F304" s="105"/>
      <c r="G304" s="46"/>
      <c r="H304" s="105"/>
      <c r="I304" s="105"/>
      <c r="J304" s="105"/>
      <c r="K304" s="105"/>
    </row>
    <row r="305" spans="1:11" s="63" customFormat="1" ht="12.75">
      <c r="A305" s="47"/>
      <c r="B305" s="48"/>
      <c r="C305" s="48"/>
      <c r="D305" s="105"/>
      <c r="E305" s="105"/>
      <c r="F305" s="105"/>
      <c r="G305" s="46"/>
      <c r="H305" s="105"/>
      <c r="I305" s="105"/>
      <c r="J305" s="105"/>
      <c r="K305" s="105"/>
    </row>
    <row r="306" spans="1:11" ht="12.75">
      <c r="A306" s="20"/>
      <c r="D306" s="21"/>
      <c r="E306" s="21"/>
      <c r="F306" s="21"/>
      <c r="G306" s="21"/>
      <c r="H306" s="21"/>
      <c r="I306" s="21"/>
      <c r="J306" s="21"/>
      <c r="K306" s="21"/>
    </row>
    <row r="307" ht="12.75">
      <c r="A307" s="18" t="s">
        <v>132</v>
      </c>
    </row>
    <row r="308" ht="12.75">
      <c r="A308" s="18"/>
    </row>
    <row r="309" spans="1:11" ht="12.75">
      <c r="A309" s="19" t="s">
        <v>88</v>
      </c>
      <c r="B309" s="30" t="s">
        <v>91</v>
      </c>
      <c r="C309">
        <v>1999</v>
      </c>
      <c r="D309" s="104">
        <f>52368000/1936.27</f>
        <v>27045.81489151823</v>
      </c>
      <c r="E309" s="104">
        <v>0</v>
      </c>
      <c r="F309" s="104">
        <f>+D309+E309</f>
        <v>27045.81489151823</v>
      </c>
      <c r="G309">
        <v>7.5</v>
      </c>
      <c r="H309" s="104">
        <f aca="true" t="shared" si="40" ref="H309:H334">F309*G309/100</f>
        <v>2028.4361168638673</v>
      </c>
      <c r="I309" s="104">
        <f>10142.18+2028.44+2028.44</f>
        <v>14199.060000000001</v>
      </c>
      <c r="J309" s="104">
        <f>+H309+I309+1612.14</f>
        <v>17839.63611686387</v>
      </c>
      <c r="K309" s="108">
        <f aca="true" t="shared" si="41" ref="K309:K334">+F309-J309</f>
        <v>9206.17877465436</v>
      </c>
    </row>
    <row r="310" spans="1:11" ht="12.75">
      <c r="A310" s="19" t="s">
        <v>89</v>
      </c>
      <c r="B310" s="30" t="s">
        <v>68</v>
      </c>
      <c r="C310">
        <v>1999</v>
      </c>
      <c r="D310" s="104">
        <f>4212000/1936.27</f>
        <v>2175.3164589649173</v>
      </c>
      <c r="E310" s="104">
        <v>0</v>
      </c>
      <c r="F310" s="104">
        <f>+D310+E310</f>
        <v>2175.3164589649173</v>
      </c>
      <c r="G310">
        <v>7.5</v>
      </c>
      <c r="H310" s="104">
        <f t="shared" si="40"/>
        <v>163.1487344223688</v>
      </c>
      <c r="I310" s="104">
        <f>815.75+163.15+163.15</f>
        <v>1142.05</v>
      </c>
      <c r="J310" s="104">
        <f aca="true" t="shared" si="42" ref="J310:J334">+H310+I310</f>
        <v>1305.1987344223687</v>
      </c>
      <c r="K310" s="108">
        <f t="shared" si="41"/>
        <v>870.1177245425486</v>
      </c>
    </row>
    <row r="311" spans="1:11" ht="12.75">
      <c r="A311" s="19" t="s">
        <v>141</v>
      </c>
      <c r="B311" s="30" t="s">
        <v>68</v>
      </c>
      <c r="C311">
        <v>2000</v>
      </c>
      <c r="D311" s="104">
        <f>2418000/1936.27</f>
        <v>1248.7927819983784</v>
      </c>
      <c r="E311" s="104">
        <v>0</v>
      </c>
      <c r="F311" s="104">
        <f>+D311+E311</f>
        <v>1248.7927819983784</v>
      </c>
      <c r="G311">
        <v>7.5</v>
      </c>
      <c r="H311" s="104">
        <f t="shared" si="40"/>
        <v>93.65945864987837</v>
      </c>
      <c r="I311" s="104">
        <f>280.98+93.66+93.66</f>
        <v>468.29999999999995</v>
      </c>
      <c r="J311" s="104">
        <f t="shared" si="42"/>
        <v>561.9594586498783</v>
      </c>
      <c r="K311" s="108">
        <f t="shared" si="41"/>
        <v>686.8333233485</v>
      </c>
    </row>
    <row r="312" spans="1:11" ht="12.75">
      <c r="A312" s="19" t="s">
        <v>142</v>
      </c>
      <c r="B312" s="30" t="s">
        <v>68</v>
      </c>
      <c r="C312">
        <v>2000</v>
      </c>
      <c r="D312" s="104">
        <f>4044000/1936.27</f>
        <v>2088.5516999178835</v>
      </c>
      <c r="E312" s="104">
        <v>0</v>
      </c>
      <c r="F312" s="104">
        <f>+D312+E312</f>
        <v>2088.5516999178835</v>
      </c>
      <c r="G312">
        <v>7.5</v>
      </c>
      <c r="H312" s="104">
        <f t="shared" si="40"/>
        <v>156.64137749384128</v>
      </c>
      <c r="I312" s="104">
        <f>469.92+156.64+156.64+156.64+156.64</f>
        <v>1096.48</v>
      </c>
      <c r="J312" s="104">
        <f t="shared" si="42"/>
        <v>1253.1213774938412</v>
      </c>
      <c r="K312" s="108">
        <f t="shared" si="41"/>
        <v>835.4303224240423</v>
      </c>
    </row>
    <row r="313" spans="1:11" ht="12.75">
      <c r="A313" s="76" t="s">
        <v>173</v>
      </c>
      <c r="B313" s="30" t="s">
        <v>68</v>
      </c>
      <c r="C313">
        <v>2001</v>
      </c>
      <c r="D313" s="104">
        <v>1186.82</v>
      </c>
      <c r="E313" s="104">
        <v>0</v>
      </c>
      <c r="F313" s="104">
        <f>+D313+E313</f>
        <v>1186.82</v>
      </c>
      <c r="G313">
        <v>7.5</v>
      </c>
      <c r="H313" s="104">
        <f t="shared" si="40"/>
        <v>89.0115</v>
      </c>
      <c r="I313" s="104">
        <f>89.01+89.01+89.01+89.01</f>
        <v>356.04</v>
      </c>
      <c r="J313" s="104">
        <f t="shared" si="42"/>
        <v>445.05150000000003</v>
      </c>
      <c r="K313" s="108">
        <f t="shared" si="41"/>
        <v>741.7684999999999</v>
      </c>
    </row>
    <row r="314" spans="1:11" s="63" customFormat="1" ht="12.75">
      <c r="A314" s="76" t="s">
        <v>219</v>
      </c>
      <c r="B314" s="113" t="s">
        <v>68</v>
      </c>
      <c r="C314" s="63">
        <v>2002</v>
      </c>
      <c r="D314" s="109">
        <v>4800</v>
      </c>
      <c r="E314" s="109">
        <v>0</v>
      </c>
      <c r="F314" s="109">
        <v>4800</v>
      </c>
      <c r="G314" s="63">
        <v>7.5</v>
      </c>
      <c r="H314" s="109">
        <f t="shared" si="40"/>
        <v>360</v>
      </c>
      <c r="I314" s="109">
        <f>360+360+360</f>
        <v>1080</v>
      </c>
      <c r="J314" s="109">
        <f t="shared" si="42"/>
        <v>1440</v>
      </c>
      <c r="K314" s="112">
        <f t="shared" si="41"/>
        <v>3360</v>
      </c>
    </row>
    <row r="315" spans="1:11" s="63" customFormat="1" ht="12.75">
      <c r="A315" s="76" t="s">
        <v>220</v>
      </c>
      <c r="B315" s="113" t="s">
        <v>68</v>
      </c>
      <c r="C315" s="63">
        <v>2002</v>
      </c>
      <c r="D315" s="109">
        <v>3091.2</v>
      </c>
      <c r="E315" s="109">
        <v>0</v>
      </c>
      <c r="F315" s="109">
        <v>3091.2</v>
      </c>
      <c r="G315" s="63">
        <v>7.5</v>
      </c>
      <c r="H315" s="109">
        <f t="shared" si="40"/>
        <v>231.84</v>
      </c>
      <c r="I315" s="109">
        <f>231.84+231.84+231.84</f>
        <v>695.52</v>
      </c>
      <c r="J315" s="109">
        <f t="shared" si="42"/>
        <v>927.36</v>
      </c>
      <c r="K315" s="112">
        <f t="shared" si="41"/>
        <v>2163.8399999999997</v>
      </c>
    </row>
    <row r="316" spans="1:11" s="63" customFormat="1" ht="12.75">
      <c r="A316" s="76" t="s">
        <v>221</v>
      </c>
      <c r="B316" s="113" t="s">
        <v>68</v>
      </c>
      <c r="C316" s="63">
        <v>2002</v>
      </c>
      <c r="D316" s="109">
        <v>3861.84</v>
      </c>
      <c r="E316" s="109">
        <v>0</v>
      </c>
      <c r="F316" s="109">
        <v>3861.84</v>
      </c>
      <c r="G316" s="63">
        <v>7.5</v>
      </c>
      <c r="H316" s="109">
        <f t="shared" si="40"/>
        <v>289.63800000000003</v>
      </c>
      <c r="I316" s="109">
        <f>289.64+289.64+289.64</f>
        <v>868.92</v>
      </c>
      <c r="J316" s="109">
        <f t="shared" si="42"/>
        <v>1158.558</v>
      </c>
      <c r="K316" s="112">
        <f t="shared" si="41"/>
        <v>2703.282</v>
      </c>
    </row>
    <row r="317" spans="1:11" s="63" customFormat="1" ht="12.75">
      <c r="A317" s="76" t="s">
        <v>272</v>
      </c>
      <c r="B317" s="113" t="s">
        <v>68</v>
      </c>
      <c r="C317" s="63">
        <v>2003</v>
      </c>
      <c r="D317" s="109">
        <f>27726.84-516.46</f>
        <v>27210.38</v>
      </c>
      <c r="E317" s="109">
        <v>0</v>
      </c>
      <c r="F317" s="109">
        <v>27210.38</v>
      </c>
      <c r="G317" s="126">
        <v>7.5</v>
      </c>
      <c r="H317" s="109">
        <f>(F317*G317/100)+38.75</f>
        <v>2079.5285000000003</v>
      </c>
      <c r="I317" s="109">
        <f>2079.51+2079.51</f>
        <v>4159.02</v>
      </c>
      <c r="J317" s="109">
        <f t="shared" si="42"/>
        <v>6238.548500000001</v>
      </c>
      <c r="K317" s="112">
        <f t="shared" si="41"/>
        <v>20971.8315</v>
      </c>
    </row>
    <row r="318" spans="1:11" s="63" customFormat="1" ht="12.75">
      <c r="A318" s="76" t="s">
        <v>273</v>
      </c>
      <c r="B318" s="113" t="s">
        <v>91</v>
      </c>
      <c r="C318" s="63">
        <v>2003</v>
      </c>
      <c r="D318" s="109">
        <v>2243.42</v>
      </c>
      <c r="E318" s="109">
        <v>0</v>
      </c>
      <c r="F318" s="109">
        <v>2243.42</v>
      </c>
      <c r="G318" s="126">
        <v>7.5</v>
      </c>
      <c r="H318" s="109">
        <f t="shared" si="40"/>
        <v>168.25650000000002</v>
      </c>
      <c r="I318" s="109">
        <f>168.26+168.26</f>
        <v>336.52</v>
      </c>
      <c r="J318" s="109">
        <f t="shared" si="42"/>
        <v>504.7765</v>
      </c>
      <c r="K318" s="112">
        <f t="shared" si="41"/>
        <v>1738.6435000000001</v>
      </c>
    </row>
    <row r="319" spans="1:11" s="63" customFormat="1" ht="12.75">
      <c r="A319" s="76" t="s">
        <v>274</v>
      </c>
      <c r="B319" s="113" t="s">
        <v>203</v>
      </c>
      <c r="C319" s="63">
        <v>2003</v>
      </c>
      <c r="D319" s="109">
        <v>3346.63</v>
      </c>
      <c r="E319" s="109">
        <v>0</v>
      </c>
      <c r="F319" s="109">
        <v>3346.63</v>
      </c>
      <c r="G319" s="126">
        <v>7.5</v>
      </c>
      <c r="H319" s="109">
        <f t="shared" si="40"/>
        <v>250.99725</v>
      </c>
      <c r="I319" s="109">
        <f>251+251</f>
        <v>502</v>
      </c>
      <c r="J319" s="109">
        <f t="shared" si="42"/>
        <v>752.99725</v>
      </c>
      <c r="K319" s="112">
        <f t="shared" si="41"/>
        <v>2593.63275</v>
      </c>
    </row>
    <row r="320" spans="1:11" s="63" customFormat="1" ht="12.75">
      <c r="A320" s="76" t="s">
        <v>275</v>
      </c>
      <c r="B320" s="113" t="s">
        <v>68</v>
      </c>
      <c r="C320" s="63">
        <v>2003</v>
      </c>
      <c r="D320" s="109">
        <v>2420</v>
      </c>
      <c r="E320" s="109">
        <v>0</v>
      </c>
      <c r="F320" s="109">
        <v>2420</v>
      </c>
      <c r="G320" s="126">
        <v>7.5</v>
      </c>
      <c r="H320" s="109">
        <f t="shared" si="40"/>
        <v>181.5</v>
      </c>
      <c r="I320" s="109">
        <f>181.5+181.5</f>
        <v>363</v>
      </c>
      <c r="J320" s="109">
        <f t="shared" si="42"/>
        <v>544.5</v>
      </c>
      <c r="K320" s="112">
        <f t="shared" si="41"/>
        <v>1875.5</v>
      </c>
    </row>
    <row r="321" spans="1:11" s="63" customFormat="1" ht="12.75">
      <c r="A321" s="76" t="s">
        <v>276</v>
      </c>
      <c r="B321" s="113" t="s">
        <v>68</v>
      </c>
      <c r="C321" s="63">
        <v>2003</v>
      </c>
      <c r="D321" s="109">
        <v>6380</v>
      </c>
      <c r="E321" s="109">
        <v>0</v>
      </c>
      <c r="F321" s="109">
        <v>6380</v>
      </c>
      <c r="G321" s="126">
        <v>7.5</v>
      </c>
      <c r="H321" s="109">
        <f t="shared" si="40"/>
        <v>478.5</v>
      </c>
      <c r="I321" s="109">
        <f>478.5+478.5</f>
        <v>957</v>
      </c>
      <c r="J321" s="109">
        <f t="shared" si="42"/>
        <v>1435.5</v>
      </c>
      <c r="K321" s="112">
        <f t="shared" si="41"/>
        <v>4944.5</v>
      </c>
    </row>
    <row r="322" spans="1:11" s="63" customFormat="1" ht="12.75">
      <c r="A322" s="76" t="s">
        <v>277</v>
      </c>
      <c r="B322" s="113" t="s">
        <v>68</v>
      </c>
      <c r="C322" s="63">
        <v>2003</v>
      </c>
      <c r="D322" s="109">
        <v>20592</v>
      </c>
      <c r="E322" s="109">
        <v>0</v>
      </c>
      <c r="F322" s="109">
        <v>20592</v>
      </c>
      <c r="G322" s="126">
        <v>7.5</v>
      </c>
      <c r="H322" s="109">
        <f t="shared" si="40"/>
        <v>1544.4</v>
      </c>
      <c r="I322" s="109">
        <f>1544.4+1544.4</f>
        <v>3088.8</v>
      </c>
      <c r="J322" s="109">
        <f t="shared" si="42"/>
        <v>4633.200000000001</v>
      </c>
      <c r="K322" s="112">
        <f t="shared" si="41"/>
        <v>15958.8</v>
      </c>
    </row>
    <row r="323" spans="1:11" s="63" customFormat="1" ht="12.75">
      <c r="A323" s="76" t="s">
        <v>278</v>
      </c>
      <c r="B323" s="113" t="s">
        <v>68</v>
      </c>
      <c r="C323" s="63">
        <v>2003</v>
      </c>
      <c r="D323" s="109">
        <v>1286.04</v>
      </c>
      <c r="E323" s="109">
        <v>0</v>
      </c>
      <c r="F323" s="109">
        <v>1286.04</v>
      </c>
      <c r="G323" s="126">
        <v>7.5</v>
      </c>
      <c r="H323" s="109">
        <f t="shared" si="40"/>
        <v>96.45299999999999</v>
      </c>
      <c r="I323" s="109">
        <f>96.45+96.45</f>
        <v>192.9</v>
      </c>
      <c r="J323" s="109">
        <f t="shared" si="42"/>
        <v>289.353</v>
      </c>
      <c r="K323" s="112">
        <f t="shared" si="41"/>
        <v>996.6869999999999</v>
      </c>
    </row>
    <row r="324" spans="1:11" s="63" customFormat="1" ht="12.75">
      <c r="A324" s="76" t="s">
        <v>353</v>
      </c>
      <c r="B324" s="113" t="s">
        <v>68</v>
      </c>
      <c r="C324" s="63">
        <v>2004</v>
      </c>
      <c r="D324" s="109">
        <v>4300.68</v>
      </c>
      <c r="E324" s="109">
        <v>0</v>
      </c>
      <c r="F324" s="109">
        <v>4300.68</v>
      </c>
      <c r="G324" s="126">
        <v>7.5</v>
      </c>
      <c r="H324" s="109">
        <f t="shared" si="40"/>
        <v>322.55100000000004</v>
      </c>
      <c r="I324" s="109">
        <v>322.55</v>
      </c>
      <c r="J324" s="109">
        <f t="shared" si="42"/>
        <v>645.1010000000001</v>
      </c>
      <c r="K324" s="112">
        <f t="shared" si="41"/>
        <v>3655.579</v>
      </c>
    </row>
    <row r="325" spans="1:11" s="63" customFormat="1" ht="12.75">
      <c r="A325" s="76" t="s">
        <v>354</v>
      </c>
      <c r="B325" s="113" t="s">
        <v>68</v>
      </c>
      <c r="C325" s="63">
        <v>2004</v>
      </c>
      <c r="D325" s="109">
        <f>2569.6-0.01</f>
        <v>2569.5899999999997</v>
      </c>
      <c r="E325" s="109">
        <v>0</v>
      </c>
      <c r="F325" s="109">
        <f>2569.6-0.01</f>
        <v>2569.5899999999997</v>
      </c>
      <c r="G325" s="126">
        <v>7.5</v>
      </c>
      <c r="H325" s="109">
        <f t="shared" si="40"/>
        <v>192.71925</v>
      </c>
      <c r="I325" s="109">
        <v>192.72</v>
      </c>
      <c r="J325" s="109">
        <f t="shared" si="42"/>
        <v>385.43925</v>
      </c>
      <c r="K325" s="112">
        <f t="shared" si="41"/>
        <v>2184.15075</v>
      </c>
    </row>
    <row r="326" spans="1:11" s="63" customFormat="1" ht="12.75">
      <c r="A326" s="76" t="s">
        <v>355</v>
      </c>
      <c r="B326" s="113" t="s">
        <v>68</v>
      </c>
      <c r="C326" s="63">
        <v>2004</v>
      </c>
      <c r="D326" s="109">
        <v>22800</v>
      </c>
      <c r="E326" s="109">
        <v>0</v>
      </c>
      <c r="F326" s="109">
        <v>22800</v>
      </c>
      <c r="G326" s="126">
        <v>7.5</v>
      </c>
      <c r="H326" s="109">
        <f t="shared" si="40"/>
        <v>1710</v>
      </c>
      <c r="I326" s="109">
        <v>1710</v>
      </c>
      <c r="J326" s="109">
        <f>+H326+I326+0.01</f>
        <v>3420.01</v>
      </c>
      <c r="K326" s="112">
        <f t="shared" si="41"/>
        <v>19379.989999999998</v>
      </c>
    </row>
    <row r="327" spans="1:11" s="63" customFormat="1" ht="12.75">
      <c r="A327" s="76" t="s">
        <v>387</v>
      </c>
      <c r="B327" s="113" t="s">
        <v>68</v>
      </c>
      <c r="C327" s="63">
        <v>2004</v>
      </c>
      <c r="D327" s="109">
        <v>3145.16</v>
      </c>
      <c r="E327" s="109">
        <v>0</v>
      </c>
      <c r="F327" s="109">
        <v>3145.16</v>
      </c>
      <c r="G327" s="126">
        <v>7.5</v>
      </c>
      <c r="H327" s="109">
        <f t="shared" si="40"/>
        <v>235.88699999999997</v>
      </c>
      <c r="I327" s="109">
        <v>235.89</v>
      </c>
      <c r="J327" s="109">
        <f t="shared" si="42"/>
        <v>471.77699999999993</v>
      </c>
      <c r="K327" s="112">
        <f t="shared" si="41"/>
        <v>2673.383</v>
      </c>
    </row>
    <row r="328" spans="1:11" s="63" customFormat="1" ht="12.75">
      <c r="A328" s="76" t="s">
        <v>389</v>
      </c>
      <c r="B328" s="113" t="s">
        <v>68</v>
      </c>
      <c r="C328" s="63">
        <v>2004</v>
      </c>
      <c r="D328" s="109">
        <v>1408.8</v>
      </c>
      <c r="E328" s="109">
        <v>0</v>
      </c>
      <c r="F328" s="109">
        <v>1408.8</v>
      </c>
      <c r="G328" s="126">
        <v>7.5</v>
      </c>
      <c r="H328" s="109">
        <f t="shared" si="40"/>
        <v>105.66</v>
      </c>
      <c r="I328" s="109">
        <v>105.66</v>
      </c>
      <c r="J328" s="109">
        <f t="shared" si="42"/>
        <v>211.32</v>
      </c>
      <c r="K328" s="112">
        <f t="shared" si="41"/>
        <v>1197.48</v>
      </c>
    </row>
    <row r="329" spans="1:11" s="63" customFormat="1" ht="12.75">
      <c r="A329" s="76" t="s">
        <v>391</v>
      </c>
      <c r="B329" s="113" t="s">
        <v>68</v>
      </c>
      <c r="C329" s="63">
        <v>2004</v>
      </c>
      <c r="D329" s="109">
        <v>1100.4</v>
      </c>
      <c r="E329" s="109">
        <v>0</v>
      </c>
      <c r="F329" s="109">
        <v>1100.4</v>
      </c>
      <c r="G329" s="126">
        <v>7.5</v>
      </c>
      <c r="H329" s="109">
        <f t="shared" si="40"/>
        <v>82.53</v>
      </c>
      <c r="I329" s="109">
        <v>82.53</v>
      </c>
      <c r="J329" s="109">
        <f t="shared" si="42"/>
        <v>165.06</v>
      </c>
      <c r="K329" s="112">
        <f t="shared" si="41"/>
        <v>935.3400000000001</v>
      </c>
    </row>
    <row r="330" spans="1:11" s="63" customFormat="1" ht="12.75">
      <c r="A330" s="76" t="s">
        <v>485</v>
      </c>
      <c r="B330" s="113" t="s">
        <v>68</v>
      </c>
      <c r="C330" s="63">
        <v>2005</v>
      </c>
      <c r="D330" s="109">
        <v>0</v>
      </c>
      <c r="E330" s="109">
        <v>4560</v>
      </c>
      <c r="F330" s="109">
        <v>4560</v>
      </c>
      <c r="G330" s="126">
        <v>7.5</v>
      </c>
      <c r="H330" s="109">
        <f t="shared" si="40"/>
        <v>342</v>
      </c>
      <c r="I330" s="109">
        <v>0</v>
      </c>
      <c r="J330" s="109">
        <f t="shared" si="42"/>
        <v>342</v>
      </c>
      <c r="K330" s="112">
        <f t="shared" si="41"/>
        <v>4218</v>
      </c>
    </row>
    <row r="331" spans="1:11" s="63" customFormat="1" ht="12.75">
      <c r="A331" s="76" t="s">
        <v>486</v>
      </c>
      <c r="B331" s="113" t="s">
        <v>68</v>
      </c>
      <c r="C331" s="63">
        <v>2005</v>
      </c>
      <c r="D331" s="109">
        <v>0</v>
      </c>
      <c r="E331" s="109">
        <v>1045</v>
      </c>
      <c r="F331" s="109">
        <v>1045</v>
      </c>
      <c r="G331" s="126">
        <v>7.5</v>
      </c>
      <c r="H331" s="109">
        <f t="shared" si="40"/>
        <v>78.375</v>
      </c>
      <c r="I331" s="109">
        <v>0</v>
      </c>
      <c r="J331" s="109">
        <f t="shared" si="42"/>
        <v>78.375</v>
      </c>
      <c r="K331" s="112">
        <f t="shared" si="41"/>
        <v>966.625</v>
      </c>
    </row>
    <row r="332" spans="1:11" s="63" customFormat="1" ht="12.75">
      <c r="A332" s="76" t="s">
        <v>487</v>
      </c>
      <c r="B332" s="113" t="s">
        <v>68</v>
      </c>
      <c r="C332" s="63">
        <v>2005</v>
      </c>
      <c r="D332" s="109">
        <v>0</v>
      </c>
      <c r="E332" s="109">
        <v>7436</v>
      </c>
      <c r="F332" s="109">
        <v>7436</v>
      </c>
      <c r="G332" s="126">
        <v>7.5</v>
      </c>
      <c r="H332" s="109">
        <f t="shared" si="40"/>
        <v>557.7</v>
      </c>
      <c r="I332" s="109">
        <v>0</v>
      </c>
      <c r="J332" s="109">
        <f t="shared" si="42"/>
        <v>557.7</v>
      </c>
      <c r="K332" s="112">
        <f t="shared" si="41"/>
        <v>6878.3</v>
      </c>
    </row>
    <row r="333" spans="1:11" s="63" customFormat="1" ht="12.75">
      <c r="A333" s="76" t="s">
        <v>488</v>
      </c>
      <c r="B333" s="113" t="s">
        <v>249</v>
      </c>
      <c r="C333" s="63">
        <v>2005</v>
      </c>
      <c r="D333" s="109">
        <v>0</v>
      </c>
      <c r="E333" s="109">
        <v>1386</v>
      </c>
      <c r="F333" s="109">
        <v>1386</v>
      </c>
      <c r="G333" s="126">
        <v>7.5</v>
      </c>
      <c r="H333" s="109">
        <f t="shared" si="40"/>
        <v>103.95</v>
      </c>
      <c r="I333" s="109">
        <v>0</v>
      </c>
      <c r="J333" s="109">
        <f t="shared" si="42"/>
        <v>103.95</v>
      </c>
      <c r="K333" s="112">
        <f t="shared" si="41"/>
        <v>1282.05</v>
      </c>
    </row>
    <row r="334" spans="1:11" s="63" customFormat="1" ht="12.75">
      <c r="A334" s="76" t="s">
        <v>489</v>
      </c>
      <c r="B334" s="113" t="s">
        <v>68</v>
      </c>
      <c r="C334" s="63">
        <v>2005</v>
      </c>
      <c r="D334" s="109">
        <v>0</v>
      </c>
      <c r="E334" s="109">
        <v>2585</v>
      </c>
      <c r="F334" s="109">
        <v>2585</v>
      </c>
      <c r="G334" s="126">
        <v>7.5</v>
      </c>
      <c r="H334" s="109">
        <f t="shared" si="40"/>
        <v>193.875</v>
      </c>
      <c r="I334" s="109">
        <v>0</v>
      </c>
      <c r="J334" s="109">
        <f t="shared" si="42"/>
        <v>193.875</v>
      </c>
      <c r="K334" s="112">
        <f t="shared" si="41"/>
        <v>2391.125</v>
      </c>
    </row>
    <row r="335" spans="1:11" ht="12.75">
      <c r="A335" s="76"/>
      <c r="B335" s="30"/>
      <c r="D335" s="104"/>
      <c r="E335" s="104"/>
      <c r="F335" s="104"/>
      <c r="H335" s="104"/>
      <c r="I335" s="104"/>
      <c r="J335" s="104"/>
      <c r="K335" s="108"/>
    </row>
    <row r="336" spans="1:11" ht="12.75">
      <c r="A336" s="19"/>
      <c r="B336" s="30"/>
      <c r="D336" s="104"/>
      <c r="E336" s="104"/>
      <c r="F336" s="104"/>
      <c r="H336" s="104"/>
      <c r="I336" s="104"/>
      <c r="J336" s="104"/>
      <c r="K336" s="108"/>
    </row>
    <row r="337" spans="1:11" ht="12.75">
      <c r="A337" s="43" t="s">
        <v>63</v>
      </c>
      <c r="B337" s="44"/>
      <c r="C337" s="44"/>
      <c r="D337" s="103">
        <f>SUM(D309:D336)</f>
        <v>144301.43583239938</v>
      </c>
      <c r="E337" s="103">
        <f>SUM(E309:E336)</f>
        <v>17012</v>
      </c>
      <c r="F337" s="103">
        <f>SUM(F309:F336)</f>
        <v>161313.43583239938</v>
      </c>
      <c r="G337" s="45"/>
      <c r="H337" s="103">
        <f>SUM(H309:H336)</f>
        <v>12137.25768742996</v>
      </c>
      <c r="I337" s="103">
        <f>SUM(I309:I336)</f>
        <v>32154.96</v>
      </c>
      <c r="J337" s="103">
        <f>SUM(J309:J336)</f>
        <v>45904.367687429956</v>
      </c>
      <c r="K337" s="103">
        <f>SUM(K309:K336)</f>
        <v>115409.06814496945</v>
      </c>
    </row>
    <row r="338" spans="1:11" ht="12.75">
      <c r="A338" s="20"/>
      <c r="D338" s="21"/>
      <c r="E338" s="21"/>
      <c r="F338" s="21"/>
      <c r="G338" s="21"/>
      <c r="H338" s="21"/>
      <c r="I338" s="21"/>
      <c r="J338" s="21"/>
      <c r="K338" s="21"/>
    </row>
    <row r="339" spans="1:6" ht="12.75">
      <c r="A339" s="20"/>
      <c r="D339" s="104"/>
      <c r="E339" s="104"/>
      <c r="F339" s="104"/>
    </row>
    <row r="340" spans="1:11" s="67" customFormat="1" ht="12.75">
      <c r="A340" s="64" t="s">
        <v>133</v>
      </c>
      <c r="B340" s="65"/>
      <c r="C340" s="65"/>
      <c r="D340" s="106">
        <f aca="true" t="shared" si="43" ref="D340:K340">SUM(D337+D303+D229+D147)</f>
        <v>609293.4072581304</v>
      </c>
      <c r="E340" s="106">
        <f t="shared" si="43"/>
        <v>154586.99000000002</v>
      </c>
      <c r="F340" s="106">
        <f t="shared" si="43"/>
        <v>763880.3972581305</v>
      </c>
      <c r="G340" s="66">
        <f t="shared" si="43"/>
        <v>0</v>
      </c>
      <c r="H340" s="106">
        <f t="shared" si="43"/>
        <v>50053.902917089305</v>
      </c>
      <c r="I340" s="106">
        <f t="shared" si="43"/>
        <v>117952.97192968955</v>
      </c>
      <c r="J340" s="106">
        <f t="shared" si="43"/>
        <v>169383.12047177885</v>
      </c>
      <c r="K340" s="106">
        <f t="shared" si="43"/>
        <v>594497.2767863516</v>
      </c>
    </row>
    <row r="342" ht="12.75">
      <c r="A342" s="47"/>
    </row>
    <row r="734" spans="4:10" ht="12.75">
      <c r="D734"/>
      <c r="E734"/>
      <c r="F734"/>
      <c r="H734"/>
      <c r="I734"/>
      <c r="J734"/>
    </row>
    <row r="735" spans="4:10" ht="12.75">
      <c r="D735"/>
      <c r="E735"/>
      <c r="F735"/>
      <c r="H735"/>
      <c r="I735"/>
      <c r="J735"/>
    </row>
    <row r="736" spans="4:10" ht="12.75">
      <c r="D736"/>
      <c r="E736"/>
      <c r="F736"/>
      <c r="H736"/>
      <c r="I736"/>
      <c r="J736"/>
    </row>
    <row r="737" spans="4:10" ht="12.75">
      <c r="D737"/>
      <c r="E737"/>
      <c r="F737"/>
      <c r="H737"/>
      <c r="I737"/>
      <c r="J737"/>
    </row>
    <row r="738" spans="4:10" ht="12.75">
      <c r="D738"/>
      <c r="E738"/>
      <c r="F738"/>
      <c r="H738"/>
      <c r="I738"/>
      <c r="J738"/>
    </row>
    <row r="739" spans="4:10" ht="12.75">
      <c r="D739"/>
      <c r="E739"/>
      <c r="F739"/>
      <c r="H739"/>
      <c r="I739"/>
      <c r="J739"/>
    </row>
    <row r="740" spans="4:10" ht="12.75">
      <c r="D740"/>
      <c r="E740"/>
      <c r="F740"/>
      <c r="H740"/>
      <c r="I740"/>
      <c r="J740"/>
    </row>
    <row r="741" spans="4:10" ht="12.75">
      <c r="D741"/>
      <c r="E741"/>
      <c r="F741"/>
      <c r="H741"/>
      <c r="I741"/>
      <c r="J741"/>
    </row>
    <row r="742" spans="4:10" ht="12.75">
      <c r="D742"/>
      <c r="E742"/>
      <c r="F742"/>
      <c r="H742"/>
      <c r="I742"/>
      <c r="J742"/>
    </row>
    <row r="743" spans="4:10" ht="12.75">
      <c r="D743"/>
      <c r="E743"/>
      <c r="F743"/>
      <c r="H743"/>
      <c r="I743"/>
      <c r="J743"/>
    </row>
    <row r="744" spans="4:10" ht="12.75">
      <c r="D744"/>
      <c r="E744"/>
      <c r="F744"/>
      <c r="H744"/>
      <c r="I744"/>
      <c r="J744"/>
    </row>
    <row r="745" spans="4:10" ht="12.75">
      <c r="D745"/>
      <c r="E745"/>
      <c r="F745"/>
      <c r="H745"/>
      <c r="I745"/>
      <c r="J745"/>
    </row>
    <row r="746" spans="4:10" ht="12.75">
      <c r="D746"/>
      <c r="E746"/>
      <c r="F746"/>
      <c r="H746"/>
      <c r="I746"/>
      <c r="J746"/>
    </row>
    <row r="747" spans="4:10" ht="12.75">
      <c r="D747"/>
      <c r="E747"/>
      <c r="F747"/>
      <c r="H747"/>
      <c r="I747"/>
      <c r="J747"/>
    </row>
    <row r="748" spans="4:10" ht="12.75">
      <c r="D748"/>
      <c r="E748"/>
      <c r="F748"/>
      <c r="H748"/>
      <c r="I748"/>
      <c r="J748"/>
    </row>
    <row r="749" spans="4:10" ht="12.75">
      <c r="D749"/>
      <c r="E749"/>
      <c r="F749"/>
      <c r="H749"/>
      <c r="I749"/>
      <c r="J749"/>
    </row>
    <row r="750" spans="4:10" ht="12.75">
      <c r="D750"/>
      <c r="E750"/>
      <c r="F750"/>
      <c r="H750"/>
      <c r="I750"/>
      <c r="J750"/>
    </row>
    <row r="751" spans="4:10" ht="12.75">
      <c r="D751"/>
      <c r="E751"/>
      <c r="F751"/>
      <c r="H751"/>
      <c r="I751"/>
      <c r="J751"/>
    </row>
    <row r="752" spans="4:10" ht="12.75">
      <c r="D752"/>
      <c r="E752"/>
      <c r="F752"/>
      <c r="H752"/>
      <c r="I752"/>
      <c r="J752"/>
    </row>
    <row r="753" spans="4:10" ht="12.75">
      <c r="D753"/>
      <c r="E753"/>
      <c r="F753"/>
      <c r="H753"/>
      <c r="I753"/>
      <c r="J753"/>
    </row>
    <row r="754" spans="4:10" ht="12.75">
      <c r="D754"/>
      <c r="E754"/>
      <c r="F754"/>
      <c r="H754"/>
      <c r="I754"/>
      <c r="J754"/>
    </row>
    <row r="755" spans="4:10" ht="12.75">
      <c r="D755"/>
      <c r="E755"/>
      <c r="F755"/>
      <c r="H755"/>
      <c r="I755"/>
      <c r="J755"/>
    </row>
    <row r="756" spans="4:10" ht="12.75">
      <c r="D756"/>
      <c r="E756"/>
      <c r="F756"/>
      <c r="H756"/>
      <c r="I756"/>
      <c r="J756"/>
    </row>
    <row r="757" spans="4:10" ht="12.75">
      <c r="D757"/>
      <c r="E757"/>
      <c r="F757"/>
      <c r="H757"/>
      <c r="I757"/>
      <c r="J757"/>
    </row>
    <row r="758" spans="4:10" ht="12.75">
      <c r="D758"/>
      <c r="E758"/>
      <c r="F758"/>
      <c r="H758"/>
      <c r="I758"/>
      <c r="J758"/>
    </row>
    <row r="759" spans="4:10" ht="12.75">
      <c r="D759"/>
      <c r="E759"/>
      <c r="F759"/>
      <c r="H759"/>
      <c r="I759"/>
      <c r="J759"/>
    </row>
    <row r="760" spans="4:10" ht="12.75">
      <c r="D760"/>
      <c r="E760"/>
      <c r="F760"/>
      <c r="H760"/>
      <c r="I760"/>
      <c r="J760"/>
    </row>
    <row r="761" spans="4:10" ht="12.75">
      <c r="D761"/>
      <c r="E761"/>
      <c r="F761"/>
      <c r="H761"/>
      <c r="I761"/>
      <c r="J761"/>
    </row>
    <row r="762" spans="4:10" ht="12.75">
      <c r="D762"/>
      <c r="E762"/>
      <c r="F762"/>
      <c r="H762"/>
      <c r="I762"/>
      <c r="J762"/>
    </row>
    <row r="763" spans="4:10" ht="12.75">
      <c r="D763"/>
      <c r="E763"/>
      <c r="F763"/>
      <c r="H763"/>
      <c r="I763"/>
      <c r="J763"/>
    </row>
    <row r="764" spans="4:10" ht="12.75">
      <c r="D764"/>
      <c r="E764"/>
      <c r="F764"/>
      <c r="H764"/>
      <c r="I764"/>
      <c r="J764"/>
    </row>
    <row r="765" spans="4:10" ht="12.75">
      <c r="D765"/>
      <c r="E765"/>
      <c r="F765"/>
      <c r="H765"/>
      <c r="I765"/>
      <c r="J765"/>
    </row>
    <row r="766" spans="2:44" ht="14.25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</row>
    <row r="767" spans="4:10" ht="12.75">
      <c r="D767"/>
      <c r="E767"/>
      <c r="F767"/>
      <c r="H767"/>
      <c r="I767"/>
      <c r="J767"/>
    </row>
    <row r="768" spans="1:10" ht="14.25">
      <c r="A768" s="9"/>
      <c r="D768"/>
      <c r="E768"/>
      <c r="F768"/>
      <c r="H768"/>
      <c r="I768"/>
      <c r="J768"/>
    </row>
    <row r="769" spans="4:10" ht="12.75">
      <c r="D769"/>
      <c r="E769"/>
      <c r="F769"/>
      <c r="H769"/>
      <c r="I769"/>
      <c r="J769"/>
    </row>
    <row r="770" spans="4:10" ht="12.75">
      <c r="D770"/>
      <c r="E770"/>
      <c r="F770"/>
      <c r="H770"/>
      <c r="I770"/>
      <c r="J770"/>
    </row>
    <row r="771" spans="4:10" ht="12.75">
      <c r="D771"/>
      <c r="E771"/>
      <c r="F771"/>
      <c r="H771"/>
      <c r="I771"/>
      <c r="J771"/>
    </row>
    <row r="772" spans="4:10" ht="12.75">
      <c r="D772"/>
      <c r="E772"/>
      <c r="F772"/>
      <c r="H772"/>
      <c r="I772"/>
      <c r="J772"/>
    </row>
    <row r="773" spans="4:10" ht="12.75">
      <c r="D773"/>
      <c r="E773"/>
      <c r="F773"/>
      <c r="H773"/>
      <c r="I773"/>
      <c r="J773"/>
    </row>
    <row r="774" spans="4:10" ht="12.75">
      <c r="D774"/>
      <c r="E774"/>
      <c r="F774"/>
      <c r="H774"/>
      <c r="I774"/>
      <c r="J774"/>
    </row>
    <row r="775" spans="4:10" ht="12.75">
      <c r="D775"/>
      <c r="E775"/>
      <c r="F775"/>
      <c r="H775"/>
      <c r="I775"/>
      <c r="J775"/>
    </row>
    <row r="776" spans="4:10" ht="12.75">
      <c r="D776"/>
      <c r="E776"/>
      <c r="F776"/>
      <c r="H776"/>
      <c r="I776"/>
      <c r="J776"/>
    </row>
    <row r="777" spans="4:10" ht="12.75">
      <c r="D777"/>
      <c r="E777"/>
      <c r="F777"/>
      <c r="H777"/>
      <c r="I777"/>
      <c r="J777"/>
    </row>
    <row r="778" spans="4:10" ht="12.75">
      <c r="D778"/>
      <c r="E778"/>
      <c r="F778"/>
      <c r="H778"/>
      <c r="I778"/>
      <c r="J778"/>
    </row>
    <row r="779" spans="4:10" ht="12.75">
      <c r="D779"/>
      <c r="E779"/>
      <c r="F779"/>
      <c r="H779"/>
      <c r="I779"/>
      <c r="J779"/>
    </row>
    <row r="780" spans="4:10" ht="12.75">
      <c r="D780"/>
      <c r="E780"/>
      <c r="F780"/>
      <c r="H780"/>
      <c r="I780"/>
      <c r="J780"/>
    </row>
    <row r="781" spans="4:10" ht="12.75">
      <c r="D781"/>
      <c r="E781"/>
      <c r="F781"/>
      <c r="H781"/>
      <c r="I781"/>
      <c r="J781"/>
    </row>
    <row r="782" spans="4:10" ht="12.75">
      <c r="D782"/>
      <c r="E782"/>
      <c r="F782"/>
      <c r="H782"/>
      <c r="I782"/>
      <c r="J782"/>
    </row>
    <row r="783" spans="4:10" ht="12.75">
      <c r="D783"/>
      <c r="E783"/>
      <c r="F783"/>
      <c r="H783"/>
      <c r="I783"/>
      <c r="J783"/>
    </row>
    <row r="784" spans="4:10" ht="12.75">
      <c r="D784"/>
      <c r="E784"/>
      <c r="F784"/>
      <c r="H784"/>
      <c r="I784"/>
      <c r="J784"/>
    </row>
    <row r="785" spans="4:10" ht="12.75">
      <c r="D785"/>
      <c r="E785"/>
      <c r="F785"/>
      <c r="H785"/>
      <c r="I785"/>
      <c r="J785"/>
    </row>
    <row r="786" spans="4:10" ht="12.75">
      <c r="D786"/>
      <c r="E786"/>
      <c r="F786"/>
      <c r="H786"/>
      <c r="I786"/>
      <c r="J786"/>
    </row>
    <row r="787" spans="4:10" ht="12.75">
      <c r="D787"/>
      <c r="E787"/>
      <c r="F787"/>
      <c r="H787"/>
      <c r="I787"/>
      <c r="J787"/>
    </row>
    <row r="788" spans="4:10" ht="12.75">
      <c r="D788"/>
      <c r="E788"/>
      <c r="F788"/>
      <c r="H788"/>
      <c r="I788"/>
      <c r="J788"/>
    </row>
    <row r="789" spans="4:10" ht="12.75">
      <c r="D789"/>
      <c r="E789"/>
      <c r="F789"/>
      <c r="H789"/>
      <c r="I789"/>
      <c r="J789"/>
    </row>
    <row r="790" spans="4:10" ht="12.75">
      <c r="D790"/>
      <c r="E790"/>
      <c r="F790"/>
      <c r="H790"/>
      <c r="I790"/>
      <c r="J790"/>
    </row>
    <row r="791" spans="4:10" ht="12.75">
      <c r="D791"/>
      <c r="E791"/>
      <c r="F791"/>
      <c r="H791"/>
      <c r="I791"/>
      <c r="J791"/>
    </row>
    <row r="792" spans="4:10" ht="12.75">
      <c r="D792"/>
      <c r="E792"/>
      <c r="F792"/>
      <c r="H792"/>
      <c r="I792"/>
      <c r="J792"/>
    </row>
    <row r="793" spans="4:10" ht="12.75">
      <c r="D793"/>
      <c r="E793"/>
      <c r="F793"/>
      <c r="H793"/>
      <c r="I793"/>
      <c r="J793"/>
    </row>
    <row r="794" spans="4:10" ht="12.75">
      <c r="D794"/>
      <c r="E794"/>
      <c r="F794"/>
      <c r="H794"/>
      <c r="I794"/>
      <c r="J794"/>
    </row>
    <row r="795" spans="4:10" ht="12.75">
      <c r="D795"/>
      <c r="E795"/>
      <c r="F795"/>
      <c r="H795"/>
      <c r="I795"/>
      <c r="J795"/>
    </row>
    <row r="796" spans="4:10" ht="12.75">
      <c r="D796"/>
      <c r="E796"/>
      <c r="F796"/>
      <c r="H796"/>
      <c r="I796"/>
      <c r="J796"/>
    </row>
    <row r="797" spans="4:10" ht="12.75">
      <c r="D797"/>
      <c r="E797"/>
      <c r="F797"/>
      <c r="H797"/>
      <c r="I797"/>
      <c r="J797"/>
    </row>
    <row r="798" spans="4:10" ht="12.75">
      <c r="D798"/>
      <c r="E798"/>
      <c r="F798"/>
      <c r="H798"/>
      <c r="I798"/>
      <c r="J798"/>
    </row>
    <row r="799" spans="4:10" ht="12.75">
      <c r="D799"/>
      <c r="E799"/>
      <c r="F799"/>
      <c r="H799"/>
      <c r="I799"/>
      <c r="J799"/>
    </row>
    <row r="800" spans="4:10" ht="12.75">
      <c r="D800"/>
      <c r="E800"/>
      <c r="F800"/>
      <c r="H800"/>
      <c r="I800"/>
      <c r="J800"/>
    </row>
    <row r="801" spans="4:10" ht="12.75">
      <c r="D801"/>
      <c r="E801"/>
      <c r="F801"/>
      <c r="H801"/>
      <c r="I801"/>
      <c r="J801"/>
    </row>
    <row r="802" spans="4:10" ht="12.75">
      <c r="D802"/>
      <c r="E802"/>
      <c r="F802"/>
      <c r="H802"/>
      <c r="I802"/>
      <c r="J802"/>
    </row>
    <row r="803" spans="4:10" ht="12.75">
      <c r="D803"/>
      <c r="E803"/>
      <c r="F803"/>
      <c r="H803"/>
      <c r="I803"/>
      <c r="J803"/>
    </row>
    <row r="804" spans="4:10" ht="12.75">
      <c r="D804"/>
      <c r="E804"/>
      <c r="F804"/>
      <c r="H804"/>
      <c r="I804"/>
      <c r="J804"/>
    </row>
    <row r="805" spans="4:10" ht="12.75">
      <c r="D805"/>
      <c r="E805"/>
      <c r="F805"/>
      <c r="H805"/>
      <c r="I805"/>
      <c r="J805"/>
    </row>
    <row r="806" spans="4:10" ht="12.75">
      <c r="D806"/>
      <c r="E806"/>
      <c r="F806"/>
      <c r="H806"/>
      <c r="I806"/>
      <c r="J806"/>
    </row>
    <row r="807" spans="4:10" ht="12.75">
      <c r="D807"/>
      <c r="E807"/>
      <c r="F807"/>
      <c r="H807"/>
      <c r="I807"/>
      <c r="J807"/>
    </row>
    <row r="808" spans="4:10" ht="12.75">
      <c r="D808"/>
      <c r="E808"/>
      <c r="F808"/>
      <c r="H808"/>
      <c r="I808"/>
      <c r="J808"/>
    </row>
    <row r="809" spans="4:10" ht="12.75">
      <c r="D809"/>
      <c r="E809"/>
      <c r="F809"/>
      <c r="H809"/>
      <c r="I809"/>
      <c r="J809"/>
    </row>
    <row r="810" spans="4:10" ht="12.75">
      <c r="D810"/>
      <c r="E810"/>
      <c r="F810"/>
      <c r="H810"/>
      <c r="I810"/>
      <c r="J810"/>
    </row>
    <row r="811" spans="4:10" ht="12.75">
      <c r="D811"/>
      <c r="E811"/>
      <c r="F811"/>
      <c r="H811"/>
      <c r="I811"/>
      <c r="J811"/>
    </row>
    <row r="812" spans="4:10" ht="12.75">
      <c r="D812"/>
      <c r="E812"/>
      <c r="F812"/>
      <c r="H812"/>
      <c r="I812"/>
      <c r="J812"/>
    </row>
    <row r="813" spans="4:10" ht="12.75">
      <c r="D813"/>
      <c r="E813"/>
      <c r="F813"/>
      <c r="H813"/>
      <c r="I813"/>
      <c r="J813"/>
    </row>
    <row r="814" spans="4:10" ht="12.75">
      <c r="D814"/>
      <c r="E814"/>
      <c r="F814"/>
      <c r="H814"/>
      <c r="I814"/>
      <c r="J814"/>
    </row>
    <row r="815" spans="4:10" ht="12.75">
      <c r="D815"/>
      <c r="E815"/>
      <c r="F815"/>
      <c r="H815"/>
      <c r="I815"/>
      <c r="J815"/>
    </row>
    <row r="816" spans="4:10" ht="12.75">
      <c r="D816"/>
      <c r="E816"/>
      <c r="F816"/>
      <c r="H816"/>
      <c r="I816"/>
      <c r="J816"/>
    </row>
    <row r="817" spans="4:10" ht="12.75">
      <c r="D817"/>
      <c r="E817"/>
      <c r="F817"/>
      <c r="H817"/>
      <c r="I817"/>
      <c r="J817"/>
    </row>
    <row r="818" spans="4:10" ht="12.75">
      <c r="D818"/>
      <c r="E818"/>
      <c r="F818"/>
      <c r="H818"/>
      <c r="I818"/>
      <c r="J818"/>
    </row>
    <row r="819" spans="4:10" ht="12.75">
      <c r="D819"/>
      <c r="E819"/>
      <c r="F819"/>
      <c r="H819"/>
      <c r="I819"/>
      <c r="J819"/>
    </row>
    <row r="820" spans="4:10" ht="12.75">
      <c r="D820"/>
      <c r="E820"/>
      <c r="F820"/>
      <c r="H820"/>
      <c r="I820"/>
      <c r="J820"/>
    </row>
    <row r="821" spans="4:10" ht="12.75">
      <c r="D821"/>
      <c r="E821"/>
      <c r="F821"/>
      <c r="H821"/>
      <c r="I821"/>
      <c r="J821"/>
    </row>
    <row r="822" spans="4:10" ht="12.75">
      <c r="D822"/>
      <c r="E822"/>
      <c r="F822"/>
      <c r="H822"/>
      <c r="I822"/>
      <c r="J822"/>
    </row>
    <row r="823" spans="4:10" ht="12.75">
      <c r="D823"/>
      <c r="E823"/>
      <c r="F823"/>
      <c r="H823"/>
      <c r="I823"/>
      <c r="J823"/>
    </row>
    <row r="824" spans="4:10" ht="12.75">
      <c r="D824"/>
      <c r="E824"/>
      <c r="F824"/>
      <c r="H824"/>
      <c r="I824"/>
      <c r="J824"/>
    </row>
    <row r="825" spans="4:10" ht="12.75">
      <c r="D825"/>
      <c r="E825"/>
      <c r="F825"/>
      <c r="H825"/>
      <c r="I825"/>
      <c r="J825"/>
    </row>
    <row r="826" spans="4:10" ht="12.75">
      <c r="D826"/>
      <c r="E826"/>
      <c r="F826"/>
      <c r="H826"/>
      <c r="I826"/>
      <c r="J826"/>
    </row>
    <row r="827" spans="4:10" ht="12.75">
      <c r="D827"/>
      <c r="E827"/>
      <c r="F827"/>
      <c r="H827"/>
      <c r="I827"/>
      <c r="J827"/>
    </row>
    <row r="828" spans="2:44" ht="14.25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</row>
    <row r="829" spans="4:10" ht="12.75">
      <c r="D829"/>
      <c r="E829"/>
      <c r="F829"/>
      <c r="H829"/>
      <c r="I829"/>
      <c r="J829"/>
    </row>
    <row r="830" spans="1:10" ht="15">
      <c r="A830" s="13"/>
      <c r="D830"/>
      <c r="E830"/>
      <c r="F830"/>
      <c r="H830"/>
      <c r="I830"/>
      <c r="J830"/>
    </row>
    <row r="831" spans="4:10" ht="12.75">
      <c r="D831"/>
      <c r="E831"/>
      <c r="F831"/>
      <c r="H831"/>
      <c r="I831"/>
      <c r="J831"/>
    </row>
    <row r="832" spans="4:10" ht="12.75">
      <c r="D832"/>
      <c r="E832"/>
      <c r="F832"/>
      <c r="H832"/>
      <c r="I832"/>
      <c r="J832"/>
    </row>
    <row r="833" spans="4:10" ht="12.75">
      <c r="D833"/>
      <c r="E833"/>
      <c r="F833"/>
      <c r="H833"/>
      <c r="I833"/>
      <c r="J833"/>
    </row>
    <row r="834" spans="4:10" ht="12.75">
      <c r="D834"/>
      <c r="E834"/>
      <c r="F834"/>
      <c r="H834"/>
      <c r="I834"/>
      <c r="J834"/>
    </row>
    <row r="835" spans="4:10" ht="12.75">
      <c r="D835"/>
      <c r="E835"/>
      <c r="F835"/>
      <c r="H835"/>
      <c r="I835"/>
      <c r="J835"/>
    </row>
    <row r="836" spans="4:10" ht="12.75">
      <c r="D836"/>
      <c r="E836"/>
      <c r="F836"/>
      <c r="H836"/>
      <c r="I836"/>
      <c r="J836"/>
    </row>
    <row r="837" spans="4:10" ht="12.75">
      <c r="D837"/>
      <c r="E837"/>
      <c r="F837"/>
      <c r="H837"/>
      <c r="I837"/>
      <c r="J837"/>
    </row>
    <row r="838" spans="4:10" ht="12.75">
      <c r="D838"/>
      <c r="E838"/>
      <c r="F838"/>
      <c r="H838"/>
      <c r="I838"/>
      <c r="J838"/>
    </row>
    <row r="839" spans="4:10" ht="12.75">
      <c r="D839"/>
      <c r="E839"/>
      <c r="F839"/>
      <c r="H839"/>
      <c r="I839"/>
      <c r="J839"/>
    </row>
    <row r="840" spans="4:10" ht="12.75">
      <c r="D840"/>
      <c r="E840"/>
      <c r="F840"/>
      <c r="H840"/>
      <c r="I840"/>
      <c r="J840"/>
    </row>
    <row r="841" spans="4:10" ht="12.75">
      <c r="D841"/>
      <c r="E841"/>
      <c r="F841"/>
      <c r="H841"/>
      <c r="I841"/>
      <c r="J841"/>
    </row>
    <row r="842" spans="4:10" ht="12.75">
      <c r="D842"/>
      <c r="E842"/>
      <c r="F842"/>
      <c r="H842"/>
      <c r="I842"/>
      <c r="J842"/>
    </row>
    <row r="843" spans="4:10" ht="12.75">
      <c r="D843"/>
      <c r="E843"/>
      <c r="F843"/>
      <c r="H843"/>
      <c r="I843"/>
      <c r="J843"/>
    </row>
    <row r="844" spans="4:10" ht="12.75">
      <c r="D844"/>
      <c r="E844"/>
      <c r="F844"/>
      <c r="H844"/>
      <c r="I844"/>
      <c r="J844"/>
    </row>
    <row r="845" spans="4:10" ht="12.75">
      <c r="D845"/>
      <c r="E845"/>
      <c r="F845"/>
      <c r="H845"/>
      <c r="I845"/>
      <c r="J845"/>
    </row>
    <row r="846" spans="4:10" ht="12.75">
      <c r="D846"/>
      <c r="E846"/>
      <c r="F846"/>
      <c r="H846"/>
      <c r="I846"/>
      <c r="J846"/>
    </row>
    <row r="847" spans="4:10" ht="12.75">
      <c r="D847"/>
      <c r="E847"/>
      <c r="F847"/>
      <c r="H847"/>
      <c r="I847"/>
      <c r="J847"/>
    </row>
    <row r="848" spans="4:10" ht="12.75">
      <c r="D848"/>
      <c r="E848"/>
      <c r="F848"/>
      <c r="H848"/>
      <c r="I848"/>
      <c r="J848"/>
    </row>
    <row r="849" spans="4:10" ht="12.75">
      <c r="D849"/>
      <c r="E849"/>
      <c r="F849"/>
      <c r="H849"/>
      <c r="I849"/>
      <c r="J849"/>
    </row>
    <row r="850" spans="4:10" ht="12.75">
      <c r="D850"/>
      <c r="E850"/>
      <c r="F850"/>
      <c r="H850"/>
      <c r="I850"/>
      <c r="J850"/>
    </row>
    <row r="851" spans="4:10" ht="12.75">
      <c r="D851"/>
      <c r="E851"/>
      <c r="F851"/>
      <c r="H851"/>
      <c r="I851"/>
      <c r="J851"/>
    </row>
    <row r="852" spans="4:10" ht="12.75">
      <c r="D852"/>
      <c r="E852"/>
      <c r="F852"/>
      <c r="H852"/>
      <c r="I852"/>
      <c r="J852"/>
    </row>
    <row r="853" spans="4:10" ht="12.75">
      <c r="D853"/>
      <c r="E853"/>
      <c r="F853"/>
      <c r="H853"/>
      <c r="I853"/>
      <c r="J853"/>
    </row>
    <row r="854" spans="4:10" ht="12.75">
      <c r="D854"/>
      <c r="E854"/>
      <c r="F854"/>
      <c r="H854"/>
      <c r="I854"/>
      <c r="J854"/>
    </row>
    <row r="855" spans="4:10" ht="12.75">
      <c r="D855"/>
      <c r="E855"/>
      <c r="F855"/>
      <c r="H855"/>
      <c r="I855"/>
      <c r="J855"/>
    </row>
    <row r="856" spans="4:10" ht="12.75">
      <c r="D856"/>
      <c r="E856"/>
      <c r="F856"/>
      <c r="H856"/>
      <c r="I856"/>
      <c r="J856"/>
    </row>
    <row r="857" spans="4:10" ht="12.75">
      <c r="D857"/>
      <c r="E857"/>
      <c r="F857"/>
      <c r="H857"/>
      <c r="I857"/>
      <c r="J857"/>
    </row>
    <row r="858" spans="4:10" ht="12.75">
      <c r="D858"/>
      <c r="E858"/>
      <c r="F858"/>
      <c r="H858"/>
      <c r="I858"/>
      <c r="J858"/>
    </row>
    <row r="859" spans="4:10" ht="12.75">
      <c r="D859"/>
      <c r="E859"/>
      <c r="F859"/>
      <c r="H859"/>
      <c r="I859"/>
      <c r="J859"/>
    </row>
    <row r="860" spans="4:10" ht="12.75">
      <c r="D860"/>
      <c r="E860"/>
      <c r="F860"/>
      <c r="H860"/>
      <c r="I860"/>
      <c r="J860"/>
    </row>
    <row r="861" spans="4:10" ht="12.75">
      <c r="D861"/>
      <c r="E861"/>
      <c r="F861"/>
      <c r="H861"/>
      <c r="I861"/>
      <c r="J861"/>
    </row>
    <row r="862" spans="4:10" ht="12.75">
      <c r="D862"/>
      <c r="E862"/>
      <c r="F862"/>
      <c r="H862"/>
      <c r="I862"/>
      <c r="J862"/>
    </row>
    <row r="863" spans="4:10" ht="12.75">
      <c r="D863"/>
      <c r="E863"/>
      <c r="F863"/>
      <c r="H863"/>
      <c r="I863"/>
      <c r="J863"/>
    </row>
    <row r="864" spans="4:10" ht="12.75">
      <c r="D864"/>
      <c r="E864"/>
      <c r="F864"/>
      <c r="H864"/>
      <c r="I864"/>
      <c r="J864"/>
    </row>
    <row r="865" spans="4:10" ht="12.75">
      <c r="D865"/>
      <c r="E865"/>
      <c r="F865"/>
      <c r="H865"/>
      <c r="I865"/>
      <c r="J865"/>
    </row>
    <row r="866" spans="4:10" ht="12.75">
      <c r="D866"/>
      <c r="E866"/>
      <c r="F866"/>
      <c r="H866"/>
      <c r="I866"/>
      <c r="J866"/>
    </row>
    <row r="867" spans="4:10" ht="12.75">
      <c r="D867"/>
      <c r="E867"/>
      <c r="F867"/>
      <c r="H867"/>
      <c r="I867"/>
      <c r="J867"/>
    </row>
    <row r="868" spans="4:10" ht="12.75">
      <c r="D868"/>
      <c r="E868"/>
      <c r="F868"/>
      <c r="H868"/>
      <c r="I868"/>
      <c r="J868"/>
    </row>
    <row r="869" spans="4:10" ht="12.75">
      <c r="D869"/>
      <c r="E869"/>
      <c r="F869"/>
      <c r="H869"/>
      <c r="I869"/>
      <c r="J869"/>
    </row>
    <row r="870" spans="4:10" ht="12.75">
      <c r="D870"/>
      <c r="E870"/>
      <c r="F870"/>
      <c r="H870"/>
      <c r="I870"/>
      <c r="J870"/>
    </row>
    <row r="871" spans="4:10" ht="12.75">
      <c r="D871"/>
      <c r="E871"/>
      <c r="F871"/>
      <c r="H871"/>
      <c r="I871"/>
      <c r="J871"/>
    </row>
    <row r="872" spans="4:10" ht="12.75">
      <c r="D872"/>
      <c r="E872"/>
      <c r="F872"/>
      <c r="H872"/>
      <c r="I872"/>
      <c r="J872"/>
    </row>
    <row r="873" spans="4:10" ht="12.75">
      <c r="D873"/>
      <c r="E873"/>
      <c r="F873"/>
      <c r="H873"/>
      <c r="I873"/>
      <c r="J873"/>
    </row>
    <row r="874" spans="4:10" ht="12.75">
      <c r="D874"/>
      <c r="E874"/>
      <c r="F874"/>
      <c r="H874"/>
      <c r="I874"/>
      <c r="J874"/>
    </row>
    <row r="875" spans="4:10" ht="12.75">
      <c r="D875"/>
      <c r="E875"/>
      <c r="F875"/>
      <c r="H875"/>
      <c r="I875"/>
      <c r="J875"/>
    </row>
    <row r="876" spans="4:10" ht="12.75">
      <c r="D876"/>
      <c r="E876"/>
      <c r="F876"/>
      <c r="H876"/>
      <c r="I876"/>
      <c r="J876"/>
    </row>
    <row r="877" spans="4:10" ht="12.75">
      <c r="D877"/>
      <c r="E877"/>
      <c r="F877"/>
      <c r="H877"/>
      <c r="I877"/>
      <c r="J877"/>
    </row>
    <row r="878" spans="4:10" ht="12.75">
      <c r="D878"/>
      <c r="E878"/>
      <c r="F878"/>
      <c r="H878"/>
      <c r="I878"/>
      <c r="J878"/>
    </row>
    <row r="879" spans="4:10" ht="12.75">
      <c r="D879"/>
      <c r="E879"/>
      <c r="F879"/>
      <c r="H879"/>
      <c r="I879"/>
      <c r="J879"/>
    </row>
    <row r="880" spans="4:10" ht="12.75">
      <c r="D880"/>
      <c r="E880"/>
      <c r="F880"/>
      <c r="H880"/>
      <c r="I880"/>
      <c r="J880"/>
    </row>
    <row r="881" spans="4:10" ht="12.75">
      <c r="D881"/>
      <c r="E881"/>
      <c r="F881"/>
      <c r="H881"/>
      <c r="I881"/>
      <c r="J881"/>
    </row>
    <row r="882" spans="4:10" ht="12.75">
      <c r="D882"/>
      <c r="E882"/>
      <c r="F882"/>
      <c r="H882"/>
      <c r="I882"/>
      <c r="J882"/>
    </row>
    <row r="883" spans="4:10" ht="12.75">
      <c r="D883"/>
      <c r="E883"/>
      <c r="F883"/>
      <c r="H883"/>
      <c r="I883"/>
      <c r="J883"/>
    </row>
    <row r="884" spans="4:10" ht="12.75">
      <c r="D884"/>
      <c r="E884"/>
      <c r="F884"/>
      <c r="H884"/>
      <c r="I884"/>
      <c r="J884"/>
    </row>
    <row r="885" spans="4:10" ht="12.75">
      <c r="D885"/>
      <c r="E885"/>
      <c r="F885"/>
      <c r="H885"/>
      <c r="I885"/>
      <c r="J885"/>
    </row>
    <row r="886" spans="4:10" ht="12.75">
      <c r="D886"/>
      <c r="E886"/>
      <c r="F886"/>
      <c r="H886"/>
      <c r="I886"/>
      <c r="J886"/>
    </row>
    <row r="887" spans="4:10" ht="12.75">
      <c r="D887"/>
      <c r="E887"/>
      <c r="F887"/>
      <c r="H887"/>
      <c r="I887"/>
      <c r="J887"/>
    </row>
    <row r="888" spans="4:10" ht="12.75">
      <c r="D888"/>
      <c r="E888"/>
      <c r="F888"/>
      <c r="H888"/>
      <c r="I888"/>
      <c r="J888"/>
    </row>
    <row r="889" spans="4:10" ht="12.75">
      <c r="D889"/>
      <c r="E889"/>
      <c r="F889"/>
      <c r="H889"/>
      <c r="I889"/>
      <c r="J889"/>
    </row>
    <row r="890" spans="4:10" ht="12.75">
      <c r="D890"/>
      <c r="E890"/>
      <c r="F890"/>
      <c r="H890"/>
      <c r="I890"/>
      <c r="J890"/>
    </row>
    <row r="891" spans="4:10" ht="12.75">
      <c r="D891"/>
      <c r="E891"/>
      <c r="F891"/>
      <c r="H891"/>
      <c r="I891"/>
      <c r="J891"/>
    </row>
    <row r="892" spans="4:10" ht="12.75">
      <c r="D892"/>
      <c r="E892"/>
      <c r="F892"/>
      <c r="H892"/>
      <c r="I892"/>
      <c r="J892"/>
    </row>
    <row r="893" spans="4:10" ht="12.75">
      <c r="D893"/>
      <c r="E893"/>
      <c r="F893"/>
      <c r="H893"/>
      <c r="I893"/>
      <c r="J893"/>
    </row>
    <row r="894" spans="4:10" ht="12.75">
      <c r="D894"/>
      <c r="E894"/>
      <c r="F894"/>
      <c r="H894"/>
      <c r="I894"/>
      <c r="J894"/>
    </row>
    <row r="895" spans="4:10" ht="12.75">
      <c r="D895"/>
      <c r="E895"/>
      <c r="F895"/>
      <c r="H895"/>
      <c r="I895"/>
      <c r="J895"/>
    </row>
    <row r="896" spans="4:10" ht="12.75">
      <c r="D896"/>
      <c r="E896"/>
      <c r="F896"/>
      <c r="H896"/>
      <c r="I896"/>
      <c r="J896"/>
    </row>
    <row r="897" spans="4:10" ht="12.75">
      <c r="D897"/>
      <c r="E897"/>
      <c r="F897"/>
      <c r="H897"/>
      <c r="I897"/>
      <c r="J897"/>
    </row>
    <row r="898" spans="4:10" ht="12.75">
      <c r="D898"/>
      <c r="E898"/>
      <c r="F898"/>
      <c r="H898"/>
      <c r="I898"/>
      <c r="J898"/>
    </row>
    <row r="899" spans="4:10" ht="12.75">
      <c r="D899"/>
      <c r="E899"/>
      <c r="F899"/>
      <c r="H899"/>
      <c r="I899"/>
      <c r="J899"/>
    </row>
    <row r="900" spans="4:10" ht="12.75">
      <c r="D900"/>
      <c r="E900"/>
      <c r="F900"/>
      <c r="H900"/>
      <c r="I900"/>
      <c r="J900"/>
    </row>
    <row r="901" spans="4:10" ht="12.75">
      <c r="D901"/>
      <c r="E901"/>
      <c r="F901"/>
      <c r="H901"/>
      <c r="I901"/>
      <c r="J901"/>
    </row>
    <row r="902" spans="4:10" ht="12.75">
      <c r="D902"/>
      <c r="E902"/>
      <c r="F902"/>
      <c r="H902"/>
      <c r="I902"/>
      <c r="J902"/>
    </row>
    <row r="903" spans="4:10" ht="12.75">
      <c r="D903"/>
      <c r="E903"/>
      <c r="F903"/>
      <c r="H903"/>
      <c r="I903"/>
      <c r="J903"/>
    </row>
    <row r="904" spans="4:10" ht="12.75">
      <c r="D904"/>
      <c r="E904"/>
      <c r="F904"/>
      <c r="H904"/>
      <c r="I904"/>
      <c r="J904"/>
    </row>
    <row r="905" spans="4:10" ht="12.75">
      <c r="D905"/>
      <c r="E905"/>
      <c r="F905"/>
      <c r="H905"/>
      <c r="I905"/>
      <c r="J905"/>
    </row>
    <row r="906" spans="4:10" ht="12.75">
      <c r="D906"/>
      <c r="E906"/>
      <c r="F906"/>
      <c r="H906"/>
      <c r="I906"/>
      <c r="J906"/>
    </row>
    <row r="907" spans="4:10" ht="12.75">
      <c r="D907"/>
      <c r="E907"/>
      <c r="F907"/>
      <c r="H907"/>
      <c r="I907"/>
      <c r="J907"/>
    </row>
    <row r="908" spans="4:10" ht="12.75">
      <c r="D908"/>
      <c r="E908"/>
      <c r="F908"/>
      <c r="H908"/>
      <c r="I908"/>
      <c r="J908"/>
    </row>
    <row r="909" spans="4:10" ht="12.75">
      <c r="D909"/>
      <c r="E909"/>
      <c r="F909"/>
      <c r="H909"/>
      <c r="I909"/>
      <c r="J909"/>
    </row>
    <row r="910" spans="4:10" ht="12.75">
      <c r="D910"/>
      <c r="E910"/>
      <c r="F910"/>
      <c r="H910"/>
      <c r="I910"/>
      <c r="J910"/>
    </row>
    <row r="911" spans="4:10" ht="12.75">
      <c r="D911"/>
      <c r="E911"/>
      <c r="F911"/>
      <c r="H911"/>
      <c r="I911"/>
      <c r="J911"/>
    </row>
    <row r="912" spans="4:10" ht="12.75">
      <c r="D912"/>
      <c r="E912"/>
      <c r="F912"/>
      <c r="H912"/>
      <c r="I912"/>
      <c r="J912"/>
    </row>
    <row r="913" spans="4:10" ht="12.75">
      <c r="D913"/>
      <c r="E913"/>
      <c r="F913"/>
      <c r="H913"/>
      <c r="I913"/>
      <c r="J913"/>
    </row>
    <row r="914" spans="4:10" ht="12.75">
      <c r="D914"/>
      <c r="E914"/>
      <c r="F914"/>
      <c r="H914"/>
      <c r="I914"/>
      <c r="J914"/>
    </row>
    <row r="915" spans="4:10" ht="12.75">
      <c r="D915"/>
      <c r="E915"/>
      <c r="F915"/>
      <c r="H915"/>
      <c r="I915"/>
      <c r="J915"/>
    </row>
    <row r="916" spans="4:10" ht="12.75">
      <c r="D916"/>
      <c r="E916"/>
      <c r="F916"/>
      <c r="H916"/>
      <c r="I916"/>
      <c r="J916"/>
    </row>
    <row r="917" spans="4:10" ht="12.75">
      <c r="D917"/>
      <c r="E917"/>
      <c r="F917"/>
      <c r="H917"/>
      <c r="I917"/>
      <c r="J917"/>
    </row>
    <row r="918" spans="4:10" ht="12.75">
      <c r="D918"/>
      <c r="E918"/>
      <c r="F918"/>
      <c r="H918"/>
      <c r="I918"/>
      <c r="J918"/>
    </row>
    <row r="919" spans="4:10" ht="12.75">
      <c r="D919"/>
      <c r="E919"/>
      <c r="F919"/>
      <c r="H919"/>
      <c r="I919"/>
      <c r="J919"/>
    </row>
    <row r="920" spans="4:10" ht="12.75">
      <c r="D920"/>
      <c r="E920"/>
      <c r="F920"/>
      <c r="H920"/>
      <c r="I920"/>
      <c r="J920"/>
    </row>
    <row r="921" spans="4:10" ht="12.75">
      <c r="D921"/>
      <c r="E921"/>
      <c r="F921"/>
      <c r="H921"/>
      <c r="I921"/>
      <c r="J921"/>
    </row>
    <row r="922" spans="4:10" ht="12.75">
      <c r="D922"/>
      <c r="E922"/>
      <c r="F922"/>
      <c r="H922"/>
      <c r="I922"/>
      <c r="J922"/>
    </row>
    <row r="923" spans="4:10" ht="12.75">
      <c r="D923"/>
      <c r="E923"/>
      <c r="F923"/>
      <c r="H923"/>
      <c r="I923"/>
      <c r="J923"/>
    </row>
    <row r="924" spans="4:10" ht="12.75">
      <c r="D924"/>
      <c r="E924"/>
      <c r="F924"/>
      <c r="H924"/>
      <c r="I924"/>
      <c r="J924"/>
    </row>
    <row r="925" spans="4:10" ht="12.75">
      <c r="D925"/>
      <c r="E925"/>
      <c r="F925"/>
      <c r="H925"/>
      <c r="I925"/>
      <c r="J925"/>
    </row>
    <row r="926" spans="4:10" ht="12.75">
      <c r="D926"/>
      <c r="E926"/>
      <c r="F926"/>
      <c r="H926"/>
      <c r="I926"/>
      <c r="J926"/>
    </row>
    <row r="927" spans="4:10" ht="12.75">
      <c r="D927"/>
      <c r="E927"/>
      <c r="F927"/>
      <c r="H927"/>
      <c r="I927"/>
      <c r="J927"/>
    </row>
    <row r="928" spans="4:10" ht="12.75">
      <c r="D928"/>
      <c r="E928"/>
      <c r="F928"/>
      <c r="H928"/>
      <c r="I928"/>
      <c r="J928"/>
    </row>
    <row r="929" spans="4:10" ht="12.75">
      <c r="D929"/>
      <c r="E929"/>
      <c r="F929"/>
      <c r="H929"/>
      <c r="I929"/>
      <c r="J929"/>
    </row>
    <row r="930" spans="4:10" ht="12.75">
      <c r="D930"/>
      <c r="E930"/>
      <c r="F930"/>
      <c r="H930"/>
      <c r="I930"/>
      <c r="J930"/>
    </row>
    <row r="931" spans="4:10" ht="12.75">
      <c r="D931"/>
      <c r="E931"/>
      <c r="F931"/>
      <c r="H931"/>
      <c r="I931"/>
      <c r="J931"/>
    </row>
    <row r="932" spans="4:10" ht="12.75">
      <c r="D932"/>
      <c r="E932"/>
      <c r="F932"/>
      <c r="H932"/>
      <c r="I932"/>
      <c r="J932"/>
    </row>
    <row r="933" spans="4:10" ht="12.75">
      <c r="D933"/>
      <c r="E933"/>
      <c r="F933"/>
      <c r="H933"/>
      <c r="I933"/>
      <c r="J933"/>
    </row>
    <row r="934" spans="4:10" ht="12.75">
      <c r="D934"/>
      <c r="E934"/>
      <c r="F934"/>
      <c r="H934"/>
      <c r="I934"/>
      <c r="J934"/>
    </row>
    <row r="935" spans="4:10" ht="12.75">
      <c r="D935"/>
      <c r="E935"/>
      <c r="F935"/>
      <c r="H935"/>
      <c r="I935"/>
      <c r="J935"/>
    </row>
    <row r="936" spans="4:10" ht="12.75">
      <c r="D936"/>
      <c r="E936"/>
      <c r="F936"/>
      <c r="H936"/>
      <c r="I936"/>
      <c r="J936"/>
    </row>
    <row r="937" spans="4:10" ht="12.75">
      <c r="D937"/>
      <c r="E937"/>
      <c r="F937"/>
      <c r="H937"/>
      <c r="I937"/>
      <c r="J937"/>
    </row>
    <row r="938" spans="4:10" ht="12.75">
      <c r="D938"/>
      <c r="E938"/>
      <c r="F938"/>
      <c r="H938"/>
      <c r="I938"/>
      <c r="J938"/>
    </row>
    <row r="939" spans="4:10" ht="12.75">
      <c r="D939"/>
      <c r="E939"/>
      <c r="F939"/>
      <c r="H939"/>
      <c r="I939"/>
      <c r="J939"/>
    </row>
    <row r="940" spans="4:10" ht="12.75">
      <c r="D940"/>
      <c r="E940"/>
      <c r="F940"/>
      <c r="H940"/>
      <c r="I940"/>
      <c r="J940"/>
    </row>
    <row r="941" spans="4:10" ht="12.75">
      <c r="D941"/>
      <c r="E941"/>
      <c r="F941"/>
      <c r="H941"/>
      <c r="I941"/>
      <c r="J941"/>
    </row>
    <row r="942" spans="4:10" ht="12.75">
      <c r="D942"/>
      <c r="E942"/>
      <c r="F942"/>
      <c r="H942"/>
      <c r="I942"/>
      <c r="J942"/>
    </row>
    <row r="943" spans="4:10" ht="12.75">
      <c r="D943"/>
      <c r="E943"/>
      <c r="F943"/>
      <c r="H943"/>
      <c r="I943"/>
      <c r="J943"/>
    </row>
    <row r="944" spans="4:10" ht="12.75">
      <c r="D944"/>
      <c r="E944"/>
      <c r="F944"/>
      <c r="H944"/>
      <c r="I944"/>
      <c r="J944"/>
    </row>
    <row r="945" spans="4:10" ht="12.75">
      <c r="D945"/>
      <c r="E945"/>
      <c r="F945"/>
      <c r="H945"/>
      <c r="I945"/>
      <c r="J945"/>
    </row>
    <row r="946" spans="4:10" ht="12.75">
      <c r="D946"/>
      <c r="E946"/>
      <c r="F946"/>
      <c r="H946"/>
      <c r="I946"/>
      <c r="J946"/>
    </row>
    <row r="947" spans="4:10" ht="12.75">
      <c r="D947"/>
      <c r="E947"/>
      <c r="F947"/>
      <c r="H947"/>
      <c r="I947"/>
      <c r="J947"/>
    </row>
    <row r="948" spans="4:10" ht="12.75">
      <c r="D948"/>
      <c r="E948"/>
      <c r="F948"/>
      <c r="H948"/>
      <c r="I948"/>
      <c r="J948"/>
    </row>
    <row r="949" spans="4:10" ht="12.75">
      <c r="D949"/>
      <c r="E949"/>
      <c r="F949"/>
      <c r="H949"/>
      <c r="I949"/>
      <c r="J949"/>
    </row>
    <row r="950" spans="4:10" ht="12.75">
      <c r="D950"/>
      <c r="E950"/>
      <c r="F950"/>
      <c r="H950"/>
      <c r="I950"/>
      <c r="J950"/>
    </row>
    <row r="951" spans="4:10" ht="12.75">
      <c r="D951"/>
      <c r="E951"/>
      <c r="F951"/>
      <c r="H951"/>
      <c r="I951"/>
      <c r="J951"/>
    </row>
    <row r="952" spans="4:10" ht="12.75">
      <c r="D952"/>
      <c r="E952"/>
      <c r="F952"/>
      <c r="H952"/>
      <c r="I952"/>
      <c r="J952"/>
    </row>
    <row r="953" spans="4:10" ht="12.75">
      <c r="D953"/>
      <c r="E953"/>
      <c r="F953"/>
      <c r="H953"/>
      <c r="I953"/>
      <c r="J953"/>
    </row>
    <row r="954" spans="4:10" ht="12.75">
      <c r="D954"/>
      <c r="E954"/>
      <c r="F954"/>
      <c r="H954"/>
      <c r="I954"/>
      <c r="J954"/>
    </row>
    <row r="955" spans="4:10" ht="12.75">
      <c r="D955"/>
      <c r="E955"/>
      <c r="F955"/>
      <c r="H955"/>
      <c r="I955"/>
      <c r="J955"/>
    </row>
    <row r="956" spans="4:10" ht="12.75">
      <c r="D956"/>
      <c r="E956"/>
      <c r="F956"/>
      <c r="H956"/>
      <c r="I956"/>
      <c r="J956"/>
    </row>
    <row r="957" spans="4:10" ht="12.75">
      <c r="D957"/>
      <c r="E957"/>
      <c r="F957"/>
      <c r="H957"/>
      <c r="I957"/>
      <c r="J957"/>
    </row>
    <row r="958" spans="4:10" ht="12.75">
      <c r="D958"/>
      <c r="E958"/>
      <c r="F958"/>
      <c r="H958"/>
      <c r="I958"/>
      <c r="J958"/>
    </row>
    <row r="959" spans="4:10" ht="12.75">
      <c r="D959"/>
      <c r="E959"/>
      <c r="F959"/>
      <c r="H959"/>
      <c r="I959"/>
      <c r="J959"/>
    </row>
    <row r="960" spans="4:10" ht="12.75">
      <c r="D960"/>
      <c r="E960"/>
      <c r="F960"/>
      <c r="H960"/>
      <c r="I960"/>
      <c r="J960"/>
    </row>
    <row r="961" spans="4:10" ht="12.75">
      <c r="D961"/>
      <c r="E961"/>
      <c r="F961"/>
      <c r="H961"/>
      <c r="I961"/>
      <c r="J961"/>
    </row>
    <row r="962" spans="4:10" ht="12.75">
      <c r="D962"/>
      <c r="E962"/>
      <c r="F962"/>
      <c r="H962"/>
      <c r="I962"/>
      <c r="J962"/>
    </row>
    <row r="963" spans="4:10" ht="12.75">
      <c r="D963"/>
      <c r="E963"/>
      <c r="F963"/>
      <c r="H963"/>
      <c r="I963"/>
      <c r="J963"/>
    </row>
    <row r="964" spans="4:10" ht="12.75">
      <c r="D964"/>
      <c r="E964"/>
      <c r="F964"/>
      <c r="H964"/>
      <c r="I964"/>
      <c r="J964"/>
    </row>
    <row r="965" spans="4:10" ht="12.75">
      <c r="D965"/>
      <c r="E965"/>
      <c r="F965"/>
      <c r="H965"/>
      <c r="I965"/>
      <c r="J965"/>
    </row>
    <row r="966" spans="4:10" ht="12.75">
      <c r="D966"/>
      <c r="E966"/>
      <c r="F966"/>
      <c r="H966"/>
      <c r="I966"/>
      <c r="J966"/>
    </row>
    <row r="967" spans="4:10" ht="12.75">
      <c r="D967"/>
      <c r="E967"/>
      <c r="F967"/>
      <c r="H967"/>
      <c r="I967"/>
      <c r="J967"/>
    </row>
    <row r="968" spans="4:10" ht="12.75">
      <c r="D968"/>
      <c r="E968"/>
      <c r="F968"/>
      <c r="H968"/>
      <c r="I968"/>
      <c r="J968"/>
    </row>
    <row r="969" spans="4:10" ht="12.75">
      <c r="D969"/>
      <c r="E969"/>
      <c r="F969"/>
      <c r="H969"/>
      <c r="I969"/>
      <c r="J969"/>
    </row>
    <row r="970" spans="4:10" ht="12.75">
      <c r="D970"/>
      <c r="E970"/>
      <c r="F970"/>
      <c r="H970"/>
      <c r="I970"/>
      <c r="J970"/>
    </row>
    <row r="971" spans="4:10" ht="12.75">
      <c r="D971"/>
      <c r="E971"/>
      <c r="F971"/>
      <c r="H971"/>
      <c r="I971"/>
      <c r="J971"/>
    </row>
    <row r="972" spans="4:10" ht="12.75">
      <c r="D972"/>
      <c r="E972"/>
      <c r="F972"/>
      <c r="H972"/>
      <c r="I972"/>
      <c r="J972"/>
    </row>
    <row r="973" spans="4:10" ht="12.75">
      <c r="D973"/>
      <c r="E973"/>
      <c r="F973"/>
      <c r="H973"/>
      <c r="I973"/>
      <c r="J973"/>
    </row>
    <row r="974" spans="4:10" ht="12.75">
      <c r="D974"/>
      <c r="E974"/>
      <c r="F974"/>
      <c r="H974"/>
      <c r="I974"/>
      <c r="J974"/>
    </row>
    <row r="975" spans="4:10" ht="12.75">
      <c r="D975"/>
      <c r="E975"/>
      <c r="F975"/>
      <c r="H975"/>
      <c r="I975"/>
      <c r="J975"/>
    </row>
    <row r="976" spans="4:10" ht="12.75">
      <c r="D976"/>
      <c r="E976"/>
      <c r="F976"/>
      <c r="H976"/>
      <c r="I976"/>
      <c r="J976"/>
    </row>
    <row r="977" spans="4:10" ht="12.75">
      <c r="D977"/>
      <c r="E977"/>
      <c r="F977"/>
      <c r="H977"/>
      <c r="I977"/>
      <c r="J977"/>
    </row>
    <row r="978" spans="4:10" ht="12.75">
      <c r="D978"/>
      <c r="E978"/>
      <c r="F978"/>
      <c r="H978"/>
      <c r="I978"/>
      <c r="J978"/>
    </row>
    <row r="979" spans="4:10" ht="12.75">
      <c r="D979"/>
      <c r="E979"/>
      <c r="F979"/>
      <c r="H979"/>
      <c r="I979"/>
      <c r="J979"/>
    </row>
    <row r="980" spans="4:10" ht="12.75">
      <c r="D980"/>
      <c r="E980"/>
      <c r="F980"/>
      <c r="H980"/>
      <c r="I980"/>
      <c r="J980"/>
    </row>
    <row r="981" spans="4:10" ht="12.75">
      <c r="D981"/>
      <c r="E981"/>
      <c r="F981"/>
      <c r="H981"/>
      <c r="I981"/>
      <c r="J981"/>
    </row>
    <row r="982" spans="4:10" ht="12.75">
      <c r="D982"/>
      <c r="E982"/>
      <c r="F982"/>
      <c r="H982"/>
      <c r="I982"/>
      <c r="J982"/>
    </row>
    <row r="983" spans="4:10" ht="12.75">
      <c r="D983"/>
      <c r="E983"/>
      <c r="F983"/>
      <c r="H983"/>
      <c r="I983"/>
      <c r="J983"/>
    </row>
    <row r="984" spans="4:10" ht="12.75">
      <c r="D984"/>
      <c r="E984"/>
      <c r="F984"/>
      <c r="H984"/>
      <c r="I984"/>
      <c r="J984"/>
    </row>
    <row r="985" spans="4:10" ht="12.75">
      <c r="D985"/>
      <c r="E985"/>
      <c r="F985"/>
      <c r="H985"/>
      <c r="I985"/>
      <c r="J985"/>
    </row>
    <row r="986" spans="4:10" ht="12.75">
      <c r="D986"/>
      <c r="E986"/>
      <c r="F986"/>
      <c r="H986"/>
      <c r="I986"/>
      <c r="J986"/>
    </row>
    <row r="987" spans="4:10" ht="12.75">
      <c r="D987"/>
      <c r="E987"/>
      <c r="F987"/>
      <c r="H987"/>
      <c r="I987"/>
      <c r="J987"/>
    </row>
    <row r="988" spans="4:10" ht="12.75">
      <c r="D988"/>
      <c r="E988"/>
      <c r="F988"/>
      <c r="H988"/>
      <c r="I988"/>
      <c r="J988"/>
    </row>
    <row r="989" spans="4:10" ht="12.75">
      <c r="D989"/>
      <c r="E989"/>
      <c r="F989"/>
      <c r="H989"/>
      <c r="I989"/>
      <c r="J989"/>
    </row>
    <row r="990" spans="4:10" ht="12.75">
      <c r="D990"/>
      <c r="E990"/>
      <c r="F990"/>
      <c r="H990"/>
      <c r="I990"/>
      <c r="J990"/>
    </row>
    <row r="991" spans="4:10" ht="12.75">
      <c r="D991"/>
      <c r="E991"/>
      <c r="F991"/>
      <c r="H991"/>
      <c r="I991"/>
      <c r="J991"/>
    </row>
    <row r="992" spans="4:10" ht="12.75">
      <c r="D992"/>
      <c r="E992"/>
      <c r="F992"/>
      <c r="H992"/>
      <c r="I992"/>
      <c r="J992"/>
    </row>
    <row r="993" spans="4:10" ht="12.75">
      <c r="D993"/>
      <c r="E993"/>
      <c r="F993"/>
      <c r="H993"/>
      <c r="I993"/>
      <c r="J993"/>
    </row>
    <row r="994" spans="4:10" ht="12.75">
      <c r="D994"/>
      <c r="E994"/>
      <c r="F994"/>
      <c r="H994"/>
      <c r="I994"/>
      <c r="J994"/>
    </row>
    <row r="995" spans="4:10" ht="12.75">
      <c r="D995"/>
      <c r="E995"/>
      <c r="F995"/>
      <c r="H995"/>
      <c r="I995"/>
      <c r="J995"/>
    </row>
    <row r="996" spans="4:10" ht="12.75">
      <c r="D996"/>
      <c r="E996"/>
      <c r="F996"/>
      <c r="H996"/>
      <c r="I996"/>
      <c r="J996"/>
    </row>
    <row r="997" spans="4:10" ht="12.75">
      <c r="D997"/>
      <c r="E997"/>
      <c r="F997"/>
      <c r="H997"/>
      <c r="I997"/>
      <c r="J997"/>
    </row>
    <row r="998" spans="4:10" ht="12.75">
      <c r="D998"/>
      <c r="E998"/>
      <c r="F998"/>
      <c r="H998"/>
      <c r="I998"/>
      <c r="J998"/>
    </row>
    <row r="999" spans="4:10" ht="12.75">
      <c r="D999"/>
      <c r="E999"/>
      <c r="F999"/>
      <c r="H999"/>
      <c r="I999"/>
      <c r="J999"/>
    </row>
    <row r="1000" spans="4:10" ht="12.75">
      <c r="D1000"/>
      <c r="E1000"/>
      <c r="F1000"/>
      <c r="H1000"/>
      <c r="I1000"/>
      <c r="J1000"/>
    </row>
    <row r="1001" spans="4:10" ht="12.75">
      <c r="D1001"/>
      <c r="E1001"/>
      <c r="F1001"/>
      <c r="H1001"/>
      <c r="I1001"/>
      <c r="J1001"/>
    </row>
    <row r="1002" spans="4:10" ht="12.75">
      <c r="D1002"/>
      <c r="E1002"/>
      <c r="F1002"/>
      <c r="H1002"/>
      <c r="I1002"/>
      <c r="J1002"/>
    </row>
    <row r="1003" spans="4:10" ht="12.75">
      <c r="D1003"/>
      <c r="E1003"/>
      <c r="F1003"/>
      <c r="H1003"/>
      <c r="I1003"/>
      <c r="J1003"/>
    </row>
    <row r="1004" spans="4:10" ht="12.75">
      <c r="D1004"/>
      <c r="E1004"/>
      <c r="F1004"/>
      <c r="H1004"/>
      <c r="I1004"/>
      <c r="J1004"/>
    </row>
    <row r="1005" spans="4:10" ht="12.75">
      <c r="D1005"/>
      <c r="E1005"/>
      <c r="F1005"/>
      <c r="H1005"/>
      <c r="I1005"/>
      <c r="J1005"/>
    </row>
    <row r="1006" spans="4:10" ht="12.75">
      <c r="D1006"/>
      <c r="E1006"/>
      <c r="F1006"/>
      <c r="H1006"/>
      <c r="I1006"/>
      <c r="J1006"/>
    </row>
    <row r="1007" spans="4:10" ht="12.75">
      <c r="D1007"/>
      <c r="E1007"/>
      <c r="F1007"/>
      <c r="H1007"/>
      <c r="I1007"/>
      <c r="J1007"/>
    </row>
    <row r="1008" spans="4:10" ht="12.75">
      <c r="D1008"/>
      <c r="E1008"/>
      <c r="F1008"/>
      <c r="H1008"/>
      <c r="I1008"/>
      <c r="J1008"/>
    </row>
    <row r="1009" spans="4:10" ht="12.75">
      <c r="D1009"/>
      <c r="E1009"/>
      <c r="F1009"/>
      <c r="H1009"/>
      <c r="I1009"/>
      <c r="J1009"/>
    </row>
    <row r="1010" spans="4:10" ht="12.75">
      <c r="D1010"/>
      <c r="E1010"/>
      <c r="F1010"/>
      <c r="H1010"/>
      <c r="I1010"/>
      <c r="J1010"/>
    </row>
    <row r="1011" spans="4:10" ht="12.75">
      <c r="D1011"/>
      <c r="E1011"/>
      <c r="F1011"/>
      <c r="H1011"/>
      <c r="I1011"/>
      <c r="J1011"/>
    </row>
    <row r="1012" spans="4:10" ht="12.75">
      <c r="D1012"/>
      <c r="E1012"/>
      <c r="F1012"/>
      <c r="H1012"/>
      <c r="I1012"/>
      <c r="J1012"/>
    </row>
    <row r="1013" spans="4:10" ht="12.75">
      <c r="D1013"/>
      <c r="E1013"/>
      <c r="F1013"/>
      <c r="H1013"/>
      <c r="I1013"/>
      <c r="J1013"/>
    </row>
    <row r="1014" spans="4:10" ht="12.75">
      <c r="D1014"/>
      <c r="E1014"/>
      <c r="F1014"/>
      <c r="H1014"/>
      <c r="I1014"/>
      <c r="J1014"/>
    </row>
    <row r="1015" spans="4:10" ht="12.75">
      <c r="D1015"/>
      <c r="E1015"/>
      <c r="F1015"/>
      <c r="H1015"/>
      <c r="I1015"/>
      <c r="J1015"/>
    </row>
    <row r="1016" spans="4:10" ht="12.75">
      <c r="D1016"/>
      <c r="E1016"/>
      <c r="F1016"/>
      <c r="H1016"/>
      <c r="I1016"/>
      <c r="J1016"/>
    </row>
    <row r="1017" spans="4:10" ht="12.75">
      <c r="D1017"/>
      <c r="E1017"/>
      <c r="F1017"/>
      <c r="H1017"/>
      <c r="I1017"/>
      <c r="J1017"/>
    </row>
    <row r="1018" spans="4:10" ht="12.75">
      <c r="D1018"/>
      <c r="E1018"/>
      <c r="F1018"/>
      <c r="H1018"/>
      <c r="I1018"/>
      <c r="J1018"/>
    </row>
    <row r="1019" spans="4:10" ht="12.75">
      <c r="D1019"/>
      <c r="E1019"/>
      <c r="F1019"/>
      <c r="H1019"/>
      <c r="I1019"/>
      <c r="J1019"/>
    </row>
    <row r="1020" spans="4:10" ht="12.75">
      <c r="D1020"/>
      <c r="E1020"/>
      <c r="F1020"/>
      <c r="H1020"/>
      <c r="I1020"/>
      <c r="J1020"/>
    </row>
    <row r="1021" spans="4:10" ht="12.75">
      <c r="D1021"/>
      <c r="E1021"/>
      <c r="F1021"/>
      <c r="H1021"/>
      <c r="I1021"/>
      <c r="J1021"/>
    </row>
    <row r="1022" spans="4:10" ht="12.75">
      <c r="D1022"/>
      <c r="E1022"/>
      <c r="F1022"/>
      <c r="H1022"/>
      <c r="I1022"/>
      <c r="J1022"/>
    </row>
    <row r="1023" spans="4:10" ht="12.75">
      <c r="D1023"/>
      <c r="E1023"/>
      <c r="F1023"/>
      <c r="H1023"/>
      <c r="I1023"/>
      <c r="J1023"/>
    </row>
    <row r="1024" spans="4:10" ht="12.75">
      <c r="D1024"/>
      <c r="E1024"/>
      <c r="F1024"/>
      <c r="H1024"/>
      <c r="I1024"/>
      <c r="J1024"/>
    </row>
    <row r="1025" spans="4:10" ht="12.75">
      <c r="D1025"/>
      <c r="E1025"/>
      <c r="F1025"/>
      <c r="H1025"/>
      <c r="I1025"/>
      <c r="J1025"/>
    </row>
    <row r="1026" spans="4:10" ht="12.75">
      <c r="D1026"/>
      <c r="E1026"/>
      <c r="F1026"/>
      <c r="H1026"/>
      <c r="I1026"/>
      <c r="J1026"/>
    </row>
    <row r="1027" spans="4:10" ht="12.75">
      <c r="D1027"/>
      <c r="E1027"/>
      <c r="F1027"/>
      <c r="H1027"/>
      <c r="I1027"/>
      <c r="J1027"/>
    </row>
    <row r="1028" spans="4:10" ht="12.75">
      <c r="D1028"/>
      <c r="E1028"/>
      <c r="F1028"/>
      <c r="H1028"/>
      <c r="I1028"/>
      <c r="J1028"/>
    </row>
    <row r="1029" spans="4:10" ht="12.75">
      <c r="D1029"/>
      <c r="E1029"/>
      <c r="F1029"/>
      <c r="H1029"/>
      <c r="I1029"/>
      <c r="J1029"/>
    </row>
    <row r="1030" spans="4:10" ht="12.75">
      <c r="D1030"/>
      <c r="E1030"/>
      <c r="F1030"/>
      <c r="H1030"/>
      <c r="I1030"/>
      <c r="J1030"/>
    </row>
    <row r="1031" spans="4:10" ht="12.75">
      <c r="D1031"/>
      <c r="E1031"/>
      <c r="F1031"/>
      <c r="H1031"/>
      <c r="I1031"/>
      <c r="J1031"/>
    </row>
    <row r="1032" spans="4:10" ht="12.75">
      <c r="D1032"/>
      <c r="E1032"/>
      <c r="F1032"/>
      <c r="H1032"/>
      <c r="I1032"/>
      <c r="J1032"/>
    </row>
    <row r="1033" spans="4:10" ht="12.75">
      <c r="D1033"/>
      <c r="E1033"/>
      <c r="F1033"/>
      <c r="H1033"/>
      <c r="I1033"/>
      <c r="J1033"/>
    </row>
    <row r="1034" spans="4:10" ht="12.75">
      <c r="D1034"/>
      <c r="E1034"/>
      <c r="F1034"/>
      <c r="H1034"/>
      <c r="I1034"/>
      <c r="J1034"/>
    </row>
    <row r="1035" spans="4:10" ht="12.75">
      <c r="D1035"/>
      <c r="E1035"/>
      <c r="F1035"/>
      <c r="H1035"/>
      <c r="I1035"/>
      <c r="J1035"/>
    </row>
    <row r="1036" spans="4:10" ht="12.75">
      <c r="D1036"/>
      <c r="E1036"/>
      <c r="F1036"/>
      <c r="H1036"/>
      <c r="I1036"/>
      <c r="J1036"/>
    </row>
    <row r="1037" spans="4:10" ht="12.75">
      <c r="D1037"/>
      <c r="E1037"/>
      <c r="F1037"/>
      <c r="H1037"/>
      <c r="I1037"/>
      <c r="J1037"/>
    </row>
    <row r="1038" spans="4:10" ht="12.75">
      <c r="D1038"/>
      <c r="E1038"/>
      <c r="F1038"/>
      <c r="H1038"/>
      <c r="I1038"/>
      <c r="J1038"/>
    </row>
    <row r="1039" spans="4:10" ht="12.75">
      <c r="D1039"/>
      <c r="E1039"/>
      <c r="F1039"/>
      <c r="H1039"/>
      <c r="I1039"/>
      <c r="J1039"/>
    </row>
    <row r="1040" spans="4:10" ht="12.75">
      <c r="D1040"/>
      <c r="E1040"/>
      <c r="F1040"/>
      <c r="H1040"/>
      <c r="I1040"/>
      <c r="J1040"/>
    </row>
    <row r="1041" spans="4:10" ht="12.75">
      <c r="D1041"/>
      <c r="E1041"/>
      <c r="F1041"/>
      <c r="H1041"/>
      <c r="I1041"/>
      <c r="J1041"/>
    </row>
    <row r="1042" spans="4:10" ht="12.75">
      <c r="D1042"/>
      <c r="E1042"/>
      <c r="F1042"/>
      <c r="H1042"/>
      <c r="I1042"/>
      <c r="J1042"/>
    </row>
    <row r="1043" spans="4:10" ht="12.75">
      <c r="D1043"/>
      <c r="E1043"/>
      <c r="F1043"/>
      <c r="H1043"/>
      <c r="I1043"/>
      <c r="J1043"/>
    </row>
    <row r="1044" spans="4:10" ht="12.75">
      <c r="D1044"/>
      <c r="E1044"/>
      <c r="F1044"/>
      <c r="H1044"/>
      <c r="I1044"/>
      <c r="J1044"/>
    </row>
    <row r="1045" spans="4:10" ht="12.75">
      <c r="D1045"/>
      <c r="E1045"/>
      <c r="F1045"/>
      <c r="H1045"/>
      <c r="I1045"/>
      <c r="J1045"/>
    </row>
    <row r="1046" spans="4:10" ht="12.75">
      <c r="D1046"/>
      <c r="E1046"/>
      <c r="F1046"/>
      <c r="H1046"/>
      <c r="I1046"/>
      <c r="J1046"/>
    </row>
    <row r="1047" spans="4:10" ht="12.75">
      <c r="D1047"/>
      <c r="E1047"/>
      <c r="F1047"/>
      <c r="H1047"/>
      <c r="I1047"/>
      <c r="J1047"/>
    </row>
    <row r="1048" spans="4:10" ht="12.75">
      <c r="D1048"/>
      <c r="E1048"/>
      <c r="F1048"/>
      <c r="H1048"/>
      <c r="I1048"/>
      <c r="J1048"/>
    </row>
    <row r="1049" spans="4:10" ht="12.75">
      <c r="D1049"/>
      <c r="E1049"/>
      <c r="F1049"/>
      <c r="H1049"/>
      <c r="I1049"/>
      <c r="J1049"/>
    </row>
    <row r="1050" spans="4:10" ht="12.75">
      <c r="D1050"/>
      <c r="E1050"/>
      <c r="F1050"/>
      <c r="H1050"/>
      <c r="I1050"/>
      <c r="J1050"/>
    </row>
    <row r="1051" spans="4:10" ht="12.75">
      <c r="D1051"/>
      <c r="E1051"/>
      <c r="F1051"/>
      <c r="H1051"/>
      <c r="I1051"/>
      <c r="J1051"/>
    </row>
    <row r="1052" spans="4:10" ht="12.75">
      <c r="D1052"/>
      <c r="E1052"/>
      <c r="F1052"/>
      <c r="H1052"/>
      <c r="I1052"/>
      <c r="J1052"/>
    </row>
    <row r="1053" spans="4:10" ht="12.75">
      <c r="D1053"/>
      <c r="E1053"/>
      <c r="F1053"/>
      <c r="H1053"/>
      <c r="I1053"/>
      <c r="J1053"/>
    </row>
    <row r="1054" spans="4:10" ht="12.75">
      <c r="D1054"/>
      <c r="E1054"/>
      <c r="F1054"/>
      <c r="H1054"/>
      <c r="I1054"/>
      <c r="J1054"/>
    </row>
    <row r="1055" spans="4:10" ht="12.75">
      <c r="D1055"/>
      <c r="E1055"/>
      <c r="F1055"/>
      <c r="H1055"/>
      <c r="I1055"/>
      <c r="J1055"/>
    </row>
    <row r="1056" spans="4:10" ht="12.75">
      <c r="D1056"/>
      <c r="E1056"/>
      <c r="F1056"/>
      <c r="H1056"/>
      <c r="I1056"/>
      <c r="J1056"/>
    </row>
    <row r="1057" spans="4:10" ht="12.75">
      <c r="D1057"/>
      <c r="E1057"/>
      <c r="F1057"/>
      <c r="H1057"/>
      <c r="I1057"/>
      <c r="J1057"/>
    </row>
    <row r="1058" spans="4:10" ht="12.75">
      <c r="D1058"/>
      <c r="E1058"/>
      <c r="F1058"/>
      <c r="H1058"/>
      <c r="I1058"/>
      <c r="J1058"/>
    </row>
    <row r="1059" spans="4:10" ht="12.75">
      <c r="D1059"/>
      <c r="E1059"/>
      <c r="F1059"/>
      <c r="H1059"/>
      <c r="I1059"/>
      <c r="J1059"/>
    </row>
    <row r="1060" spans="4:10" ht="12.75">
      <c r="D1060"/>
      <c r="E1060"/>
      <c r="F1060"/>
      <c r="H1060"/>
      <c r="I1060"/>
      <c r="J1060"/>
    </row>
    <row r="1061" spans="4:10" ht="12.75">
      <c r="D1061"/>
      <c r="E1061"/>
      <c r="F1061"/>
      <c r="H1061"/>
      <c r="I1061"/>
      <c r="J1061"/>
    </row>
    <row r="1062" spans="4:10" ht="12.75">
      <c r="D1062"/>
      <c r="E1062"/>
      <c r="F1062"/>
      <c r="H1062"/>
      <c r="I1062"/>
      <c r="J1062"/>
    </row>
    <row r="1063" spans="4:10" ht="12.75">
      <c r="D1063"/>
      <c r="E1063"/>
      <c r="F1063"/>
      <c r="H1063"/>
      <c r="I1063"/>
      <c r="J1063"/>
    </row>
    <row r="1064" spans="4:10" ht="12.75">
      <c r="D1064"/>
      <c r="E1064"/>
      <c r="F1064"/>
      <c r="H1064"/>
      <c r="I1064"/>
      <c r="J1064"/>
    </row>
    <row r="1065" spans="4:10" ht="12.75">
      <c r="D1065"/>
      <c r="E1065"/>
      <c r="F1065"/>
      <c r="H1065"/>
      <c r="I1065"/>
      <c r="J1065"/>
    </row>
    <row r="1066" spans="4:10" ht="12.75">
      <c r="D1066"/>
      <c r="E1066"/>
      <c r="F1066"/>
      <c r="H1066"/>
      <c r="I1066"/>
      <c r="J1066"/>
    </row>
    <row r="1067" spans="4:10" ht="12.75">
      <c r="D1067"/>
      <c r="E1067"/>
      <c r="F1067"/>
      <c r="H1067"/>
      <c r="I1067"/>
      <c r="J1067"/>
    </row>
    <row r="1068" spans="4:10" ht="12.75">
      <c r="D1068"/>
      <c r="E1068"/>
      <c r="F1068"/>
      <c r="H1068"/>
      <c r="I1068"/>
      <c r="J1068"/>
    </row>
    <row r="1069" spans="4:10" ht="12.75">
      <c r="D1069"/>
      <c r="E1069"/>
      <c r="F1069"/>
      <c r="H1069"/>
      <c r="I1069"/>
      <c r="J1069"/>
    </row>
    <row r="1070" spans="4:10" ht="12.75">
      <c r="D1070"/>
      <c r="E1070"/>
      <c r="F1070"/>
      <c r="H1070"/>
      <c r="I1070"/>
      <c r="J1070"/>
    </row>
    <row r="1071" spans="4:10" ht="12.75">
      <c r="D1071"/>
      <c r="E1071"/>
      <c r="F1071"/>
      <c r="H1071"/>
      <c r="I1071"/>
      <c r="J1071"/>
    </row>
    <row r="1072" spans="4:10" ht="12.75">
      <c r="D1072"/>
      <c r="E1072"/>
      <c r="F1072"/>
      <c r="H1072"/>
      <c r="I1072"/>
      <c r="J1072"/>
    </row>
    <row r="1073" spans="4:10" ht="12.75">
      <c r="D1073"/>
      <c r="E1073"/>
      <c r="F1073"/>
      <c r="H1073"/>
      <c r="I1073"/>
      <c r="J1073"/>
    </row>
    <row r="1074" spans="4:10" ht="12.75">
      <c r="D1074"/>
      <c r="E1074"/>
      <c r="F1074"/>
      <c r="H1074"/>
      <c r="I1074"/>
      <c r="J1074"/>
    </row>
    <row r="1075" spans="4:10" ht="12.75">
      <c r="D1075"/>
      <c r="E1075"/>
      <c r="F1075"/>
      <c r="H1075"/>
      <c r="I1075"/>
      <c r="J1075"/>
    </row>
    <row r="1076" spans="4:10" ht="12.75">
      <c r="D1076"/>
      <c r="E1076"/>
      <c r="F1076"/>
      <c r="H1076"/>
      <c r="I1076"/>
      <c r="J1076"/>
    </row>
    <row r="1077" spans="4:10" ht="12.75">
      <c r="D1077"/>
      <c r="E1077"/>
      <c r="F1077"/>
      <c r="H1077"/>
      <c r="I1077"/>
      <c r="J1077"/>
    </row>
    <row r="1078" spans="4:10" ht="12.75">
      <c r="D1078"/>
      <c r="E1078"/>
      <c r="F1078"/>
      <c r="H1078"/>
      <c r="I1078"/>
      <c r="J1078"/>
    </row>
    <row r="1079" spans="4:10" ht="12.75">
      <c r="D1079"/>
      <c r="E1079"/>
      <c r="F1079"/>
      <c r="H1079"/>
      <c r="I1079"/>
      <c r="J1079"/>
    </row>
    <row r="1080" spans="4:10" ht="12.75">
      <c r="D1080"/>
      <c r="E1080"/>
      <c r="F1080"/>
      <c r="H1080"/>
      <c r="I1080"/>
      <c r="J1080"/>
    </row>
    <row r="1081" spans="4:10" ht="12.75">
      <c r="D1081"/>
      <c r="E1081"/>
      <c r="F1081"/>
      <c r="H1081"/>
      <c r="I1081"/>
      <c r="J1081"/>
    </row>
    <row r="1082" spans="4:10" ht="12.75">
      <c r="D1082"/>
      <c r="E1082"/>
      <c r="F1082"/>
      <c r="H1082"/>
      <c r="I1082"/>
      <c r="J1082"/>
    </row>
    <row r="1083" spans="4:10" ht="12.75">
      <c r="D1083"/>
      <c r="E1083"/>
      <c r="F1083"/>
      <c r="H1083"/>
      <c r="I1083"/>
      <c r="J1083"/>
    </row>
    <row r="1084" spans="4:10" ht="12.75">
      <c r="D1084"/>
      <c r="E1084"/>
      <c r="F1084"/>
      <c r="H1084"/>
      <c r="I1084"/>
      <c r="J1084"/>
    </row>
    <row r="1085" spans="4:10" ht="12.75">
      <c r="D1085"/>
      <c r="E1085"/>
      <c r="F1085"/>
      <c r="H1085"/>
      <c r="I1085"/>
      <c r="J1085"/>
    </row>
    <row r="1086" spans="4:10" ht="12.75">
      <c r="D1086"/>
      <c r="E1086"/>
      <c r="F1086"/>
      <c r="H1086"/>
      <c r="I1086"/>
      <c r="J1086"/>
    </row>
    <row r="1087" spans="4:10" ht="12.75">
      <c r="D1087"/>
      <c r="E1087"/>
      <c r="F1087"/>
      <c r="H1087"/>
      <c r="I1087"/>
      <c r="J1087"/>
    </row>
    <row r="1088" spans="4:10" ht="12.75">
      <c r="D1088"/>
      <c r="E1088"/>
      <c r="F1088"/>
      <c r="H1088"/>
      <c r="I1088"/>
      <c r="J1088"/>
    </row>
    <row r="1089" spans="4:10" ht="12.75">
      <c r="D1089"/>
      <c r="E1089"/>
      <c r="F1089"/>
      <c r="H1089"/>
      <c r="I1089"/>
      <c r="J1089"/>
    </row>
    <row r="1090" spans="4:10" ht="12.75">
      <c r="D1090"/>
      <c r="E1090"/>
      <c r="F1090"/>
      <c r="H1090"/>
      <c r="I1090"/>
      <c r="J1090"/>
    </row>
    <row r="1091" spans="4:10" ht="12.75">
      <c r="D1091"/>
      <c r="E1091"/>
      <c r="F1091"/>
      <c r="H1091"/>
      <c r="I1091"/>
      <c r="J1091"/>
    </row>
    <row r="1092" spans="4:10" ht="12.75">
      <c r="D1092"/>
      <c r="E1092"/>
      <c r="F1092"/>
      <c r="H1092"/>
      <c r="I1092"/>
      <c r="J1092"/>
    </row>
    <row r="1093" spans="4:10" ht="12.75">
      <c r="D1093"/>
      <c r="E1093"/>
      <c r="F1093"/>
      <c r="H1093"/>
      <c r="I1093"/>
      <c r="J1093"/>
    </row>
    <row r="1094" spans="4:10" ht="12.75">
      <c r="D1094"/>
      <c r="E1094"/>
      <c r="F1094"/>
      <c r="H1094"/>
      <c r="I1094"/>
      <c r="J1094"/>
    </row>
    <row r="1095" spans="4:10" ht="12.75">
      <c r="D1095"/>
      <c r="E1095"/>
      <c r="F1095"/>
      <c r="H1095"/>
      <c r="I1095"/>
      <c r="J1095"/>
    </row>
    <row r="1096" spans="4:10" ht="12.75">
      <c r="D1096"/>
      <c r="E1096"/>
      <c r="F1096"/>
      <c r="H1096"/>
      <c r="I1096"/>
      <c r="J1096"/>
    </row>
    <row r="1097" spans="4:10" ht="12.75">
      <c r="D1097"/>
      <c r="E1097"/>
      <c r="F1097"/>
      <c r="H1097"/>
      <c r="I1097"/>
      <c r="J1097"/>
    </row>
    <row r="1098" spans="4:10" ht="12.75">
      <c r="D1098"/>
      <c r="E1098"/>
      <c r="F1098"/>
      <c r="H1098"/>
      <c r="I1098"/>
      <c r="J1098"/>
    </row>
    <row r="1099" spans="4:10" ht="12.75">
      <c r="D1099"/>
      <c r="E1099"/>
      <c r="F1099"/>
      <c r="H1099"/>
      <c r="I1099"/>
      <c r="J1099"/>
    </row>
    <row r="1100" spans="4:10" ht="12.75">
      <c r="D1100"/>
      <c r="E1100"/>
      <c r="F1100"/>
      <c r="H1100"/>
      <c r="I1100"/>
      <c r="J1100"/>
    </row>
    <row r="1101" spans="4:10" ht="12.75">
      <c r="D1101"/>
      <c r="E1101"/>
      <c r="F1101"/>
      <c r="H1101"/>
      <c r="I1101"/>
      <c r="J1101"/>
    </row>
    <row r="1102" spans="4:10" ht="12.75">
      <c r="D1102"/>
      <c r="E1102"/>
      <c r="F1102"/>
      <c r="H1102"/>
      <c r="I1102"/>
      <c r="J1102"/>
    </row>
    <row r="1103" spans="4:10" ht="12.75">
      <c r="D1103"/>
      <c r="E1103"/>
      <c r="F1103"/>
      <c r="H1103"/>
      <c r="I1103"/>
      <c r="J1103"/>
    </row>
    <row r="1104" spans="4:10" ht="12.75">
      <c r="D1104"/>
      <c r="E1104"/>
      <c r="F1104"/>
      <c r="H1104"/>
      <c r="I1104"/>
      <c r="J1104"/>
    </row>
    <row r="1105" spans="4:10" ht="12.75">
      <c r="D1105"/>
      <c r="E1105"/>
      <c r="F1105"/>
      <c r="H1105"/>
      <c r="I1105"/>
      <c r="J1105"/>
    </row>
    <row r="1106" spans="4:10" ht="12.75">
      <c r="D1106"/>
      <c r="E1106"/>
      <c r="F1106"/>
      <c r="H1106"/>
      <c r="I1106"/>
      <c r="J1106"/>
    </row>
    <row r="1107" spans="4:10" ht="12.75">
      <c r="D1107"/>
      <c r="E1107"/>
      <c r="F1107"/>
      <c r="H1107"/>
      <c r="I1107"/>
      <c r="J1107"/>
    </row>
    <row r="1108" spans="4:10" ht="12.75">
      <c r="D1108"/>
      <c r="E1108"/>
      <c r="F1108"/>
      <c r="H1108"/>
      <c r="I1108"/>
      <c r="J1108"/>
    </row>
    <row r="1109" spans="4:10" ht="12.75">
      <c r="D1109"/>
      <c r="E1109"/>
      <c r="F1109"/>
      <c r="H1109"/>
      <c r="I1109"/>
      <c r="J1109"/>
    </row>
    <row r="1110" spans="4:10" ht="12.75">
      <c r="D1110"/>
      <c r="E1110"/>
      <c r="F1110"/>
      <c r="H1110"/>
      <c r="I1110"/>
      <c r="J1110"/>
    </row>
    <row r="1111" spans="4:10" ht="12.75">
      <c r="D1111"/>
      <c r="E1111"/>
      <c r="F1111"/>
      <c r="H1111"/>
      <c r="I1111"/>
      <c r="J1111"/>
    </row>
    <row r="1112" spans="4:10" ht="12.75">
      <c r="D1112"/>
      <c r="E1112"/>
      <c r="F1112"/>
      <c r="H1112"/>
      <c r="I1112"/>
      <c r="J1112"/>
    </row>
    <row r="1113" spans="4:10" ht="12.75">
      <c r="D1113"/>
      <c r="E1113"/>
      <c r="F1113"/>
      <c r="H1113"/>
      <c r="I1113"/>
      <c r="J1113"/>
    </row>
    <row r="1114" spans="4:10" ht="12.75">
      <c r="D1114"/>
      <c r="E1114"/>
      <c r="F1114"/>
      <c r="H1114"/>
      <c r="I1114"/>
      <c r="J1114"/>
    </row>
    <row r="1115" spans="4:10" ht="12.75">
      <c r="D1115"/>
      <c r="E1115"/>
      <c r="F1115"/>
      <c r="H1115"/>
      <c r="I1115"/>
      <c r="J1115"/>
    </row>
    <row r="1116" spans="4:10" ht="12.75">
      <c r="D1116"/>
      <c r="E1116"/>
      <c r="F1116"/>
      <c r="H1116"/>
      <c r="I1116"/>
      <c r="J1116"/>
    </row>
    <row r="1117" spans="4:10" ht="12.75">
      <c r="D1117"/>
      <c r="E1117"/>
      <c r="F1117"/>
      <c r="H1117"/>
      <c r="I1117"/>
      <c r="J1117"/>
    </row>
    <row r="1118" spans="4:10" ht="12.75">
      <c r="D1118"/>
      <c r="E1118"/>
      <c r="F1118"/>
      <c r="H1118"/>
      <c r="I1118"/>
      <c r="J1118"/>
    </row>
    <row r="1119" spans="4:10" ht="12.75">
      <c r="D1119"/>
      <c r="E1119"/>
      <c r="F1119"/>
      <c r="H1119"/>
      <c r="I1119"/>
      <c r="J1119"/>
    </row>
    <row r="1120" spans="4:10" ht="12.75">
      <c r="D1120"/>
      <c r="E1120"/>
      <c r="F1120"/>
      <c r="H1120"/>
      <c r="I1120"/>
      <c r="J1120"/>
    </row>
    <row r="1121" spans="4:10" ht="12.75">
      <c r="D1121"/>
      <c r="E1121"/>
      <c r="F1121"/>
      <c r="H1121"/>
      <c r="I1121"/>
      <c r="J1121"/>
    </row>
    <row r="1122" spans="4:10" ht="12.75">
      <c r="D1122"/>
      <c r="E1122"/>
      <c r="F1122"/>
      <c r="H1122"/>
      <c r="I1122"/>
      <c r="J1122"/>
    </row>
    <row r="1123" spans="4:10" ht="12.75">
      <c r="D1123"/>
      <c r="E1123"/>
      <c r="F1123"/>
      <c r="H1123"/>
      <c r="I1123"/>
      <c r="J1123"/>
    </row>
    <row r="1124" spans="4:10" ht="12.75">
      <c r="D1124"/>
      <c r="E1124"/>
      <c r="F1124"/>
      <c r="H1124"/>
      <c r="I1124"/>
      <c r="J1124"/>
    </row>
    <row r="1125" spans="4:10" ht="12.75">
      <c r="D1125"/>
      <c r="E1125"/>
      <c r="F1125"/>
      <c r="H1125"/>
      <c r="I1125"/>
      <c r="J1125"/>
    </row>
    <row r="1126" spans="4:10" ht="12.75">
      <c r="D1126"/>
      <c r="E1126"/>
      <c r="F1126"/>
      <c r="H1126"/>
      <c r="I1126"/>
      <c r="J1126"/>
    </row>
    <row r="1127" spans="4:10" ht="12.75">
      <c r="D1127"/>
      <c r="E1127"/>
      <c r="F1127"/>
      <c r="H1127"/>
      <c r="I1127"/>
      <c r="J1127"/>
    </row>
    <row r="1128" spans="4:10" ht="12.75">
      <c r="D1128"/>
      <c r="E1128"/>
      <c r="F1128"/>
      <c r="H1128"/>
      <c r="I1128"/>
      <c r="J1128"/>
    </row>
    <row r="1129" spans="4:10" ht="12.75">
      <c r="D1129"/>
      <c r="E1129"/>
      <c r="F1129"/>
      <c r="H1129"/>
      <c r="I1129"/>
      <c r="J1129"/>
    </row>
    <row r="1130" spans="4:10" ht="12.75">
      <c r="D1130"/>
      <c r="E1130"/>
      <c r="F1130"/>
      <c r="H1130"/>
      <c r="I1130"/>
      <c r="J1130"/>
    </row>
    <row r="1131" spans="4:10" ht="12.75">
      <c r="D1131"/>
      <c r="E1131"/>
      <c r="F1131"/>
      <c r="H1131"/>
      <c r="I1131"/>
      <c r="J1131"/>
    </row>
    <row r="1132" spans="4:10" ht="12.75">
      <c r="D1132"/>
      <c r="E1132"/>
      <c r="F1132"/>
      <c r="H1132"/>
      <c r="I1132"/>
      <c r="J1132"/>
    </row>
    <row r="1133" spans="4:10" ht="12.75">
      <c r="D1133"/>
      <c r="E1133"/>
      <c r="F1133"/>
      <c r="H1133"/>
      <c r="I1133"/>
      <c r="J1133"/>
    </row>
    <row r="1134" spans="4:10" ht="12.75">
      <c r="D1134"/>
      <c r="E1134"/>
      <c r="F1134"/>
      <c r="H1134"/>
      <c r="I1134"/>
      <c r="J1134"/>
    </row>
    <row r="1135" spans="4:10" ht="12.75">
      <c r="D1135"/>
      <c r="E1135"/>
      <c r="F1135"/>
      <c r="H1135"/>
      <c r="I1135"/>
      <c r="J1135"/>
    </row>
    <row r="1136" spans="4:10" ht="12.75">
      <c r="D1136"/>
      <c r="E1136"/>
      <c r="F1136"/>
      <c r="H1136"/>
      <c r="I1136"/>
      <c r="J1136"/>
    </row>
    <row r="1137" spans="4:10" ht="12.75">
      <c r="D1137"/>
      <c r="E1137"/>
      <c r="F1137"/>
      <c r="H1137"/>
      <c r="I1137"/>
      <c r="J1137"/>
    </row>
    <row r="1138" spans="4:10" ht="12.75">
      <c r="D1138"/>
      <c r="E1138"/>
      <c r="F1138"/>
      <c r="H1138"/>
      <c r="I1138"/>
      <c r="J1138"/>
    </row>
    <row r="1139" spans="4:10" ht="12.75">
      <c r="D1139"/>
      <c r="E1139"/>
      <c r="F1139"/>
      <c r="H1139"/>
      <c r="I1139"/>
      <c r="J1139"/>
    </row>
    <row r="1140" spans="4:10" ht="12.75">
      <c r="D1140"/>
      <c r="E1140"/>
      <c r="F1140"/>
      <c r="H1140"/>
      <c r="I1140"/>
      <c r="J1140"/>
    </row>
    <row r="1141" spans="4:10" ht="12.75">
      <c r="D1141"/>
      <c r="E1141"/>
      <c r="F1141"/>
      <c r="H1141"/>
      <c r="I1141"/>
      <c r="J1141"/>
    </row>
    <row r="1142" spans="4:10" ht="12.75">
      <c r="D1142"/>
      <c r="E1142"/>
      <c r="F1142"/>
      <c r="H1142"/>
      <c r="I1142"/>
      <c r="J1142"/>
    </row>
    <row r="1143" spans="4:10" ht="12.75">
      <c r="D1143"/>
      <c r="E1143"/>
      <c r="F1143"/>
      <c r="H1143"/>
      <c r="I1143"/>
      <c r="J1143"/>
    </row>
    <row r="1144" spans="4:10" ht="12.75">
      <c r="D1144"/>
      <c r="E1144"/>
      <c r="F1144"/>
      <c r="H1144"/>
      <c r="I1144"/>
      <c r="J1144"/>
    </row>
    <row r="1145" spans="4:10" ht="12.75">
      <c r="D1145"/>
      <c r="E1145"/>
      <c r="F1145"/>
      <c r="H1145"/>
      <c r="I1145"/>
      <c r="J1145"/>
    </row>
    <row r="1146" spans="4:10" ht="12.75">
      <c r="D1146"/>
      <c r="E1146"/>
      <c r="F1146"/>
      <c r="H1146"/>
      <c r="I1146"/>
      <c r="J1146"/>
    </row>
    <row r="1147" spans="4:10" ht="12.75">
      <c r="D1147"/>
      <c r="E1147"/>
      <c r="F1147"/>
      <c r="H1147"/>
      <c r="I1147"/>
      <c r="J1147"/>
    </row>
    <row r="1148" spans="4:10" ht="12.75">
      <c r="D1148"/>
      <c r="E1148"/>
      <c r="F1148"/>
      <c r="H1148"/>
      <c r="I1148"/>
      <c r="J1148"/>
    </row>
    <row r="1149" spans="4:10" ht="12.75">
      <c r="D1149"/>
      <c r="E1149"/>
      <c r="F1149"/>
      <c r="H1149"/>
      <c r="I1149"/>
      <c r="J1149"/>
    </row>
    <row r="1150" spans="4:10" ht="12.75">
      <c r="D1150"/>
      <c r="E1150"/>
      <c r="F1150"/>
      <c r="H1150"/>
      <c r="I1150"/>
      <c r="J1150"/>
    </row>
    <row r="1151" spans="4:10" ht="12.75">
      <c r="D1151"/>
      <c r="E1151"/>
      <c r="F1151"/>
      <c r="H1151"/>
      <c r="I1151"/>
      <c r="J1151"/>
    </row>
    <row r="1152" spans="4:10" ht="12.75">
      <c r="D1152"/>
      <c r="E1152"/>
      <c r="F1152"/>
      <c r="H1152"/>
      <c r="I1152"/>
      <c r="J1152"/>
    </row>
    <row r="1153" spans="4:10" ht="12.75">
      <c r="D1153"/>
      <c r="E1153"/>
      <c r="F1153"/>
      <c r="H1153"/>
      <c r="I1153"/>
      <c r="J1153"/>
    </row>
    <row r="1154" spans="4:10" ht="12.75">
      <c r="D1154"/>
      <c r="E1154"/>
      <c r="F1154"/>
      <c r="H1154"/>
      <c r="I1154"/>
      <c r="J1154"/>
    </row>
    <row r="1155" spans="4:10" ht="12.75">
      <c r="D1155"/>
      <c r="E1155"/>
      <c r="F1155"/>
      <c r="H1155"/>
      <c r="I1155"/>
      <c r="J1155"/>
    </row>
    <row r="1156" spans="4:10" ht="12.75">
      <c r="D1156"/>
      <c r="E1156"/>
      <c r="F1156"/>
      <c r="H1156"/>
      <c r="I1156"/>
      <c r="J1156"/>
    </row>
    <row r="1157" spans="4:10" ht="12.75">
      <c r="D1157"/>
      <c r="E1157"/>
      <c r="F1157"/>
      <c r="H1157"/>
      <c r="I1157"/>
      <c r="J1157"/>
    </row>
    <row r="1158" spans="4:10" ht="12.75">
      <c r="D1158"/>
      <c r="E1158"/>
      <c r="F1158"/>
      <c r="H1158"/>
      <c r="I1158"/>
      <c r="J1158"/>
    </row>
    <row r="1159" spans="4:10" ht="12.75">
      <c r="D1159"/>
      <c r="E1159"/>
      <c r="F1159"/>
      <c r="H1159"/>
      <c r="I1159"/>
      <c r="J1159"/>
    </row>
    <row r="1160" spans="4:10" ht="12.75">
      <c r="D1160"/>
      <c r="E1160"/>
      <c r="F1160"/>
      <c r="H1160"/>
      <c r="I1160"/>
      <c r="J1160"/>
    </row>
    <row r="1161" spans="4:10" ht="12.75">
      <c r="D1161"/>
      <c r="E1161"/>
      <c r="F1161"/>
      <c r="H1161"/>
      <c r="I1161"/>
      <c r="J1161"/>
    </row>
    <row r="1162" spans="4:10" ht="12.75">
      <c r="D1162"/>
      <c r="E1162"/>
      <c r="F1162"/>
      <c r="H1162"/>
      <c r="I1162"/>
      <c r="J1162"/>
    </row>
    <row r="1163" spans="4:10" ht="12.75">
      <c r="D1163"/>
      <c r="E1163"/>
      <c r="F1163"/>
      <c r="H1163"/>
      <c r="I1163"/>
      <c r="J1163"/>
    </row>
    <row r="1164" spans="4:10" ht="12.75">
      <c r="D1164"/>
      <c r="E1164"/>
      <c r="F1164"/>
      <c r="H1164"/>
      <c r="I1164"/>
      <c r="J1164"/>
    </row>
    <row r="1165" spans="4:10" ht="12.75">
      <c r="D1165"/>
      <c r="E1165"/>
      <c r="F1165"/>
      <c r="H1165"/>
      <c r="I1165"/>
      <c r="J1165"/>
    </row>
    <row r="1166" spans="4:10" ht="12.75">
      <c r="D1166"/>
      <c r="E1166"/>
      <c r="F1166"/>
      <c r="H1166"/>
      <c r="I1166"/>
      <c r="J1166"/>
    </row>
    <row r="1167" spans="4:10" ht="12.75">
      <c r="D1167"/>
      <c r="E1167"/>
      <c r="F1167"/>
      <c r="H1167"/>
      <c r="I1167"/>
      <c r="J1167"/>
    </row>
    <row r="1168" spans="4:10" ht="12.75">
      <c r="D1168"/>
      <c r="E1168"/>
      <c r="F1168"/>
      <c r="H1168"/>
      <c r="I1168"/>
      <c r="J1168"/>
    </row>
    <row r="1169" spans="4:10" ht="12.75">
      <c r="D1169"/>
      <c r="E1169"/>
      <c r="F1169"/>
      <c r="H1169"/>
      <c r="I1169"/>
      <c r="J1169"/>
    </row>
    <row r="1170" spans="4:10" ht="12.75">
      <c r="D1170"/>
      <c r="E1170"/>
      <c r="F1170"/>
      <c r="H1170"/>
      <c r="I1170"/>
      <c r="J1170"/>
    </row>
    <row r="1171" spans="4:10" ht="12.75">
      <c r="D1171"/>
      <c r="E1171"/>
      <c r="F1171"/>
      <c r="H1171"/>
      <c r="I1171"/>
      <c r="J1171"/>
    </row>
    <row r="1172" spans="4:10" ht="12.75">
      <c r="D1172"/>
      <c r="E1172"/>
      <c r="F1172"/>
      <c r="H1172"/>
      <c r="I1172"/>
      <c r="J1172"/>
    </row>
    <row r="1173" spans="4:10" ht="12.75">
      <c r="D1173"/>
      <c r="E1173"/>
      <c r="F1173"/>
      <c r="H1173"/>
      <c r="I1173"/>
      <c r="J1173"/>
    </row>
    <row r="1174" spans="4:10" ht="12.75">
      <c r="D1174"/>
      <c r="E1174"/>
      <c r="F1174"/>
      <c r="H1174"/>
      <c r="I1174"/>
      <c r="J1174"/>
    </row>
    <row r="1175" spans="4:10" ht="12.75">
      <c r="D1175"/>
      <c r="E1175"/>
      <c r="F1175"/>
      <c r="H1175"/>
      <c r="I1175"/>
      <c r="J1175"/>
    </row>
    <row r="1176" spans="4:10" ht="12.75">
      <c r="D1176"/>
      <c r="E1176"/>
      <c r="F1176"/>
      <c r="H1176"/>
      <c r="I1176"/>
      <c r="J1176"/>
    </row>
    <row r="1177" spans="4:10" ht="12.75">
      <c r="D1177"/>
      <c r="E1177"/>
      <c r="F1177"/>
      <c r="H1177"/>
      <c r="I1177"/>
      <c r="J1177"/>
    </row>
    <row r="1178" spans="4:10" ht="12.75">
      <c r="D1178"/>
      <c r="E1178"/>
      <c r="F1178"/>
      <c r="H1178"/>
      <c r="I1178"/>
      <c r="J1178"/>
    </row>
    <row r="1179" spans="4:10" ht="12.75">
      <c r="D1179"/>
      <c r="E1179"/>
      <c r="F1179"/>
      <c r="H1179"/>
      <c r="I1179"/>
      <c r="J1179"/>
    </row>
    <row r="1180" spans="4:10" ht="12.75">
      <c r="D1180"/>
      <c r="E1180"/>
      <c r="F1180"/>
      <c r="H1180"/>
      <c r="I1180"/>
      <c r="J1180"/>
    </row>
    <row r="1181" spans="4:10" ht="12.75">
      <c r="D1181"/>
      <c r="E1181"/>
      <c r="F1181"/>
      <c r="H1181"/>
      <c r="I1181"/>
      <c r="J1181"/>
    </row>
    <row r="1182" spans="4:10" ht="12.75">
      <c r="D1182"/>
      <c r="E1182"/>
      <c r="F1182"/>
      <c r="H1182"/>
      <c r="I1182"/>
      <c r="J1182"/>
    </row>
    <row r="1183" spans="4:10" ht="12.75">
      <c r="D1183"/>
      <c r="E1183"/>
      <c r="F1183"/>
      <c r="H1183"/>
      <c r="I1183"/>
      <c r="J1183"/>
    </row>
    <row r="1184" spans="4:10" ht="12.75">
      <c r="D1184"/>
      <c r="E1184"/>
      <c r="F1184"/>
      <c r="H1184"/>
      <c r="I1184"/>
      <c r="J1184"/>
    </row>
    <row r="1185" spans="4:10" ht="12.75">
      <c r="D1185"/>
      <c r="E1185"/>
      <c r="F1185"/>
      <c r="H1185"/>
      <c r="I1185"/>
      <c r="J1185"/>
    </row>
    <row r="1186" spans="4:10" ht="12.75">
      <c r="D1186"/>
      <c r="E1186"/>
      <c r="F1186"/>
      <c r="H1186"/>
      <c r="I1186"/>
      <c r="J1186"/>
    </row>
    <row r="1187" spans="4:10" ht="12.75">
      <c r="D1187"/>
      <c r="E1187"/>
      <c r="F1187"/>
      <c r="H1187"/>
      <c r="I1187"/>
      <c r="J1187"/>
    </row>
    <row r="1188" spans="4:10" ht="12.75">
      <c r="D1188"/>
      <c r="E1188"/>
      <c r="F1188"/>
      <c r="H1188"/>
      <c r="I1188"/>
      <c r="J1188"/>
    </row>
    <row r="1189" spans="4:10" ht="12.75">
      <c r="D1189"/>
      <c r="E1189"/>
      <c r="F1189"/>
      <c r="H1189"/>
      <c r="I1189"/>
      <c r="J1189"/>
    </row>
    <row r="1190" spans="4:10" ht="12.75">
      <c r="D1190"/>
      <c r="E1190"/>
      <c r="F1190"/>
      <c r="H1190"/>
      <c r="I1190"/>
      <c r="J1190"/>
    </row>
    <row r="1191" spans="4:10" ht="12.75">
      <c r="D1191"/>
      <c r="E1191"/>
      <c r="F1191"/>
      <c r="H1191"/>
      <c r="I1191"/>
      <c r="J1191"/>
    </row>
    <row r="1192" spans="4:10" ht="12.75">
      <c r="D1192"/>
      <c r="E1192"/>
      <c r="F1192"/>
      <c r="H1192"/>
      <c r="I1192"/>
      <c r="J1192"/>
    </row>
    <row r="1193" spans="4:10" ht="12.75">
      <c r="D1193"/>
      <c r="E1193"/>
      <c r="F1193"/>
      <c r="H1193"/>
      <c r="I1193"/>
      <c r="J1193"/>
    </row>
    <row r="1194" spans="4:10" ht="12.75">
      <c r="D1194"/>
      <c r="E1194"/>
      <c r="F1194"/>
      <c r="H1194"/>
      <c r="I1194"/>
      <c r="J1194"/>
    </row>
    <row r="1195" spans="4:10" ht="12.75">
      <c r="D1195"/>
      <c r="E1195"/>
      <c r="F1195"/>
      <c r="H1195"/>
      <c r="I1195"/>
      <c r="J1195"/>
    </row>
    <row r="1196" spans="4:10" ht="12.75">
      <c r="D1196"/>
      <c r="E1196"/>
      <c r="F1196"/>
      <c r="H1196"/>
      <c r="I1196"/>
      <c r="J1196"/>
    </row>
    <row r="1197" spans="4:10" ht="12.75">
      <c r="D1197"/>
      <c r="E1197"/>
      <c r="F1197"/>
      <c r="H1197"/>
      <c r="I1197"/>
      <c r="J1197"/>
    </row>
    <row r="1198" spans="4:10" ht="12.75">
      <c r="D1198"/>
      <c r="E1198"/>
      <c r="F1198"/>
      <c r="H1198"/>
      <c r="I1198"/>
      <c r="J1198"/>
    </row>
    <row r="1199" spans="4:10" ht="12.75">
      <c r="D1199"/>
      <c r="E1199"/>
      <c r="F1199"/>
      <c r="H1199"/>
      <c r="I1199"/>
      <c r="J1199"/>
    </row>
    <row r="1200" spans="4:10" ht="12.75">
      <c r="D1200"/>
      <c r="E1200"/>
      <c r="F1200"/>
      <c r="H1200"/>
      <c r="I1200"/>
      <c r="J1200"/>
    </row>
    <row r="1201" spans="4:10" ht="12.75">
      <c r="D1201"/>
      <c r="E1201"/>
      <c r="F1201"/>
      <c r="H1201"/>
      <c r="I1201"/>
      <c r="J1201"/>
    </row>
    <row r="1202" spans="4:10" ht="12.75">
      <c r="D1202"/>
      <c r="E1202"/>
      <c r="F1202"/>
      <c r="H1202"/>
      <c r="I1202"/>
      <c r="J1202"/>
    </row>
    <row r="1203" spans="4:10" ht="12.75">
      <c r="D1203"/>
      <c r="E1203"/>
      <c r="F1203"/>
      <c r="H1203"/>
      <c r="I1203"/>
      <c r="J1203"/>
    </row>
    <row r="1204" spans="4:10" ht="12.75">
      <c r="D1204"/>
      <c r="E1204"/>
      <c r="F1204"/>
      <c r="H1204"/>
      <c r="I1204"/>
      <c r="J1204"/>
    </row>
    <row r="1205" spans="4:10" ht="12.75">
      <c r="D1205"/>
      <c r="E1205"/>
      <c r="F1205"/>
      <c r="H1205"/>
      <c r="I1205"/>
      <c r="J1205"/>
    </row>
    <row r="1206" spans="4:10" ht="12.75">
      <c r="D1206"/>
      <c r="E1206"/>
      <c r="F1206"/>
      <c r="H1206"/>
      <c r="I1206"/>
      <c r="J1206"/>
    </row>
    <row r="1207" spans="4:10" ht="12.75">
      <c r="D1207"/>
      <c r="E1207"/>
      <c r="F1207"/>
      <c r="H1207"/>
      <c r="I1207"/>
      <c r="J1207"/>
    </row>
    <row r="1208" spans="4:10" ht="12.75">
      <c r="D1208"/>
      <c r="E1208"/>
      <c r="F1208"/>
      <c r="H1208"/>
      <c r="I1208"/>
      <c r="J1208"/>
    </row>
    <row r="1209" spans="4:10" ht="12.75">
      <c r="D1209"/>
      <c r="E1209"/>
      <c r="F1209"/>
      <c r="H1209"/>
      <c r="I1209"/>
      <c r="J1209"/>
    </row>
    <row r="1210" spans="4:10" ht="12.75">
      <c r="D1210"/>
      <c r="E1210"/>
      <c r="F1210"/>
      <c r="H1210"/>
      <c r="I1210"/>
      <c r="J1210"/>
    </row>
    <row r="1211" spans="4:10" ht="12.75">
      <c r="D1211"/>
      <c r="E1211"/>
      <c r="F1211"/>
      <c r="H1211"/>
      <c r="I1211"/>
      <c r="J1211"/>
    </row>
    <row r="1212" spans="4:10" ht="12.75">
      <c r="D1212"/>
      <c r="E1212"/>
      <c r="F1212"/>
      <c r="H1212"/>
      <c r="I1212"/>
      <c r="J1212"/>
    </row>
    <row r="1213" spans="4:10" ht="12.75">
      <c r="D1213"/>
      <c r="E1213"/>
      <c r="F1213"/>
      <c r="H1213"/>
      <c r="I1213"/>
      <c r="J1213"/>
    </row>
    <row r="1214" spans="4:10" ht="12.75">
      <c r="D1214"/>
      <c r="E1214"/>
      <c r="F1214"/>
      <c r="H1214"/>
      <c r="I1214"/>
      <c r="J1214"/>
    </row>
    <row r="1215" spans="4:10" ht="12.75">
      <c r="D1215"/>
      <c r="E1215"/>
      <c r="F1215"/>
      <c r="H1215"/>
      <c r="I1215"/>
      <c r="J1215"/>
    </row>
    <row r="1216" spans="4:10" ht="12.75">
      <c r="D1216"/>
      <c r="E1216"/>
      <c r="F1216"/>
      <c r="H1216"/>
      <c r="I1216"/>
      <c r="J1216"/>
    </row>
    <row r="1217" spans="4:10" ht="12.75">
      <c r="D1217"/>
      <c r="E1217"/>
      <c r="F1217"/>
      <c r="H1217"/>
      <c r="I1217"/>
      <c r="J1217"/>
    </row>
    <row r="1218" spans="4:10" ht="12.75">
      <c r="D1218"/>
      <c r="E1218"/>
      <c r="F1218"/>
      <c r="H1218"/>
      <c r="I1218"/>
      <c r="J1218"/>
    </row>
    <row r="1219" spans="4:10" ht="12.75">
      <c r="D1219"/>
      <c r="E1219"/>
      <c r="F1219"/>
      <c r="H1219"/>
      <c r="I1219"/>
      <c r="J1219"/>
    </row>
    <row r="1220" spans="4:10" ht="12.75">
      <c r="D1220"/>
      <c r="E1220"/>
      <c r="F1220"/>
      <c r="H1220"/>
      <c r="I1220"/>
      <c r="J1220"/>
    </row>
    <row r="1221" spans="4:10" ht="12.75">
      <c r="D1221"/>
      <c r="E1221"/>
      <c r="F1221"/>
      <c r="H1221"/>
      <c r="I1221"/>
      <c r="J1221"/>
    </row>
    <row r="1222" spans="4:10" ht="12.75">
      <c r="D1222"/>
      <c r="E1222"/>
      <c r="F1222"/>
      <c r="H1222"/>
      <c r="I1222"/>
      <c r="J1222"/>
    </row>
    <row r="1223" spans="4:10" ht="12.75">
      <c r="D1223"/>
      <c r="E1223"/>
      <c r="F1223"/>
      <c r="H1223"/>
      <c r="I1223"/>
      <c r="J1223"/>
    </row>
    <row r="1224" spans="4:10" ht="12.75">
      <c r="D1224"/>
      <c r="E1224"/>
      <c r="F1224"/>
      <c r="H1224"/>
      <c r="I1224"/>
      <c r="J1224"/>
    </row>
    <row r="1225" spans="4:10" ht="12.75">
      <c r="D1225"/>
      <c r="E1225"/>
      <c r="F1225"/>
      <c r="H1225"/>
      <c r="I1225"/>
      <c r="J1225"/>
    </row>
    <row r="1226" spans="4:10" ht="12.75">
      <c r="D1226"/>
      <c r="E1226"/>
      <c r="F1226"/>
      <c r="H1226"/>
      <c r="I1226"/>
      <c r="J1226"/>
    </row>
    <row r="1227" spans="4:10" ht="12.75">
      <c r="D1227"/>
      <c r="E1227"/>
      <c r="F1227"/>
      <c r="H1227"/>
      <c r="I1227"/>
      <c r="J1227"/>
    </row>
    <row r="1228" spans="4:10" ht="12.75">
      <c r="D1228"/>
      <c r="E1228"/>
      <c r="F1228"/>
      <c r="H1228"/>
      <c r="I1228"/>
      <c r="J1228"/>
    </row>
    <row r="1229" spans="4:10" ht="12.75">
      <c r="D1229"/>
      <c r="E1229"/>
      <c r="F1229"/>
      <c r="H1229"/>
      <c r="I1229"/>
      <c r="J1229"/>
    </row>
    <row r="1230" spans="4:10" ht="12.75">
      <c r="D1230"/>
      <c r="E1230"/>
      <c r="F1230"/>
      <c r="H1230"/>
      <c r="I1230"/>
      <c r="J1230"/>
    </row>
    <row r="1231" spans="4:10" ht="12.75">
      <c r="D1231"/>
      <c r="E1231"/>
      <c r="F1231"/>
      <c r="H1231"/>
      <c r="I1231"/>
      <c r="J1231"/>
    </row>
    <row r="1232" spans="4:10" ht="12.75">
      <c r="D1232"/>
      <c r="E1232"/>
      <c r="F1232"/>
      <c r="H1232"/>
      <c r="I1232"/>
      <c r="J1232"/>
    </row>
    <row r="1233" spans="4:10" ht="12.75">
      <c r="D1233"/>
      <c r="E1233"/>
      <c r="F1233"/>
      <c r="H1233"/>
      <c r="I1233"/>
      <c r="J1233"/>
    </row>
    <row r="1234" spans="4:10" ht="12.75">
      <c r="D1234"/>
      <c r="E1234"/>
      <c r="F1234"/>
      <c r="H1234"/>
      <c r="I1234"/>
      <c r="J1234"/>
    </row>
    <row r="1235" spans="4:10" ht="12.75">
      <c r="D1235"/>
      <c r="E1235"/>
      <c r="F1235"/>
      <c r="H1235"/>
      <c r="I1235"/>
      <c r="J1235"/>
    </row>
    <row r="1236" spans="4:10" ht="12.75">
      <c r="D1236"/>
      <c r="E1236"/>
      <c r="F1236"/>
      <c r="H1236"/>
      <c r="I1236"/>
      <c r="J1236"/>
    </row>
    <row r="1237" spans="4:10" ht="12.75">
      <c r="D1237"/>
      <c r="E1237"/>
      <c r="F1237"/>
      <c r="H1237"/>
      <c r="I1237"/>
      <c r="J1237"/>
    </row>
    <row r="1238" spans="4:10" ht="12.75">
      <c r="D1238"/>
      <c r="E1238"/>
      <c r="F1238"/>
      <c r="H1238"/>
      <c r="I1238"/>
      <c r="J1238"/>
    </row>
    <row r="1239" spans="4:10" ht="12.75">
      <c r="D1239"/>
      <c r="E1239"/>
      <c r="F1239"/>
      <c r="H1239"/>
      <c r="I1239"/>
      <c r="J1239"/>
    </row>
    <row r="1240" spans="4:10" ht="12.75">
      <c r="D1240"/>
      <c r="E1240"/>
      <c r="F1240"/>
      <c r="H1240"/>
      <c r="I1240"/>
      <c r="J1240"/>
    </row>
  </sheetData>
  <printOptions/>
  <pageMargins left="0.7874015748031497" right="0.7874015748031497" top="0.7874015748031497" bottom="0.7874015748031497" header="0.5118110236220472" footer="0.5118110236220472"/>
  <pageSetup fitToHeight="2" orientation="landscape" paperSize="9" scale="61" r:id="rId1"/>
  <headerFooter alignWithMargins="0">
    <oddFooter>&amp;C&amp;"Arial,Grassetto"Cespiti al 31/12/2005</oddFooter>
  </headerFooter>
  <rowBreaks count="4" manualBreakCount="4">
    <brk id="52" max="10" man="1"/>
    <brk id="147" max="10" man="1"/>
    <brk id="230" max="10" man="1"/>
    <brk id="30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959"/>
  <sheetViews>
    <sheetView tabSelected="1"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9.140625" defaultRowHeight="12.75"/>
  <cols>
    <col min="1" max="1" width="42.8515625" style="40" customWidth="1"/>
    <col min="2" max="2" width="15.7109375" style="40" customWidth="1"/>
    <col min="3" max="3" width="6.57421875" style="40" customWidth="1"/>
    <col min="4" max="4" width="14.7109375" style="41" customWidth="1"/>
    <col min="5" max="5" width="19.00390625" style="41" customWidth="1"/>
    <col min="6" max="6" width="17.421875" style="41" customWidth="1"/>
    <col min="7" max="7" width="7.8515625" style="40" customWidth="1"/>
    <col min="8" max="8" width="16.7109375" style="41" customWidth="1"/>
    <col min="9" max="10" width="5.8515625" style="0" customWidth="1"/>
    <col min="11" max="11" width="21.8515625" style="40" customWidth="1"/>
    <col min="12" max="16384" width="9.140625" style="40" customWidth="1"/>
  </cols>
  <sheetData>
    <row r="1" spans="1:11" ht="36.75" customHeight="1">
      <c r="A1" s="49" t="s">
        <v>0</v>
      </c>
      <c r="B1" s="50"/>
      <c r="C1" s="135" t="s">
        <v>3</v>
      </c>
      <c r="D1" s="136" t="s">
        <v>57</v>
      </c>
      <c r="E1" s="136" t="s">
        <v>54</v>
      </c>
      <c r="F1" s="136" t="s">
        <v>399</v>
      </c>
      <c r="G1" s="135" t="s">
        <v>21</v>
      </c>
      <c r="H1" s="136" t="s">
        <v>56</v>
      </c>
      <c r="I1" s="61"/>
      <c r="J1" s="61"/>
      <c r="K1" s="135" t="s">
        <v>55</v>
      </c>
    </row>
    <row r="2" ht="18" customHeight="1">
      <c r="A2" s="38"/>
    </row>
    <row r="3" spans="1:2" ht="18.75">
      <c r="A3" s="51" t="s">
        <v>134</v>
      </c>
      <c r="B3" s="52"/>
    </row>
    <row r="4" ht="12.75">
      <c r="A4" s="38"/>
    </row>
    <row r="5" ht="12.75">
      <c r="A5" s="55" t="s">
        <v>393</v>
      </c>
    </row>
    <row r="6" spans="1:11" ht="12.75">
      <c r="A6" s="38" t="s">
        <v>394</v>
      </c>
      <c r="B6" s="39" t="s">
        <v>231</v>
      </c>
      <c r="C6" s="40">
        <v>2004</v>
      </c>
      <c r="D6" s="94">
        <v>7650</v>
      </c>
      <c r="E6" s="41">
        <v>0</v>
      </c>
      <c r="F6" s="94">
        <v>6120</v>
      </c>
      <c r="G6" s="40">
        <v>20</v>
      </c>
      <c r="H6" s="94">
        <f>D6*G6/100</f>
        <v>1530</v>
      </c>
      <c r="K6" s="100">
        <f>+F6-H6</f>
        <v>4590</v>
      </c>
    </row>
    <row r="7" spans="1:11" ht="12.75">
      <c r="A7" s="38" t="s">
        <v>395</v>
      </c>
      <c r="B7" s="39" t="s">
        <v>231</v>
      </c>
      <c r="C7" s="40">
        <v>2004</v>
      </c>
      <c r="D7" s="94">
        <v>7650</v>
      </c>
      <c r="F7" s="94">
        <v>6120</v>
      </c>
      <c r="G7" s="40">
        <v>20</v>
      </c>
      <c r="H7" s="94">
        <f>D7*G7/100</f>
        <v>1530</v>
      </c>
      <c r="K7" s="100">
        <f>+F7-H7</f>
        <v>4590</v>
      </c>
    </row>
    <row r="8" spans="1:11" s="69" customFormat="1" ht="12.75">
      <c r="A8" s="68" t="s">
        <v>63</v>
      </c>
      <c r="D8" s="95">
        <f>SUM(D6:D7)</f>
        <v>15300</v>
      </c>
      <c r="E8" s="70">
        <f>SUM(E6:E6)</f>
        <v>0</v>
      </c>
      <c r="F8" s="95">
        <f>SUM(F6:F6)</f>
        <v>6120</v>
      </c>
      <c r="G8" s="70"/>
      <c r="H8" s="95">
        <f>SUM(H6:H7)</f>
        <v>3060</v>
      </c>
      <c r="I8" s="4"/>
      <c r="J8" s="4"/>
      <c r="K8" s="95">
        <f>SUM(K6:K7)</f>
        <v>9180</v>
      </c>
    </row>
    <row r="9" spans="1:11" ht="12.75">
      <c r="A9" s="53"/>
      <c r="D9" s="96"/>
      <c r="E9" s="54"/>
      <c r="F9" s="96"/>
      <c r="G9" s="54"/>
      <c r="H9" s="96"/>
      <c r="K9" s="96"/>
    </row>
    <row r="10" spans="1:11" ht="12.75">
      <c r="A10" s="55" t="s">
        <v>135</v>
      </c>
      <c r="D10" s="94"/>
      <c r="F10" s="94"/>
      <c r="H10" s="94"/>
      <c r="K10" s="100"/>
    </row>
    <row r="11" spans="1:11" ht="12.75">
      <c r="A11" s="38" t="s">
        <v>117</v>
      </c>
      <c r="B11" s="39" t="s">
        <v>68</v>
      </c>
      <c r="C11" s="40">
        <v>1999</v>
      </c>
      <c r="D11" s="94">
        <f>3451600/1936.27</f>
        <v>1782.6026328972716</v>
      </c>
      <c r="E11" s="41">
        <v>0</v>
      </c>
      <c r="F11" s="94">
        <v>0</v>
      </c>
      <c r="G11" s="40">
        <v>0</v>
      </c>
      <c r="H11" s="94">
        <f aca="true" t="shared" si="0" ref="H11:H17">D11*G11/100</f>
        <v>0</v>
      </c>
      <c r="K11" s="100">
        <f aca="true" t="shared" si="1" ref="K11:K18">+F11-H11</f>
        <v>0</v>
      </c>
    </row>
    <row r="12" spans="1:11" ht="12.75">
      <c r="A12" s="38" t="s">
        <v>118</v>
      </c>
      <c r="B12" s="39" t="s">
        <v>68</v>
      </c>
      <c r="C12" s="40">
        <v>1999</v>
      </c>
      <c r="D12" s="94">
        <f>2805000/1936.27</f>
        <v>1448.6616019460096</v>
      </c>
      <c r="E12" s="41">
        <v>0</v>
      </c>
      <c r="F12" s="94">
        <v>0</v>
      </c>
      <c r="G12" s="40">
        <v>0</v>
      </c>
      <c r="H12" s="94">
        <f t="shared" si="0"/>
        <v>0</v>
      </c>
      <c r="K12" s="100">
        <f t="shared" si="1"/>
        <v>0</v>
      </c>
    </row>
    <row r="13" spans="1:11" ht="12.75">
      <c r="A13" s="38" t="s">
        <v>124</v>
      </c>
      <c r="B13" s="39" t="s">
        <v>68</v>
      </c>
      <c r="C13" s="40">
        <v>1999</v>
      </c>
      <c r="D13" s="94">
        <f>11165700/1936.27</f>
        <v>5766.60279816348</v>
      </c>
      <c r="E13" s="41">
        <v>0</v>
      </c>
      <c r="F13" s="94">
        <v>0</v>
      </c>
      <c r="G13" s="40">
        <v>0</v>
      </c>
      <c r="H13" s="94">
        <f t="shared" si="0"/>
        <v>0</v>
      </c>
      <c r="K13" s="100">
        <f t="shared" si="1"/>
        <v>0</v>
      </c>
    </row>
    <row r="14" spans="1:11" ht="12.75">
      <c r="A14" s="77" t="s">
        <v>161</v>
      </c>
      <c r="B14" s="39" t="s">
        <v>159</v>
      </c>
      <c r="C14" s="40">
        <v>2001</v>
      </c>
      <c r="D14" s="94">
        <f>1680000/1936.27</f>
        <v>867.6475904703373</v>
      </c>
      <c r="E14" s="41">
        <v>0</v>
      </c>
      <c r="F14" s="94">
        <v>173.53</v>
      </c>
      <c r="G14" s="40">
        <v>20</v>
      </c>
      <c r="H14" s="94">
        <f t="shared" si="0"/>
        <v>173.52951809406747</v>
      </c>
      <c r="K14" s="100">
        <f t="shared" si="1"/>
        <v>0.00048190593253139014</v>
      </c>
    </row>
    <row r="15" spans="1:11" s="71" customFormat="1" ht="12.75">
      <c r="A15" s="77" t="s">
        <v>396</v>
      </c>
      <c r="B15" s="81" t="s">
        <v>270</v>
      </c>
      <c r="C15" s="71">
        <v>2003</v>
      </c>
      <c r="D15" s="97">
        <v>13530.1</v>
      </c>
      <c r="E15" s="132">
        <v>0</v>
      </c>
      <c r="F15" s="97">
        <v>10824.08</v>
      </c>
      <c r="G15" s="71">
        <v>20</v>
      </c>
      <c r="H15" s="97">
        <f t="shared" si="0"/>
        <v>2706.02</v>
      </c>
      <c r="I15" s="63"/>
      <c r="J15" s="63"/>
      <c r="K15" s="101">
        <f t="shared" si="1"/>
        <v>8118.0599999999995</v>
      </c>
    </row>
    <row r="16" spans="1:11" s="71" customFormat="1" ht="12.75">
      <c r="A16" s="77" t="s">
        <v>397</v>
      </c>
      <c r="B16" s="81" t="s">
        <v>270</v>
      </c>
      <c r="C16" s="71">
        <v>2003</v>
      </c>
      <c r="D16" s="97">
        <v>6642</v>
      </c>
      <c r="E16" s="132">
        <v>0</v>
      </c>
      <c r="F16" s="97">
        <v>5313.6</v>
      </c>
      <c r="G16" s="71">
        <v>20</v>
      </c>
      <c r="H16" s="97">
        <f t="shared" si="0"/>
        <v>1328.4</v>
      </c>
      <c r="I16" s="63"/>
      <c r="J16" s="63"/>
      <c r="K16" s="101">
        <f t="shared" si="1"/>
        <v>3985.2000000000003</v>
      </c>
    </row>
    <row r="17" spans="1:11" s="71" customFormat="1" ht="12.75">
      <c r="A17" s="77" t="s">
        <v>398</v>
      </c>
      <c r="B17" s="81" t="s">
        <v>270</v>
      </c>
      <c r="C17" s="71">
        <v>2003</v>
      </c>
      <c r="D17" s="97">
        <v>7444.8</v>
      </c>
      <c r="E17" s="132">
        <v>0</v>
      </c>
      <c r="F17" s="97">
        <v>5955.84</v>
      </c>
      <c r="G17" s="71">
        <v>20</v>
      </c>
      <c r="H17" s="97">
        <f t="shared" si="0"/>
        <v>1488.96</v>
      </c>
      <c r="I17" s="63"/>
      <c r="J17" s="63"/>
      <c r="K17" s="101">
        <f t="shared" si="1"/>
        <v>4466.88</v>
      </c>
    </row>
    <row r="18" spans="1:11" ht="12.75">
      <c r="A18" s="38"/>
      <c r="B18" s="39"/>
      <c r="D18" s="94"/>
      <c r="F18" s="94"/>
      <c r="H18" s="94"/>
      <c r="K18" s="100">
        <f t="shared" si="1"/>
        <v>0</v>
      </c>
    </row>
    <row r="19" spans="1:11" s="69" customFormat="1" ht="12.75">
      <c r="A19" s="68" t="s">
        <v>63</v>
      </c>
      <c r="D19" s="95">
        <f>SUM(D11:D18)</f>
        <v>37482.4146234771</v>
      </c>
      <c r="E19" s="122">
        <f>SUM(E11:E18)</f>
        <v>0</v>
      </c>
      <c r="F19" s="95">
        <f>SUM(F11:F18)</f>
        <v>22267.050000000003</v>
      </c>
      <c r="G19" s="70"/>
      <c r="H19" s="95">
        <f>SUM(H11:H18)</f>
        <v>5696.909518094068</v>
      </c>
      <c r="I19" s="4"/>
      <c r="J19" s="4"/>
      <c r="K19" s="95">
        <f>SUM(K11:K18)</f>
        <v>16570.14048190593</v>
      </c>
    </row>
    <row r="20" spans="1:11" ht="12.75">
      <c r="A20" s="53"/>
      <c r="D20" s="96"/>
      <c r="E20" s="54"/>
      <c r="F20" s="96"/>
      <c r="G20" s="54"/>
      <c r="H20" s="96"/>
      <c r="K20" s="96"/>
    </row>
    <row r="21" spans="1:11" s="71" customFormat="1" ht="12.75">
      <c r="A21" s="79" t="s">
        <v>136</v>
      </c>
      <c r="D21" s="97"/>
      <c r="E21" s="80"/>
      <c r="F21" s="97"/>
      <c r="H21" s="97"/>
      <c r="I21" s="63"/>
      <c r="J21" s="63"/>
      <c r="K21" s="101"/>
    </row>
    <row r="22" spans="1:11" s="71" customFormat="1" ht="12.75">
      <c r="A22" s="77" t="s">
        <v>122</v>
      </c>
      <c r="B22" s="81" t="s">
        <v>68</v>
      </c>
      <c r="C22" s="71">
        <v>1999</v>
      </c>
      <c r="D22" s="97">
        <f>1782000/1936.27</f>
        <v>920.3261941774649</v>
      </c>
      <c r="E22" s="80">
        <v>0</v>
      </c>
      <c r="F22" s="97">
        <v>0</v>
      </c>
      <c r="G22" s="71">
        <v>0</v>
      </c>
      <c r="H22" s="97">
        <f>D22*G22/100</f>
        <v>0</v>
      </c>
      <c r="I22" s="63"/>
      <c r="J22" s="63"/>
      <c r="K22" s="101">
        <f>+F22-H22</f>
        <v>0</v>
      </c>
    </row>
    <row r="23" spans="1:11" s="71" customFormat="1" ht="12.75">
      <c r="A23" s="77" t="s">
        <v>123</v>
      </c>
      <c r="B23" s="81" t="s">
        <v>68</v>
      </c>
      <c r="C23" s="71">
        <v>1999</v>
      </c>
      <c r="D23" s="97">
        <f>696000/1936.27</f>
        <v>359.4540017662826</v>
      </c>
      <c r="E23" s="80">
        <v>0</v>
      </c>
      <c r="F23" s="97">
        <v>0</v>
      </c>
      <c r="G23" s="71">
        <v>0</v>
      </c>
      <c r="H23" s="97">
        <f>D23*G23/100</f>
        <v>0</v>
      </c>
      <c r="I23" s="63"/>
      <c r="J23" s="63"/>
      <c r="K23" s="101">
        <f>+F23-H23</f>
        <v>0</v>
      </c>
    </row>
    <row r="24" spans="1:11" s="83" customFormat="1" ht="12.75">
      <c r="A24" s="82" t="s">
        <v>63</v>
      </c>
      <c r="D24" s="98">
        <f>SUM(D22:D23)</f>
        <v>1279.7801959437475</v>
      </c>
      <c r="E24" s="84">
        <f>SUM(E22:E23)</f>
        <v>0</v>
      </c>
      <c r="F24" s="98">
        <f>SUM(F22:F23)</f>
        <v>0</v>
      </c>
      <c r="G24" s="84"/>
      <c r="H24" s="98">
        <f>SUM(H22:H23)</f>
        <v>0</v>
      </c>
      <c r="I24" s="48"/>
      <c r="J24" s="48"/>
      <c r="K24" s="98">
        <f>SUM(K22:K23)</f>
        <v>0</v>
      </c>
    </row>
    <row r="25" spans="1:11" ht="12.75">
      <c r="A25" s="53"/>
      <c r="D25" s="96"/>
      <c r="E25" s="54"/>
      <c r="F25" s="96"/>
      <c r="G25" s="54"/>
      <c r="H25" s="96"/>
      <c r="K25" s="96"/>
    </row>
    <row r="26" spans="1:11" ht="12.75">
      <c r="A26" s="55" t="s">
        <v>90</v>
      </c>
      <c r="D26" s="94"/>
      <c r="F26" s="94"/>
      <c r="H26" s="94"/>
      <c r="K26" s="100"/>
    </row>
    <row r="27" spans="1:11" ht="12.75">
      <c r="A27" s="38" t="s">
        <v>92</v>
      </c>
      <c r="B27" s="39" t="s">
        <v>91</v>
      </c>
      <c r="C27" s="40">
        <v>1999</v>
      </c>
      <c r="D27" s="94">
        <v>0</v>
      </c>
      <c r="E27" s="41">
        <v>0</v>
      </c>
      <c r="F27" s="94">
        <f>+D27+E27</f>
        <v>0</v>
      </c>
      <c r="G27" s="40">
        <v>0</v>
      </c>
      <c r="H27" s="94">
        <f>F27*G27/100</f>
        <v>0</v>
      </c>
      <c r="K27" s="100">
        <f aca="true" t="shared" si="2" ref="K27:K41">+F27-H27</f>
        <v>0</v>
      </c>
    </row>
    <row r="28" spans="1:11" ht="12.75">
      <c r="A28" s="38" t="s">
        <v>154</v>
      </c>
      <c r="B28" s="39" t="s">
        <v>68</v>
      </c>
      <c r="C28" s="40">
        <v>2000</v>
      </c>
      <c r="D28" s="94">
        <v>0</v>
      </c>
      <c r="E28" s="41">
        <v>0</v>
      </c>
      <c r="F28" s="94">
        <f>+D28+E28</f>
        <v>0</v>
      </c>
      <c r="G28" s="40">
        <v>0</v>
      </c>
      <c r="H28" s="94">
        <f>F28*G28/100</f>
        <v>0</v>
      </c>
      <c r="K28" s="100">
        <f t="shared" si="2"/>
        <v>0</v>
      </c>
    </row>
    <row r="29" spans="1:11" ht="12.75">
      <c r="A29" s="38" t="s">
        <v>155</v>
      </c>
      <c r="B29" s="39" t="s">
        <v>68</v>
      </c>
      <c r="C29" s="40">
        <v>2000</v>
      </c>
      <c r="D29" s="94">
        <v>0</v>
      </c>
      <c r="E29" s="41">
        <v>0</v>
      </c>
      <c r="F29" s="94">
        <f>+D29+E29</f>
        <v>0</v>
      </c>
      <c r="G29" s="40">
        <v>0</v>
      </c>
      <c r="H29" s="94">
        <f>F29*G29/100</f>
        <v>0</v>
      </c>
      <c r="K29" s="100">
        <f t="shared" si="2"/>
        <v>0</v>
      </c>
    </row>
    <row r="30" spans="1:11" ht="12.75">
      <c r="A30" s="38" t="s">
        <v>156</v>
      </c>
      <c r="B30" s="39" t="s">
        <v>68</v>
      </c>
      <c r="C30" s="40">
        <v>2000</v>
      </c>
      <c r="D30" s="94">
        <v>0</v>
      </c>
      <c r="E30" s="41">
        <v>0</v>
      </c>
      <c r="F30" s="94">
        <f>+D30+E30</f>
        <v>0</v>
      </c>
      <c r="G30" s="40">
        <v>0</v>
      </c>
      <c r="H30" s="94">
        <f>F30*G30/100</f>
        <v>0</v>
      </c>
      <c r="K30" s="100">
        <f t="shared" si="2"/>
        <v>0</v>
      </c>
    </row>
    <row r="31" spans="1:11" ht="12.75">
      <c r="A31" s="77" t="s">
        <v>162</v>
      </c>
      <c r="B31" s="39" t="s">
        <v>163</v>
      </c>
      <c r="C31" s="40">
        <v>2001</v>
      </c>
      <c r="D31" s="94">
        <f>2701171/1936.27</f>
        <v>1395.0383985704473</v>
      </c>
      <c r="E31" s="41">
        <v>0</v>
      </c>
      <c r="F31" s="94">
        <v>279.01</v>
      </c>
      <c r="G31" s="40">
        <v>20</v>
      </c>
      <c r="H31" s="94">
        <f>D31*G31/100</f>
        <v>279.0076797140895</v>
      </c>
      <c r="K31" s="100">
        <f t="shared" si="2"/>
        <v>0.0023202859105140305</v>
      </c>
    </row>
    <row r="32" spans="1:11" s="71" customFormat="1" ht="12.75">
      <c r="A32" s="77" t="s">
        <v>236</v>
      </c>
      <c r="B32" s="81" t="s">
        <v>163</v>
      </c>
      <c r="C32" s="71">
        <v>2002</v>
      </c>
      <c r="D32" s="97">
        <v>1913.65</v>
      </c>
      <c r="E32" s="117">
        <v>0</v>
      </c>
      <c r="F32" s="97">
        <f>765.46-224.36</f>
        <v>541.1</v>
      </c>
      <c r="G32" s="71">
        <v>20</v>
      </c>
      <c r="H32" s="94">
        <f aca="true" t="shared" si="3" ref="H32:H38">D32*G32/100</f>
        <v>382.73</v>
      </c>
      <c r="I32" s="63"/>
      <c r="J32" s="63"/>
      <c r="K32" s="101">
        <f t="shared" si="2"/>
        <v>158.37</v>
      </c>
    </row>
    <row r="33" spans="1:11" s="71" customFormat="1" ht="12.75">
      <c r="A33" s="77" t="s">
        <v>237</v>
      </c>
      <c r="B33" s="81" t="s">
        <v>163</v>
      </c>
      <c r="C33" s="71">
        <v>2002</v>
      </c>
      <c r="D33" s="97">
        <v>857.98</v>
      </c>
      <c r="E33" s="117">
        <v>0</v>
      </c>
      <c r="F33" s="97">
        <v>343.18</v>
      </c>
      <c r="G33" s="71">
        <v>20</v>
      </c>
      <c r="H33" s="94">
        <f t="shared" si="3"/>
        <v>171.59599999999998</v>
      </c>
      <c r="I33" s="63"/>
      <c r="J33" s="63"/>
      <c r="K33" s="101">
        <f t="shared" si="2"/>
        <v>171.58400000000003</v>
      </c>
    </row>
    <row r="34" spans="1:11" s="71" customFormat="1" ht="12.75">
      <c r="A34" s="77" t="s">
        <v>242</v>
      </c>
      <c r="B34" s="81" t="s">
        <v>163</v>
      </c>
      <c r="C34" s="71">
        <v>2002</v>
      </c>
      <c r="D34" s="97">
        <v>3985.97</v>
      </c>
      <c r="E34" s="97">
        <v>0</v>
      </c>
      <c r="F34" s="97">
        <v>1594.4</v>
      </c>
      <c r="G34" s="71">
        <v>20</v>
      </c>
      <c r="H34" s="94">
        <f t="shared" si="3"/>
        <v>797.194</v>
      </c>
      <c r="I34" s="63"/>
      <c r="J34" s="63"/>
      <c r="K34" s="101">
        <f t="shared" si="2"/>
        <v>797.2060000000001</v>
      </c>
    </row>
    <row r="35" spans="1:11" s="71" customFormat="1" ht="12.75">
      <c r="A35" s="77" t="s">
        <v>238</v>
      </c>
      <c r="B35" s="81" t="s">
        <v>163</v>
      </c>
      <c r="C35" s="71">
        <v>2002</v>
      </c>
      <c r="D35" s="97">
        <v>1505.17</v>
      </c>
      <c r="E35" s="97">
        <v>0</v>
      </c>
      <c r="F35" s="97">
        <v>602.08</v>
      </c>
      <c r="G35" s="71">
        <v>20</v>
      </c>
      <c r="H35" s="94">
        <f t="shared" si="3"/>
        <v>301.034</v>
      </c>
      <c r="I35" s="63"/>
      <c r="J35" s="63"/>
      <c r="K35" s="101">
        <f t="shared" si="2"/>
        <v>301.04600000000005</v>
      </c>
    </row>
    <row r="36" spans="1:11" s="71" customFormat="1" ht="12.75">
      <c r="A36" s="77" t="s">
        <v>241</v>
      </c>
      <c r="B36" s="81" t="s">
        <v>163</v>
      </c>
      <c r="C36" s="71">
        <v>2002</v>
      </c>
      <c r="D36" s="97">
        <v>794.37</v>
      </c>
      <c r="E36" s="97">
        <v>0</v>
      </c>
      <c r="F36" s="97">
        <v>317.76</v>
      </c>
      <c r="G36" s="71">
        <v>20</v>
      </c>
      <c r="H36" s="94">
        <f t="shared" si="3"/>
        <v>158.874</v>
      </c>
      <c r="I36" s="63"/>
      <c r="J36" s="63"/>
      <c r="K36" s="101">
        <f t="shared" si="2"/>
        <v>158.886</v>
      </c>
    </row>
    <row r="37" spans="1:11" s="71" customFormat="1" ht="12.75">
      <c r="A37" s="77" t="s">
        <v>291</v>
      </c>
      <c r="B37" s="81" t="s">
        <v>163</v>
      </c>
      <c r="C37" s="71">
        <v>2003</v>
      </c>
      <c r="D37" s="97">
        <v>780</v>
      </c>
      <c r="E37" s="97">
        <v>0</v>
      </c>
      <c r="F37" s="97">
        <v>468</v>
      </c>
      <c r="G37" s="71">
        <v>20</v>
      </c>
      <c r="H37" s="94">
        <f t="shared" si="3"/>
        <v>156</v>
      </c>
      <c r="I37" s="63"/>
      <c r="J37" s="63"/>
      <c r="K37" s="101">
        <f t="shared" si="2"/>
        <v>312</v>
      </c>
    </row>
    <row r="38" spans="1:11" s="71" customFormat="1" ht="12.75">
      <c r="A38" s="77" t="s">
        <v>292</v>
      </c>
      <c r="B38" s="81" t="s">
        <v>66</v>
      </c>
      <c r="C38" s="71">
        <v>2003</v>
      </c>
      <c r="D38" s="97">
        <v>62</v>
      </c>
      <c r="E38" s="97">
        <v>0</v>
      </c>
      <c r="F38" s="97">
        <v>37.2</v>
      </c>
      <c r="G38" s="71">
        <v>20</v>
      </c>
      <c r="H38" s="94">
        <f t="shared" si="3"/>
        <v>12.4</v>
      </c>
      <c r="I38" s="63"/>
      <c r="J38" s="63"/>
      <c r="K38" s="101">
        <f t="shared" si="2"/>
        <v>24.800000000000004</v>
      </c>
    </row>
    <row r="39" spans="1:11" s="71" customFormat="1" ht="12.75">
      <c r="A39" s="77" t="s">
        <v>293</v>
      </c>
      <c r="B39" s="81" t="s">
        <v>163</v>
      </c>
      <c r="C39" s="71">
        <v>2003</v>
      </c>
      <c r="D39" s="97">
        <v>948.16</v>
      </c>
      <c r="E39" s="97">
        <v>0</v>
      </c>
      <c r="F39" s="97">
        <v>568.9</v>
      </c>
      <c r="G39" s="71">
        <v>20</v>
      </c>
      <c r="H39" s="94">
        <f>D39*G39/100</f>
        <v>189.632</v>
      </c>
      <c r="I39" s="63"/>
      <c r="J39" s="63"/>
      <c r="K39" s="101">
        <f t="shared" si="2"/>
        <v>379.268</v>
      </c>
    </row>
    <row r="40" spans="1:11" s="71" customFormat="1" ht="12.75">
      <c r="A40" s="77" t="s">
        <v>379</v>
      </c>
      <c r="B40" s="81" t="s">
        <v>163</v>
      </c>
      <c r="C40" s="71">
        <v>2004</v>
      </c>
      <c r="D40" s="97">
        <v>980.96</v>
      </c>
      <c r="E40" s="97">
        <v>0</v>
      </c>
      <c r="F40" s="97">
        <v>756.69</v>
      </c>
      <c r="G40" s="71">
        <v>20</v>
      </c>
      <c r="H40" s="94">
        <f>D40*G40/100</f>
        <v>196.192</v>
      </c>
      <c r="I40" s="63"/>
      <c r="J40" s="63"/>
      <c r="K40" s="101">
        <f t="shared" si="2"/>
        <v>560.498</v>
      </c>
    </row>
    <row r="41" spans="1:11" s="71" customFormat="1" ht="12.75">
      <c r="A41" s="77" t="s">
        <v>381</v>
      </c>
      <c r="B41" s="81" t="s">
        <v>91</v>
      </c>
      <c r="C41" s="71">
        <v>2004</v>
      </c>
      <c r="D41" s="97">
        <v>575</v>
      </c>
      <c r="E41" s="97">
        <v>0</v>
      </c>
      <c r="F41" s="97">
        <v>460</v>
      </c>
      <c r="G41" s="71">
        <v>20</v>
      </c>
      <c r="H41" s="94">
        <f>D41*G41/100</f>
        <v>115</v>
      </c>
      <c r="I41" s="63"/>
      <c r="J41" s="63"/>
      <c r="K41" s="101">
        <f t="shared" si="2"/>
        <v>345</v>
      </c>
    </row>
    <row r="42" spans="1:11" s="71" customFormat="1" ht="12.75">
      <c r="A42" s="77" t="s">
        <v>382</v>
      </c>
      <c r="B42" s="81" t="s">
        <v>163</v>
      </c>
      <c r="C42" s="71">
        <v>2004</v>
      </c>
      <c r="D42" s="97">
        <v>1227.66</v>
      </c>
      <c r="E42" s="97">
        <v>0</v>
      </c>
      <c r="F42" s="97">
        <v>982.13</v>
      </c>
      <c r="G42" s="71">
        <v>20</v>
      </c>
      <c r="H42" s="94">
        <f>D42*G42/100</f>
        <v>245.532</v>
      </c>
      <c r="I42" s="63"/>
      <c r="J42" s="63"/>
      <c r="K42" s="101">
        <f>+F42-H42+28.05</f>
        <v>764.6479999999999</v>
      </c>
    </row>
    <row r="43" spans="1:11" s="71" customFormat="1" ht="12.75">
      <c r="A43" s="77" t="s">
        <v>491</v>
      </c>
      <c r="B43" s="81" t="s">
        <v>231</v>
      </c>
      <c r="C43" s="71">
        <v>2005</v>
      </c>
      <c r="D43" s="97">
        <v>0</v>
      </c>
      <c r="E43" s="97">
        <v>1680</v>
      </c>
      <c r="F43" s="97">
        <v>1680</v>
      </c>
      <c r="G43" s="71">
        <v>20</v>
      </c>
      <c r="H43" s="97">
        <f aca="true" t="shared" si="4" ref="H43:H50">E43*G43/100</f>
        <v>336</v>
      </c>
      <c r="I43" s="63"/>
      <c r="J43" s="63"/>
      <c r="K43" s="101">
        <f aca="true" t="shared" si="5" ref="K43:K50">+F43-H43+28.05</f>
        <v>1372.05</v>
      </c>
    </row>
    <row r="44" spans="1:11" s="71" customFormat="1" ht="12.75">
      <c r="A44" s="77" t="s">
        <v>492</v>
      </c>
      <c r="B44" s="81" t="s">
        <v>231</v>
      </c>
      <c r="C44" s="71">
        <v>2005</v>
      </c>
      <c r="D44" s="97">
        <v>0</v>
      </c>
      <c r="E44" s="97">
        <v>2133.6</v>
      </c>
      <c r="F44" s="97">
        <v>2133.6</v>
      </c>
      <c r="G44" s="71">
        <v>20</v>
      </c>
      <c r="H44" s="97">
        <f>E44*G44/100</f>
        <v>426.72</v>
      </c>
      <c r="I44" s="63"/>
      <c r="J44" s="63"/>
      <c r="K44" s="101">
        <f t="shared" si="5"/>
        <v>1734.9299999999998</v>
      </c>
    </row>
    <row r="45" spans="1:11" s="71" customFormat="1" ht="12.75">
      <c r="A45" s="77" t="s">
        <v>493</v>
      </c>
      <c r="B45" s="81" t="s">
        <v>231</v>
      </c>
      <c r="C45" s="71">
        <v>2005</v>
      </c>
      <c r="D45" s="97">
        <v>0</v>
      </c>
      <c r="E45" s="97">
        <v>860</v>
      </c>
      <c r="F45" s="97">
        <v>860</v>
      </c>
      <c r="G45" s="71">
        <v>20</v>
      </c>
      <c r="H45" s="97">
        <f t="shared" si="4"/>
        <v>172</v>
      </c>
      <c r="I45" s="63"/>
      <c r="J45" s="63"/>
      <c r="K45" s="101">
        <f t="shared" si="5"/>
        <v>716.05</v>
      </c>
    </row>
    <row r="46" spans="1:11" s="71" customFormat="1" ht="12.75">
      <c r="A46" s="77" t="s">
        <v>494</v>
      </c>
      <c r="B46" s="81" t="s">
        <v>495</v>
      </c>
      <c r="C46" s="71">
        <v>2005</v>
      </c>
      <c r="D46" s="97">
        <v>0</v>
      </c>
      <c r="E46" s="97">
        <f>2853.2+11900</f>
        <v>14753.2</v>
      </c>
      <c r="F46" s="97">
        <v>14753.2</v>
      </c>
      <c r="G46" s="71">
        <v>20</v>
      </c>
      <c r="H46" s="97">
        <f t="shared" si="4"/>
        <v>2950.64</v>
      </c>
      <c r="I46" s="63"/>
      <c r="J46" s="63"/>
      <c r="K46" s="101">
        <f t="shared" si="5"/>
        <v>11830.61</v>
      </c>
    </row>
    <row r="47" spans="1:11" s="71" customFormat="1" ht="12.75">
      <c r="A47" s="77" t="s">
        <v>496</v>
      </c>
      <c r="B47" s="81" t="s">
        <v>427</v>
      </c>
      <c r="C47" s="71">
        <v>2005</v>
      </c>
      <c r="D47" s="97">
        <v>0</v>
      </c>
      <c r="E47" s="97">
        <v>6000</v>
      </c>
      <c r="F47" s="97">
        <v>6000</v>
      </c>
      <c r="G47" s="71">
        <v>20</v>
      </c>
      <c r="H47" s="97">
        <f t="shared" si="4"/>
        <v>1200</v>
      </c>
      <c r="I47" s="63"/>
      <c r="J47" s="63"/>
      <c r="K47" s="101">
        <f t="shared" si="5"/>
        <v>4828.05</v>
      </c>
    </row>
    <row r="48" spans="1:11" s="71" customFormat="1" ht="12.75">
      <c r="A48" s="77" t="s">
        <v>497</v>
      </c>
      <c r="B48" s="81" t="s">
        <v>231</v>
      </c>
      <c r="C48" s="71">
        <v>2005</v>
      </c>
      <c r="D48" s="97">
        <v>0</v>
      </c>
      <c r="E48" s="97">
        <v>448</v>
      </c>
      <c r="F48" s="97">
        <v>448</v>
      </c>
      <c r="G48" s="71">
        <v>20</v>
      </c>
      <c r="H48" s="97">
        <f t="shared" si="4"/>
        <v>89.6</v>
      </c>
      <c r="I48" s="63"/>
      <c r="J48" s="63"/>
      <c r="K48" s="101">
        <f t="shared" si="5"/>
        <v>386.45</v>
      </c>
    </row>
    <row r="49" spans="1:11" s="71" customFormat="1" ht="12.75">
      <c r="A49" s="77" t="s">
        <v>498</v>
      </c>
      <c r="B49" s="81" t="s">
        <v>231</v>
      </c>
      <c r="C49" s="71">
        <v>2005</v>
      </c>
      <c r="D49" s="97">
        <v>0</v>
      </c>
      <c r="E49" s="97">
        <v>1820.21</v>
      </c>
      <c r="F49" s="97">
        <v>1820.21</v>
      </c>
      <c r="G49" s="71">
        <v>20</v>
      </c>
      <c r="H49" s="97">
        <f t="shared" si="4"/>
        <v>364.042</v>
      </c>
      <c r="I49" s="63"/>
      <c r="J49" s="63"/>
      <c r="K49" s="101">
        <f t="shared" si="5"/>
        <v>1484.218</v>
      </c>
    </row>
    <row r="50" spans="1:11" s="71" customFormat="1" ht="12.75">
      <c r="A50" s="77" t="s">
        <v>499</v>
      </c>
      <c r="B50" s="81" t="s">
        <v>500</v>
      </c>
      <c r="C50" s="71">
        <v>2005</v>
      </c>
      <c r="D50" s="97">
        <v>0</v>
      </c>
      <c r="E50" s="97">
        <v>4080</v>
      </c>
      <c r="F50" s="97">
        <v>4080</v>
      </c>
      <c r="G50" s="71">
        <v>20</v>
      </c>
      <c r="H50" s="97">
        <f t="shared" si="4"/>
        <v>816</v>
      </c>
      <c r="I50" s="63"/>
      <c r="J50" s="63"/>
      <c r="K50" s="101">
        <f t="shared" si="5"/>
        <v>3292.05</v>
      </c>
    </row>
    <row r="51" spans="1:11" s="71" customFormat="1" ht="12.75">
      <c r="A51" s="77"/>
      <c r="B51" s="81"/>
      <c r="D51" s="97"/>
      <c r="E51" s="97"/>
      <c r="F51" s="97"/>
      <c r="H51" s="94"/>
      <c r="I51" s="63"/>
      <c r="J51" s="63"/>
      <c r="K51" s="101"/>
    </row>
    <row r="52" spans="1:11" s="69" customFormat="1" ht="12.75">
      <c r="A52" s="68" t="s">
        <v>63</v>
      </c>
      <c r="D52" s="95">
        <f>SUM(D27:D50)</f>
        <v>15025.958398570448</v>
      </c>
      <c r="E52" s="95">
        <f>SUM(E27:E50)</f>
        <v>31775.010000000002</v>
      </c>
      <c r="F52" s="95">
        <f>SUM(F27:F50)</f>
        <v>38725.46</v>
      </c>
      <c r="G52" s="70"/>
      <c r="H52" s="95">
        <f>SUM(H27:H51)</f>
        <v>9360.19367971409</v>
      </c>
      <c r="I52" s="70">
        <f>SUM(I27:I36)</f>
        <v>0</v>
      </c>
      <c r="J52" s="70">
        <f>SUM(J27:J36)</f>
        <v>0</v>
      </c>
      <c r="K52" s="95">
        <f>SUM(K27:K50)</f>
        <v>29617.716320285912</v>
      </c>
    </row>
    <row r="53" spans="1:11" ht="12.75">
      <c r="A53" s="53"/>
      <c r="D53" s="96"/>
      <c r="E53" s="54"/>
      <c r="F53" s="96"/>
      <c r="G53" s="54"/>
      <c r="H53" s="96"/>
      <c r="K53" s="96"/>
    </row>
    <row r="54" spans="1:11" ht="12.75">
      <c r="A54" s="53"/>
      <c r="D54" s="96"/>
      <c r="E54" s="54"/>
      <c r="F54" s="96"/>
      <c r="G54" s="54"/>
      <c r="H54" s="96"/>
      <c r="K54" s="96"/>
    </row>
    <row r="55" spans="1:11" ht="15">
      <c r="A55" s="60" t="s">
        <v>137</v>
      </c>
      <c r="B55" s="58"/>
      <c r="C55" s="58"/>
      <c r="D55" s="99">
        <f>SUM(D8+D19+D24+D52)</f>
        <v>69088.1532179913</v>
      </c>
      <c r="E55" s="99">
        <f>SUM(E8+E19+E24+E52)</f>
        <v>31775.010000000002</v>
      </c>
      <c r="F55" s="99">
        <f>SUM(F8+F19+F24+F52)</f>
        <v>67112.51000000001</v>
      </c>
      <c r="G55" s="59">
        <f>SUM(G8+G19+G24+G52)</f>
        <v>0</v>
      </c>
      <c r="H55" s="99">
        <f>SUM(H8+H19+H24+H52)</f>
        <v>18117.10319780816</v>
      </c>
      <c r="I55" s="62"/>
      <c r="J55" s="62"/>
      <c r="K55" s="99">
        <f>SUM(K8+K19+K24+K52)</f>
        <v>55367.85680219185</v>
      </c>
    </row>
    <row r="56" spans="1:11" ht="12.75">
      <c r="A56" s="38"/>
      <c r="K56" s="42"/>
    </row>
    <row r="453" spans="4:8" ht="12.75">
      <c r="D453" s="40"/>
      <c r="E453" s="40"/>
      <c r="F453" s="40"/>
      <c r="H453" s="40"/>
    </row>
    <row r="454" spans="4:8" ht="12.75">
      <c r="D454" s="40"/>
      <c r="E454" s="40"/>
      <c r="F454" s="40"/>
      <c r="H454" s="40"/>
    </row>
    <row r="455" spans="4:8" ht="12.75">
      <c r="D455" s="40"/>
      <c r="E455" s="40"/>
      <c r="F455" s="40"/>
      <c r="H455" s="40"/>
    </row>
    <row r="456" spans="4:8" ht="12.75">
      <c r="D456" s="40"/>
      <c r="E456" s="40"/>
      <c r="F456" s="40"/>
      <c r="H456" s="40"/>
    </row>
    <row r="457" spans="4:8" ht="12.75">
      <c r="D457" s="40"/>
      <c r="E457" s="40"/>
      <c r="F457" s="40"/>
      <c r="H457" s="40"/>
    </row>
    <row r="458" spans="4:8" ht="12.75">
      <c r="D458" s="40"/>
      <c r="E458" s="40"/>
      <c r="F458" s="40"/>
      <c r="H458" s="40"/>
    </row>
    <row r="459" spans="4:8" ht="12.75">
      <c r="D459" s="40"/>
      <c r="E459" s="40"/>
      <c r="F459" s="40"/>
      <c r="H459" s="40"/>
    </row>
    <row r="460" spans="4:8" ht="12.75">
      <c r="D460" s="40"/>
      <c r="E460" s="40"/>
      <c r="F460" s="40"/>
      <c r="H460" s="40"/>
    </row>
    <row r="461" spans="4:8" ht="12.75">
      <c r="D461" s="40"/>
      <c r="E461" s="40"/>
      <c r="F461" s="40"/>
      <c r="H461" s="40"/>
    </row>
    <row r="462" spans="4:8" ht="12.75">
      <c r="D462" s="40"/>
      <c r="E462" s="40"/>
      <c r="F462" s="40"/>
      <c r="H462" s="40"/>
    </row>
    <row r="463" spans="4:8" ht="12.75">
      <c r="D463" s="40"/>
      <c r="E463" s="40"/>
      <c r="F463" s="40"/>
      <c r="H463" s="40"/>
    </row>
    <row r="464" spans="4:8" ht="12.75">
      <c r="D464" s="40"/>
      <c r="E464" s="40"/>
      <c r="F464" s="40"/>
      <c r="H464" s="40"/>
    </row>
    <row r="465" spans="4:8" ht="12.75">
      <c r="D465" s="40"/>
      <c r="E465" s="40"/>
      <c r="F465" s="40"/>
      <c r="H465" s="40"/>
    </row>
    <row r="466" spans="4:8" ht="12.75">
      <c r="D466" s="40"/>
      <c r="E466" s="40"/>
      <c r="F466" s="40"/>
      <c r="H466" s="40"/>
    </row>
    <row r="467" spans="4:8" ht="12.75">
      <c r="D467" s="40"/>
      <c r="E467" s="40"/>
      <c r="F467" s="40"/>
      <c r="H467" s="40"/>
    </row>
    <row r="468" spans="4:8" ht="12.75">
      <c r="D468" s="40"/>
      <c r="E468" s="40"/>
      <c r="F468" s="40"/>
      <c r="H468" s="40"/>
    </row>
    <row r="469" spans="4:8" ht="12.75">
      <c r="D469" s="40"/>
      <c r="E469" s="40"/>
      <c r="F469" s="40"/>
      <c r="H469" s="40"/>
    </row>
    <row r="470" spans="4:8" ht="12.75">
      <c r="D470" s="40"/>
      <c r="E470" s="40"/>
      <c r="F470" s="40"/>
      <c r="H470" s="40"/>
    </row>
    <row r="471" spans="4:8" ht="12.75">
      <c r="D471" s="40"/>
      <c r="E471" s="40"/>
      <c r="F471" s="40"/>
      <c r="H471" s="40"/>
    </row>
    <row r="472" spans="4:8" ht="12.75">
      <c r="D472" s="40"/>
      <c r="E472" s="40"/>
      <c r="F472" s="40"/>
      <c r="H472" s="40"/>
    </row>
    <row r="473" spans="4:8" ht="12.75">
      <c r="D473" s="40"/>
      <c r="E473" s="40"/>
      <c r="F473" s="40"/>
      <c r="H473" s="40"/>
    </row>
    <row r="474" spans="4:8" ht="12.75">
      <c r="D474" s="40"/>
      <c r="E474" s="40"/>
      <c r="F474" s="40"/>
      <c r="H474" s="40"/>
    </row>
    <row r="475" spans="4:8" ht="12.75">
      <c r="D475" s="40"/>
      <c r="E475" s="40"/>
      <c r="F475" s="40"/>
      <c r="H475" s="40"/>
    </row>
    <row r="476" spans="4:8" ht="12.75">
      <c r="D476" s="40"/>
      <c r="E476" s="40"/>
      <c r="F476" s="40"/>
      <c r="H476" s="40"/>
    </row>
    <row r="477" spans="4:8" ht="12.75">
      <c r="D477" s="40"/>
      <c r="E477" s="40"/>
      <c r="F477" s="40"/>
      <c r="H477" s="40"/>
    </row>
    <row r="478" spans="4:8" ht="12.75">
      <c r="D478" s="40"/>
      <c r="E478" s="40"/>
      <c r="F478" s="40"/>
      <c r="H478" s="40"/>
    </row>
    <row r="479" spans="4:8" ht="12.75">
      <c r="D479" s="40"/>
      <c r="E479" s="40"/>
      <c r="F479" s="40"/>
      <c r="H479" s="40"/>
    </row>
    <row r="480" spans="4:8" ht="12.75">
      <c r="D480" s="40"/>
      <c r="E480" s="40"/>
      <c r="F480" s="40"/>
      <c r="H480" s="40"/>
    </row>
    <row r="481" spans="4:8" ht="12.75">
      <c r="D481" s="40"/>
      <c r="E481" s="40"/>
      <c r="F481" s="40"/>
      <c r="H481" s="40"/>
    </row>
    <row r="482" spans="4:8" ht="12.75">
      <c r="D482" s="40"/>
      <c r="E482" s="40"/>
      <c r="F482" s="40"/>
      <c r="H482" s="40"/>
    </row>
    <row r="483" spans="4:8" ht="12.75">
      <c r="D483" s="40"/>
      <c r="E483" s="40"/>
      <c r="F483" s="40"/>
      <c r="H483" s="40"/>
    </row>
    <row r="484" spans="4:8" ht="12.75">
      <c r="D484" s="40"/>
      <c r="E484" s="40"/>
      <c r="F484" s="40"/>
      <c r="H484" s="40"/>
    </row>
    <row r="485" spans="1:44" ht="14.25">
      <c r="A485" s="56"/>
      <c r="B485" s="56"/>
      <c r="C485" s="56"/>
      <c r="D485" s="56"/>
      <c r="E485" s="56"/>
      <c r="F485" s="56"/>
      <c r="G485" s="56"/>
      <c r="H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</row>
    <row r="486" spans="4:8" ht="12.75">
      <c r="D486" s="40"/>
      <c r="E486" s="40"/>
      <c r="F486" s="40"/>
      <c r="H486" s="40"/>
    </row>
    <row r="487" spans="4:8" ht="12.75">
      <c r="D487" s="40"/>
      <c r="E487" s="40"/>
      <c r="F487" s="40"/>
      <c r="H487" s="40"/>
    </row>
    <row r="488" spans="4:8" ht="12.75">
      <c r="D488" s="40"/>
      <c r="E488" s="40"/>
      <c r="F488" s="40"/>
      <c r="H488" s="40"/>
    </row>
    <row r="489" spans="4:8" ht="12.75">
      <c r="D489" s="40"/>
      <c r="E489" s="40"/>
      <c r="F489" s="40"/>
      <c r="H489" s="40"/>
    </row>
    <row r="490" spans="4:8" ht="12.75">
      <c r="D490" s="40"/>
      <c r="E490" s="40"/>
      <c r="F490" s="40"/>
      <c r="H490" s="40"/>
    </row>
    <row r="491" spans="4:8" ht="12.75">
      <c r="D491" s="40"/>
      <c r="E491" s="40"/>
      <c r="F491" s="40"/>
      <c r="H491" s="40"/>
    </row>
    <row r="492" spans="4:8" ht="12.75">
      <c r="D492" s="40"/>
      <c r="E492" s="40"/>
      <c r="F492" s="40"/>
      <c r="H492" s="40"/>
    </row>
    <row r="493" spans="4:8" ht="12.75">
      <c r="D493" s="40"/>
      <c r="E493" s="40"/>
      <c r="F493" s="40"/>
      <c r="H493" s="40"/>
    </row>
    <row r="494" spans="4:8" ht="12.75">
      <c r="D494" s="40"/>
      <c r="E494" s="40"/>
      <c r="F494" s="40"/>
      <c r="H494" s="40"/>
    </row>
    <row r="495" spans="4:8" ht="12.75">
      <c r="D495" s="40"/>
      <c r="E495" s="40"/>
      <c r="F495" s="40"/>
      <c r="H495" s="40"/>
    </row>
    <row r="496" spans="4:8" ht="12.75">
      <c r="D496" s="40"/>
      <c r="E496" s="40"/>
      <c r="F496" s="40"/>
      <c r="H496" s="40"/>
    </row>
    <row r="497" spans="4:8" ht="12.75">
      <c r="D497" s="40"/>
      <c r="E497" s="40"/>
      <c r="F497" s="40"/>
      <c r="H497" s="40"/>
    </row>
    <row r="498" spans="4:8" ht="12.75">
      <c r="D498" s="40"/>
      <c r="E498" s="40"/>
      <c r="F498" s="40"/>
      <c r="H498" s="40"/>
    </row>
    <row r="499" spans="4:8" ht="12.75">
      <c r="D499" s="40"/>
      <c r="E499" s="40"/>
      <c r="F499" s="40"/>
      <c r="H499" s="40"/>
    </row>
    <row r="500" spans="4:8" ht="12.75">
      <c r="D500" s="40"/>
      <c r="E500" s="40"/>
      <c r="F500" s="40"/>
      <c r="H500" s="40"/>
    </row>
    <row r="501" spans="4:8" ht="12.75">
      <c r="D501" s="40"/>
      <c r="E501" s="40"/>
      <c r="F501" s="40"/>
      <c r="H501" s="40"/>
    </row>
    <row r="502" spans="4:8" ht="12.75">
      <c r="D502" s="40"/>
      <c r="E502" s="40"/>
      <c r="F502" s="40"/>
      <c r="H502" s="40"/>
    </row>
    <row r="503" spans="4:8" ht="12.75">
      <c r="D503" s="40"/>
      <c r="E503" s="40"/>
      <c r="F503" s="40"/>
      <c r="H503" s="40"/>
    </row>
    <row r="504" spans="4:8" ht="12.75">
      <c r="D504" s="40"/>
      <c r="E504" s="40"/>
      <c r="F504" s="40"/>
      <c r="H504" s="40"/>
    </row>
    <row r="505" spans="4:8" ht="12.75">
      <c r="D505" s="40"/>
      <c r="E505" s="40"/>
      <c r="F505" s="40"/>
      <c r="H505" s="40"/>
    </row>
    <row r="506" spans="4:8" ht="12.75">
      <c r="D506" s="40"/>
      <c r="E506" s="40"/>
      <c r="F506" s="40"/>
      <c r="H506" s="40"/>
    </row>
    <row r="507" spans="4:8" ht="12.75">
      <c r="D507" s="40"/>
      <c r="E507" s="40"/>
      <c r="F507" s="40"/>
      <c r="H507" s="40"/>
    </row>
    <row r="508" spans="4:8" ht="12.75">
      <c r="D508" s="40"/>
      <c r="E508" s="40"/>
      <c r="F508" s="40"/>
      <c r="H508" s="40"/>
    </row>
    <row r="509" spans="4:8" ht="12.75">
      <c r="D509" s="40"/>
      <c r="E509" s="40"/>
      <c r="F509" s="40"/>
      <c r="H509" s="40"/>
    </row>
    <row r="510" spans="4:8" ht="12.75">
      <c r="D510" s="40"/>
      <c r="E510" s="40"/>
      <c r="F510" s="40"/>
      <c r="H510" s="40"/>
    </row>
    <row r="511" spans="4:8" ht="12.75">
      <c r="D511" s="40"/>
      <c r="E511" s="40"/>
      <c r="F511" s="40"/>
      <c r="H511" s="40"/>
    </row>
    <row r="512" spans="4:8" ht="12.75">
      <c r="D512" s="40"/>
      <c r="E512" s="40"/>
      <c r="F512" s="40"/>
      <c r="H512" s="40"/>
    </row>
    <row r="513" spans="4:8" ht="12.75">
      <c r="D513" s="40"/>
      <c r="E513" s="40"/>
      <c r="F513" s="40"/>
      <c r="H513" s="40"/>
    </row>
    <row r="514" spans="4:8" ht="12.75">
      <c r="D514" s="40"/>
      <c r="E514" s="40"/>
      <c r="F514" s="40"/>
      <c r="H514" s="40"/>
    </row>
    <row r="515" spans="4:8" ht="12.75">
      <c r="D515" s="40"/>
      <c r="E515" s="40"/>
      <c r="F515" s="40"/>
      <c r="H515" s="40"/>
    </row>
    <row r="516" spans="4:8" ht="12.75">
      <c r="D516" s="40"/>
      <c r="E516" s="40"/>
      <c r="F516" s="40"/>
      <c r="H516" s="40"/>
    </row>
    <row r="517" spans="4:8" ht="12.75">
      <c r="D517" s="40"/>
      <c r="E517" s="40"/>
      <c r="F517" s="40"/>
      <c r="H517" s="40"/>
    </row>
    <row r="518" spans="4:8" ht="12.75">
      <c r="D518" s="40"/>
      <c r="E518" s="40"/>
      <c r="F518" s="40"/>
      <c r="H518" s="40"/>
    </row>
    <row r="519" spans="4:8" ht="12.75">
      <c r="D519" s="40"/>
      <c r="E519" s="40"/>
      <c r="F519" s="40"/>
      <c r="H519" s="40"/>
    </row>
    <row r="520" spans="4:8" ht="12.75">
      <c r="D520" s="40"/>
      <c r="E520" s="40"/>
      <c r="F520" s="40"/>
      <c r="H520" s="40"/>
    </row>
    <row r="521" spans="4:8" ht="12.75">
      <c r="D521" s="40"/>
      <c r="E521" s="40"/>
      <c r="F521" s="40"/>
      <c r="H521" s="40"/>
    </row>
    <row r="522" spans="4:8" ht="12.75">
      <c r="D522" s="40"/>
      <c r="E522" s="40"/>
      <c r="F522" s="40"/>
      <c r="H522" s="40"/>
    </row>
    <row r="523" spans="4:8" ht="12.75">
      <c r="D523" s="40"/>
      <c r="E523" s="40"/>
      <c r="F523" s="40"/>
      <c r="H523" s="40"/>
    </row>
    <row r="524" spans="4:8" ht="12.75">
      <c r="D524" s="40"/>
      <c r="E524" s="40"/>
      <c r="F524" s="40"/>
      <c r="H524" s="40"/>
    </row>
    <row r="525" spans="4:8" ht="12.75">
      <c r="D525" s="40"/>
      <c r="E525" s="40"/>
      <c r="F525" s="40"/>
      <c r="H525" s="40"/>
    </row>
    <row r="526" spans="4:8" ht="12.75">
      <c r="D526" s="40"/>
      <c r="E526" s="40"/>
      <c r="F526" s="40"/>
      <c r="H526" s="40"/>
    </row>
    <row r="527" spans="4:8" ht="12.75">
      <c r="D527" s="40"/>
      <c r="E527" s="40"/>
      <c r="F527" s="40"/>
      <c r="H527" s="40"/>
    </row>
    <row r="528" spans="4:8" ht="12.75">
      <c r="D528" s="40"/>
      <c r="E528" s="40"/>
      <c r="F528" s="40"/>
      <c r="H528" s="40"/>
    </row>
    <row r="529" spans="4:8" ht="12.75">
      <c r="D529" s="40"/>
      <c r="E529" s="40"/>
      <c r="F529" s="40"/>
      <c r="H529" s="40"/>
    </row>
    <row r="530" spans="4:8" ht="12.75">
      <c r="D530" s="40"/>
      <c r="E530" s="40"/>
      <c r="F530" s="40"/>
      <c r="H530" s="40"/>
    </row>
    <row r="531" spans="4:8" ht="12.75">
      <c r="D531" s="40"/>
      <c r="E531" s="40"/>
      <c r="F531" s="40"/>
      <c r="H531" s="40"/>
    </row>
    <row r="532" spans="4:8" ht="12.75">
      <c r="D532" s="40"/>
      <c r="E532" s="40"/>
      <c r="F532" s="40"/>
      <c r="H532" s="40"/>
    </row>
    <row r="533" spans="4:8" ht="12.75">
      <c r="D533" s="40"/>
      <c r="E533" s="40"/>
      <c r="F533" s="40"/>
      <c r="H533" s="40"/>
    </row>
    <row r="534" spans="4:8" ht="12.75">
      <c r="D534" s="40"/>
      <c r="E534" s="40"/>
      <c r="F534" s="40"/>
      <c r="H534" s="40"/>
    </row>
    <row r="535" spans="4:8" ht="12.75">
      <c r="D535" s="40"/>
      <c r="E535" s="40"/>
      <c r="F535" s="40"/>
      <c r="H535" s="40"/>
    </row>
    <row r="536" spans="4:8" ht="12.75">
      <c r="D536" s="40"/>
      <c r="E536" s="40"/>
      <c r="F536" s="40"/>
      <c r="H536" s="40"/>
    </row>
    <row r="537" spans="4:8" ht="12.75">
      <c r="D537" s="40"/>
      <c r="E537" s="40"/>
      <c r="F537" s="40"/>
      <c r="H537" s="40"/>
    </row>
    <row r="538" spans="4:8" ht="12.75">
      <c r="D538" s="40"/>
      <c r="E538" s="40"/>
      <c r="F538" s="40"/>
      <c r="H538" s="40"/>
    </row>
    <row r="539" spans="4:8" ht="12.75">
      <c r="D539" s="40"/>
      <c r="E539" s="40"/>
      <c r="F539" s="40"/>
      <c r="H539" s="40"/>
    </row>
    <row r="540" spans="4:8" ht="12.75">
      <c r="D540" s="40"/>
      <c r="E540" s="40"/>
      <c r="F540" s="40"/>
      <c r="H540" s="40"/>
    </row>
    <row r="541" spans="4:8" ht="12.75">
      <c r="D541" s="40"/>
      <c r="E541" s="40"/>
      <c r="F541" s="40"/>
      <c r="H541" s="40"/>
    </row>
    <row r="542" spans="4:8" ht="12.75">
      <c r="D542" s="40"/>
      <c r="E542" s="40"/>
      <c r="F542" s="40"/>
      <c r="H542" s="40"/>
    </row>
    <row r="543" spans="4:8" ht="12.75">
      <c r="D543" s="40"/>
      <c r="E543" s="40"/>
      <c r="F543" s="40"/>
      <c r="H543" s="40"/>
    </row>
    <row r="544" spans="4:8" ht="12.75">
      <c r="D544" s="40"/>
      <c r="E544" s="40"/>
      <c r="F544" s="40"/>
      <c r="H544" s="40"/>
    </row>
    <row r="545" spans="4:8" ht="12.75">
      <c r="D545" s="40"/>
      <c r="E545" s="40"/>
      <c r="F545" s="40"/>
      <c r="H545" s="40"/>
    </row>
    <row r="546" spans="4:8" ht="12.75">
      <c r="D546" s="40"/>
      <c r="E546" s="40"/>
      <c r="F546" s="40"/>
      <c r="H546" s="40"/>
    </row>
    <row r="547" spans="1:44" ht="15">
      <c r="A547" s="57"/>
      <c r="B547" s="56"/>
      <c r="C547" s="56"/>
      <c r="D547" s="56"/>
      <c r="E547" s="56"/>
      <c r="F547" s="56"/>
      <c r="G547" s="56"/>
      <c r="H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</row>
    <row r="548" spans="4:8" ht="12.75">
      <c r="D548" s="40"/>
      <c r="E548" s="40"/>
      <c r="F548" s="40"/>
      <c r="H548" s="40"/>
    </row>
    <row r="549" spans="4:8" ht="12.75">
      <c r="D549" s="40"/>
      <c r="E549" s="40"/>
      <c r="F549" s="40"/>
      <c r="H549" s="40"/>
    </row>
    <row r="550" spans="4:8" ht="12.75">
      <c r="D550" s="40"/>
      <c r="E550" s="40"/>
      <c r="F550" s="40"/>
      <c r="H550" s="40"/>
    </row>
    <row r="551" spans="4:8" ht="12.75">
      <c r="D551" s="40"/>
      <c r="E551" s="40"/>
      <c r="F551" s="40"/>
      <c r="H551" s="40"/>
    </row>
    <row r="552" spans="4:8" ht="12.75">
      <c r="D552" s="40"/>
      <c r="E552" s="40"/>
      <c r="F552" s="40"/>
      <c r="H552" s="40"/>
    </row>
    <row r="553" spans="4:8" ht="12.75">
      <c r="D553" s="40"/>
      <c r="E553" s="40"/>
      <c r="F553" s="40"/>
      <c r="H553" s="40"/>
    </row>
    <row r="554" spans="4:8" ht="12.75">
      <c r="D554" s="40"/>
      <c r="E554" s="40"/>
      <c r="F554" s="40"/>
      <c r="H554" s="40"/>
    </row>
    <row r="555" spans="4:8" ht="12.75">
      <c r="D555" s="40"/>
      <c r="E555" s="40"/>
      <c r="F555" s="40"/>
      <c r="H555" s="40"/>
    </row>
    <row r="556" spans="4:8" ht="12.75">
      <c r="D556" s="40"/>
      <c r="E556" s="40"/>
      <c r="F556" s="40"/>
      <c r="H556" s="40"/>
    </row>
    <row r="557" spans="4:8" ht="12.75">
      <c r="D557" s="40"/>
      <c r="E557" s="40"/>
      <c r="F557" s="40"/>
      <c r="H557" s="40"/>
    </row>
    <row r="558" spans="4:8" ht="12.75">
      <c r="D558" s="40"/>
      <c r="E558" s="40"/>
      <c r="F558" s="40"/>
      <c r="H558" s="40"/>
    </row>
    <row r="559" spans="4:8" ht="12.75">
      <c r="D559" s="40"/>
      <c r="E559" s="40"/>
      <c r="F559" s="40"/>
      <c r="H559" s="40"/>
    </row>
    <row r="560" spans="4:8" ht="12.75">
      <c r="D560" s="40"/>
      <c r="E560" s="40"/>
      <c r="F560" s="40"/>
      <c r="H560" s="40"/>
    </row>
    <row r="561" spans="4:8" ht="12.75">
      <c r="D561" s="40"/>
      <c r="E561" s="40"/>
      <c r="F561" s="40"/>
      <c r="H561" s="40"/>
    </row>
    <row r="562" spans="4:8" ht="12.75">
      <c r="D562" s="40"/>
      <c r="E562" s="40"/>
      <c r="F562" s="40"/>
      <c r="H562" s="40"/>
    </row>
    <row r="563" spans="4:8" ht="12.75">
      <c r="D563" s="40"/>
      <c r="E563" s="40"/>
      <c r="F563" s="40"/>
      <c r="H563" s="40"/>
    </row>
    <row r="564" spans="4:8" ht="12.75">
      <c r="D564" s="40"/>
      <c r="E564" s="40"/>
      <c r="F564" s="40"/>
      <c r="H564" s="40"/>
    </row>
    <row r="565" spans="4:8" ht="12.75">
      <c r="D565" s="40"/>
      <c r="E565" s="40"/>
      <c r="F565" s="40"/>
      <c r="H565" s="40"/>
    </row>
    <row r="566" spans="4:8" ht="12.75">
      <c r="D566" s="40"/>
      <c r="E566" s="40"/>
      <c r="F566" s="40"/>
      <c r="H566" s="40"/>
    </row>
    <row r="567" spans="4:8" ht="12.75">
      <c r="D567" s="40"/>
      <c r="E567" s="40"/>
      <c r="F567" s="40"/>
      <c r="H567" s="40"/>
    </row>
    <row r="568" spans="4:8" ht="12.75">
      <c r="D568" s="40"/>
      <c r="E568" s="40"/>
      <c r="F568" s="40"/>
      <c r="H568" s="40"/>
    </row>
    <row r="569" spans="4:8" ht="12.75">
      <c r="D569" s="40"/>
      <c r="E569" s="40"/>
      <c r="F569" s="40"/>
      <c r="H569" s="40"/>
    </row>
    <row r="570" spans="4:8" ht="12.75">
      <c r="D570" s="40"/>
      <c r="E570" s="40"/>
      <c r="F570" s="40"/>
      <c r="H570" s="40"/>
    </row>
    <row r="571" spans="4:8" ht="12.75">
      <c r="D571" s="40"/>
      <c r="E571" s="40"/>
      <c r="F571" s="40"/>
      <c r="H571" s="40"/>
    </row>
    <row r="572" spans="4:8" ht="12.75">
      <c r="D572" s="40"/>
      <c r="E572" s="40"/>
      <c r="F572" s="40"/>
      <c r="H572" s="40"/>
    </row>
    <row r="573" spans="4:8" ht="12.75">
      <c r="D573" s="40"/>
      <c r="E573" s="40"/>
      <c r="F573" s="40"/>
      <c r="H573" s="40"/>
    </row>
    <row r="574" spans="4:8" ht="12.75">
      <c r="D574" s="40"/>
      <c r="E574" s="40"/>
      <c r="F574" s="40"/>
      <c r="H574" s="40"/>
    </row>
    <row r="575" spans="4:8" ht="12.75">
      <c r="D575" s="40"/>
      <c r="E575" s="40"/>
      <c r="F575" s="40"/>
      <c r="H575" s="40"/>
    </row>
    <row r="576" spans="4:8" ht="12.75">
      <c r="D576" s="40"/>
      <c r="E576" s="40"/>
      <c r="F576" s="40"/>
      <c r="H576" s="40"/>
    </row>
    <row r="577" spans="4:8" ht="12.75">
      <c r="D577" s="40"/>
      <c r="E577" s="40"/>
      <c r="F577" s="40"/>
      <c r="H577" s="40"/>
    </row>
    <row r="578" spans="4:8" ht="12.75">
      <c r="D578" s="40"/>
      <c r="E578" s="40"/>
      <c r="F578" s="40"/>
      <c r="H578" s="40"/>
    </row>
    <row r="579" spans="4:8" ht="12.75">
      <c r="D579" s="40"/>
      <c r="E579" s="40"/>
      <c r="F579" s="40"/>
      <c r="H579" s="40"/>
    </row>
    <row r="580" spans="4:8" ht="12.75">
      <c r="D580" s="40"/>
      <c r="E580" s="40"/>
      <c r="F580" s="40"/>
      <c r="H580" s="40"/>
    </row>
    <row r="581" spans="4:8" ht="12.75">
      <c r="D581" s="40"/>
      <c r="E581" s="40"/>
      <c r="F581" s="40"/>
      <c r="H581" s="40"/>
    </row>
    <row r="582" spans="4:8" ht="12.75">
      <c r="D582" s="40"/>
      <c r="E582" s="40"/>
      <c r="F582" s="40"/>
      <c r="H582" s="40"/>
    </row>
    <row r="583" spans="4:8" ht="12.75">
      <c r="D583" s="40"/>
      <c r="E583" s="40"/>
      <c r="F583" s="40"/>
      <c r="H583" s="40"/>
    </row>
    <row r="584" spans="4:8" ht="12.75">
      <c r="D584" s="40"/>
      <c r="E584" s="40"/>
      <c r="F584" s="40"/>
      <c r="H584" s="40"/>
    </row>
    <row r="585" spans="4:8" ht="12.75">
      <c r="D585" s="40"/>
      <c r="E585" s="40"/>
      <c r="F585" s="40"/>
      <c r="H585" s="40"/>
    </row>
    <row r="586" spans="4:8" ht="12.75">
      <c r="D586" s="40"/>
      <c r="E586" s="40"/>
      <c r="F586" s="40"/>
      <c r="H586" s="40"/>
    </row>
    <row r="587" spans="4:8" ht="12.75">
      <c r="D587" s="40"/>
      <c r="E587" s="40"/>
      <c r="F587" s="40"/>
      <c r="H587" s="40"/>
    </row>
    <row r="588" spans="4:8" ht="12.75">
      <c r="D588" s="40"/>
      <c r="E588" s="40"/>
      <c r="F588" s="40"/>
      <c r="H588" s="40"/>
    </row>
    <row r="589" spans="4:8" ht="12.75">
      <c r="D589" s="40"/>
      <c r="E589" s="40"/>
      <c r="F589" s="40"/>
      <c r="H589" s="40"/>
    </row>
    <row r="590" spans="4:8" ht="12.75">
      <c r="D590" s="40"/>
      <c r="E590" s="40"/>
      <c r="F590" s="40"/>
      <c r="H590" s="40"/>
    </row>
    <row r="591" spans="4:8" ht="12.75">
      <c r="D591" s="40"/>
      <c r="E591" s="40"/>
      <c r="F591" s="40"/>
      <c r="H591" s="40"/>
    </row>
    <row r="592" spans="4:8" ht="12.75">
      <c r="D592" s="40"/>
      <c r="E592" s="40"/>
      <c r="F592" s="40"/>
      <c r="H592" s="40"/>
    </row>
    <row r="593" spans="4:8" ht="12.75">
      <c r="D593" s="40"/>
      <c r="E593" s="40"/>
      <c r="F593" s="40"/>
      <c r="H593" s="40"/>
    </row>
    <row r="594" spans="4:8" ht="12.75">
      <c r="D594" s="40"/>
      <c r="E594" s="40"/>
      <c r="F594" s="40"/>
      <c r="H594" s="40"/>
    </row>
    <row r="595" spans="4:8" ht="12.75">
      <c r="D595" s="40"/>
      <c r="E595" s="40"/>
      <c r="F595" s="40"/>
      <c r="H595" s="40"/>
    </row>
    <row r="596" spans="4:8" ht="12.75">
      <c r="D596" s="40"/>
      <c r="E596" s="40"/>
      <c r="F596" s="40"/>
      <c r="H596" s="40"/>
    </row>
    <row r="597" spans="4:8" ht="12.75">
      <c r="D597" s="40"/>
      <c r="E597" s="40"/>
      <c r="F597" s="40"/>
      <c r="H597" s="40"/>
    </row>
    <row r="598" spans="4:8" ht="12.75">
      <c r="D598" s="40"/>
      <c r="E598" s="40"/>
      <c r="F598" s="40"/>
      <c r="H598" s="40"/>
    </row>
    <row r="599" spans="4:8" ht="12.75">
      <c r="D599" s="40"/>
      <c r="E599" s="40"/>
      <c r="F599" s="40"/>
      <c r="H599" s="40"/>
    </row>
    <row r="600" spans="4:8" ht="12.75">
      <c r="D600" s="40"/>
      <c r="E600" s="40"/>
      <c r="F600" s="40"/>
      <c r="H600" s="40"/>
    </row>
    <row r="601" spans="4:8" ht="12.75">
      <c r="D601" s="40"/>
      <c r="E601" s="40"/>
      <c r="F601" s="40"/>
      <c r="H601" s="40"/>
    </row>
    <row r="602" spans="4:8" ht="12.75">
      <c r="D602" s="40"/>
      <c r="E602" s="40"/>
      <c r="F602" s="40"/>
      <c r="H602" s="40"/>
    </row>
    <row r="603" spans="4:8" ht="12.75">
      <c r="D603" s="40"/>
      <c r="E603" s="40"/>
      <c r="F603" s="40"/>
      <c r="H603" s="40"/>
    </row>
    <row r="604" spans="4:8" ht="12.75">
      <c r="D604" s="40"/>
      <c r="E604" s="40"/>
      <c r="F604" s="40"/>
      <c r="H604" s="40"/>
    </row>
    <row r="605" spans="4:8" ht="12.75">
      <c r="D605" s="40"/>
      <c r="E605" s="40"/>
      <c r="F605" s="40"/>
      <c r="H605" s="40"/>
    </row>
    <row r="606" spans="4:8" ht="12.75">
      <c r="D606" s="40"/>
      <c r="E606" s="40"/>
      <c r="F606" s="40"/>
      <c r="H606" s="40"/>
    </row>
    <row r="607" spans="4:8" ht="12.75">
      <c r="D607" s="40"/>
      <c r="E607" s="40"/>
      <c r="F607" s="40"/>
      <c r="H607" s="40"/>
    </row>
    <row r="608" spans="4:8" ht="12.75">
      <c r="D608" s="40"/>
      <c r="E608" s="40"/>
      <c r="F608" s="40"/>
      <c r="H608" s="40"/>
    </row>
    <row r="609" spans="4:8" ht="12.75">
      <c r="D609" s="40"/>
      <c r="E609" s="40"/>
      <c r="F609" s="40"/>
      <c r="H609" s="40"/>
    </row>
    <row r="610" spans="4:8" ht="12.75">
      <c r="D610" s="40"/>
      <c r="E610" s="40"/>
      <c r="F610" s="40"/>
      <c r="H610" s="40"/>
    </row>
    <row r="611" spans="4:8" ht="12.75">
      <c r="D611" s="40"/>
      <c r="E611" s="40"/>
      <c r="F611" s="40"/>
      <c r="H611" s="40"/>
    </row>
    <row r="612" spans="4:8" ht="12.75">
      <c r="D612" s="40"/>
      <c r="E612" s="40"/>
      <c r="F612" s="40"/>
      <c r="H612" s="40"/>
    </row>
    <row r="613" spans="4:8" ht="12.75">
      <c r="D613" s="40"/>
      <c r="E613" s="40"/>
      <c r="F613" s="40"/>
      <c r="H613" s="40"/>
    </row>
    <row r="614" spans="4:8" ht="12.75">
      <c r="D614" s="40"/>
      <c r="E614" s="40"/>
      <c r="F614" s="40"/>
      <c r="H614" s="40"/>
    </row>
    <row r="615" spans="4:8" ht="12.75">
      <c r="D615" s="40"/>
      <c r="E615" s="40"/>
      <c r="F615" s="40"/>
      <c r="H615" s="40"/>
    </row>
    <row r="616" spans="4:8" ht="12.75">
      <c r="D616" s="40"/>
      <c r="E616" s="40"/>
      <c r="F616" s="40"/>
      <c r="H616" s="40"/>
    </row>
    <row r="617" spans="4:8" ht="12.75">
      <c r="D617" s="40"/>
      <c r="E617" s="40"/>
      <c r="F617" s="40"/>
      <c r="H617" s="40"/>
    </row>
    <row r="618" spans="4:8" ht="12.75">
      <c r="D618" s="40"/>
      <c r="E618" s="40"/>
      <c r="F618" s="40"/>
      <c r="H618" s="40"/>
    </row>
    <row r="619" spans="4:8" ht="12.75">
      <c r="D619" s="40"/>
      <c r="E619" s="40"/>
      <c r="F619" s="40"/>
      <c r="H619" s="40"/>
    </row>
    <row r="620" spans="4:8" ht="12.75">
      <c r="D620" s="40"/>
      <c r="E620" s="40"/>
      <c r="F620" s="40"/>
      <c r="H620" s="40"/>
    </row>
    <row r="621" spans="4:8" ht="12.75">
      <c r="D621" s="40"/>
      <c r="E621" s="40"/>
      <c r="F621" s="40"/>
      <c r="H621" s="40"/>
    </row>
    <row r="622" spans="4:8" ht="12.75">
      <c r="D622" s="40"/>
      <c r="E622" s="40"/>
      <c r="F622" s="40"/>
      <c r="H622" s="40"/>
    </row>
    <row r="623" spans="4:8" ht="12.75">
      <c r="D623" s="40"/>
      <c r="E623" s="40"/>
      <c r="F623" s="40"/>
      <c r="H623" s="40"/>
    </row>
    <row r="624" spans="4:8" ht="12.75">
      <c r="D624" s="40"/>
      <c r="E624" s="40"/>
      <c r="F624" s="40"/>
      <c r="H624" s="40"/>
    </row>
    <row r="625" spans="4:8" ht="12.75">
      <c r="D625" s="40"/>
      <c r="E625" s="40"/>
      <c r="F625" s="40"/>
      <c r="H625" s="40"/>
    </row>
    <row r="626" spans="4:8" ht="12.75">
      <c r="D626" s="40"/>
      <c r="E626" s="40"/>
      <c r="F626" s="40"/>
      <c r="H626" s="40"/>
    </row>
    <row r="627" spans="4:8" ht="12.75">
      <c r="D627" s="40"/>
      <c r="E627" s="40"/>
      <c r="F627" s="40"/>
      <c r="H627" s="40"/>
    </row>
    <row r="628" spans="4:8" ht="12.75">
      <c r="D628" s="40"/>
      <c r="E628" s="40"/>
      <c r="F628" s="40"/>
      <c r="H628" s="40"/>
    </row>
    <row r="629" spans="4:8" ht="12.75">
      <c r="D629" s="40"/>
      <c r="E629" s="40"/>
      <c r="F629" s="40"/>
      <c r="H629" s="40"/>
    </row>
    <row r="630" spans="4:8" ht="12.75">
      <c r="D630" s="40"/>
      <c r="E630" s="40"/>
      <c r="F630" s="40"/>
      <c r="H630" s="40"/>
    </row>
    <row r="631" spans="4:8" ht="12.75">
      <c r="D631" s="40"/>
      <c r="E631" s="40"/>
      <c r="F631" s="40"/>
      <c r="H631" s="40"/>
    </row>
    <row r="632" spans="4:8" ht="12.75">
      <c r="D632" s="40"/>
      <c r="E632" s="40"/>
      <c r="F632" s="40"/>
      <c r="H632" s="40"/>
    </row>
    <row r="633" spans="4:8" ht="12.75">
      <c r="D633" s="40"/>
      <c r="E633" s="40"/>
      <c r="F633" s="40"/>
      <c r="H633" s="40"/>
    </row>
    <row r="634" spans="4:8" ht="12.75">
      <c r="D634" s="40"/>
      <c r="E634" s="40"/>
      <c r="F634" s="40"/>
      <c r="H634" s="40"/>
    </row>
    <row r="635" spans="4:8" ht="12.75">
      <c r="D635" s="40"/>
      <c r="E635" s="40"/>
      <c r="F635" s="40"/>
      <c r="H635" s="40"/>
    </row>
    <row r="636" spans="4:8" ht="12.75">
      <c r="D636" s="40"/>
      <c r="E636" s="40"/>
      <c r="F636" s="40"/>
      <c r="H636" s="40"/>
    </row>
    <row r="637" spans="4:8" ht="12.75">
      <c r="D637" s="40"/>
      <c r="E637" s="40"/>
      <c r="F637" s="40"/>
      <c r="H637" s="40"/>
    </row>
    <row r="638" spans="4:8" ht="12.75">
      <c r="D638" s="40"/>
      <c r="E638" s="40"/>
      <c r="F638" s="40"/>
      <c r="H638" s="40"/>
    </row>
    <row r="639" spans="4:8" ht="12.75">
      <c r="D639" s="40"/>
      <c r="E639" s="40"/>
      <c r="F639" s="40"/>
      <c r="H639" s="40"/>
    </row>
    <row r="640" spans="4:8" ht="12.75">
      <c r="D640" s="40"/>
      <c r="E640" s="40"/>
      <c r="F640" s="40"/>
      <c r="H640" s="40"/>
    </row>
    <row r="641" spans="4:8" ht="12.75">
      <c r="D641" s="40"/>
      <c r="E641" s="40"/>
      <c r="F641" s="40"/>
      <c r="H641" s="40"/>
    </row>
    <row r="642" spans="4:8" ht="12.75">
      <c r="D642" s="40"/>
      <c r="E642" s="40"/>
      <c r="F642" s="40"/>
      <c r="H642" s="40"/>
    </row>
    <row r="643" spans="4:8" ht="12.75">
      <c r="D643" s="40"/>
      <c r="E643" s="40"/>
      <c r="F643" s="40"/>
      <c r="H643" s="40"/>
    </row>
    <row r="644" spans="4:8" ht="12.75">
      <c r="D644" s="40"/>
      <c r="E644" s="40"/>
      <c r="F644" s="40"/>
      <c r="H644" s="40"/>
    </row>
    <row r="645" spans="4:8" ht="12.75">
      <c r="D645" s="40"/>
      <c r="E645" s="40"/>
      <c r="F645" s="40"/>
      <c r="H645" s="40"/>
    </row>
    <row r="646" spans="4:8" ht="12.75">
      <c r="D646" s="40"/>
      <c r="E646" s="40"/>
      <c r="F646" s="40"/>
      <c r="H646" s="40"/>
    </row>
    <row r="647" spans="4:8" ht="12.75">
      <c r="D647" s="40"/>
      <c r="E647" s="40"/>
      <c r="F647" s="40"/>
      <c r="H647" s="40"/>
    </row>
    <row r="648" spans="4:8" ht="12.75">
      <c r="D648" s="40"/>
      <c r="E648" s="40"/>
      <c r="F648" s="40"/>
      <c r="H648" s="40"/>
    </row>
    <row r="649" spans="4:8" ht="12.75">
      <c r="D649" s="40"/>
      <c r="E649" s="40"/>
      <c r="F649" s="40"/>
      <c r="H649" s="40"/>
    </row>
    <row r="650" spans="4:8" ht="12.75">
      <c r="D650" s="40"/>
      <c r="E650" s="40"/>
      <c r="F650" s="40"/>
      <c r="H650" s="40"/>
    </row>
    <row r="651" spans="4:8" ht="12.75">
      <c r="D651" s="40"/>
      <c r="E651" s="40"/>
      <c r="F651" s="40"/>
      <c r="H651" s="40"/>
    </row>
    <row r="652" spans="4:8" ht="12.75">
      <c r="D652" s="40"/>
      <c r="E652" s="40"/>
      <c r="F652" s="40"/>
      <c r="H652" s="40"/>
    </row>
    <row r="653" spans="4:8" ht="12.75">
      <c r="D653" s="40"/>
      <c r="E653" s="40"/>
      <c r="F653" s="40"/>
      <c r="H653" s="40"/>
    </row>
    <row r="654" spans="4:8" ht="12.75">
      <c r="D654" s="40"/>
      <c r="E654" s="40"/>
      <c r="F654" s="40"/>
      <c r="H654" s="40"/>
    </row>
    <row r="655" spans="4:8" ht="12.75">
      <c r="D655" s="40"/>
      <c r="E655" s="40"/>
      <c r="F655" s="40"/>
      <c r="H655" s="40"/>
    </row>
    <row r="656" spans="4:8" ht="12.75">
      <c r="D656" s="40"/>
      <c r="E656" s="40"/>
      <c r="F656" s="40"/>
      <c r="H656" s="40"/>
    </row>
    <row r="657" spans="4:8" ht="12.75">
      <c r="D657" s="40"/>
      <c r="E657" s="40"/>
      <c r="F657" s="40"/>
      <c r="H657" s="40"/>
    </row>
    <row r="658" spans="4:8" ht="12.75">
      <c r="D658" s="40"/>
      <c r="E658" s="40"/>
      <c r="F658" s="40"/>
      <c r="H658" s="40"/>
    </row>
    <row r="659" spans="4:8" ht="12.75">
      <c r="D659" s="40"/>
      <c r="E659" s="40"/>
      <c r="F659" s="40"/>
      <c r="H659" s="40"/>
    </row>
    <row r="660" spans="4:8" ht="12.75">
      <c r="D660" s="40"/>
      <c r="E660" s="40"/>
      <c r="F660" s="40"/>
      <c r="H660" s="40"/>
    </row>
    <row r="661" spans="4:8" ht="12.75">
      <c r="D661" s="40"/>
      <c r="E661" s="40"/>
      <c r="F661" s="40"/>
      <c r="H661" s="40"/>
    </row>
    <row r="662" spans="4:8" ht="12.75">
      <c r="D662" s="40"/>
      <c r="E662" s="40"/>
      <c r="F662" s="40"/>
      <c r="H662" s="40"/>
    </row>
    <row r="663" spans="4:8" ht="12.75">
      <c r="D663" s="40"/>
      <c r="E663" s="40"/>
      <c r="F663" s="40"/>
      <c r="H663" s="40"/>
    </row>
    <row r="664" spans="4:8" ht="12.75">
      <c r="D664" s="40"/>
      <c r="E664" s="40"/>
      <c r="F664" s="40"/>
      <c r="H664" s="40"/>
    </row>
    <row r="665" spans="4:8" ht="12.75">
      <c r="D665" s="40"/>
      <c r="E665" s="40"/>
      <c r="F665" s="40"/>
      <c r="H665" s="40"/>
    </row>
    <row r="666" spans="4:8" ht="12.75">
      <c r="D666" s="40"/>
      <c r="E666" s="40"/>
      <c r="F666" s="40"/>
      <c r="H666" s="40"/>
    </row>
    <row r="667" spans="4:8" ht="12.75">
      <c r="D667" s="40"/>
      <c r="E667" s="40"/>
      <c r="F667" s="40"/>
      <c r="H667" s="40"/>
    </row>
    <row r="668" spans="4:8" ht="12.75">
      <c r="D668" s="40"/>
      <c r="E668" s="40"/>
      <c r="F668" s="40"/>
      <c r="H668" s="40"/>
    </row>
    <row r="669" spans="4:8" ht="12.75">
      <c r="D669" s="40"/>
      <c r="E669" s="40"/>
      <c r="F669" s="40"/>
      <c r="H669" s="40"/>
    </row>
    <row r="670" spans="4:8" ht="12.75">
      <c r="D670" s="40"/>
      <c r="E670" s="40"/>
      <c r="F670" s="40"/>
      <c r="H670" s="40"/>
    </row>
    <row r="671" spans="4:8" ht="12.75">
      <c r="D671" s="40"/>
      <c r="E671" s="40"/>
      <c r="F671" s="40"/>
      <c r="H671" s="40"/>
    </row>
    <row r="672" spans="4:8" ht="12.75">
      <c r="D672" s="40"/>
      <c r="E672" s="40"/>
      <c r="F672" s="40"/>
      <c r="H672" s="40"/>
    </row>
    <row r="673" spans="4:8" ht="12.75">
      <c r="D673" s="40"/>
      <c r="E673" s="40"/>
      <c r="F673" s="40"/>
      <c r="H673" s="40"/>
    </row>
    <row r="674" spans="4:8" ht="12.75">
      <c r="D674" s="40"/>
      <c r="E674" s="40"/>
      <c r="F674" s="40"/>
      <c r="H674" s="40"/>
    </row>
    <row r="675" spans="4:8" ht="12.75">
      <c r="D675" s="40"/>
      <c r="E675" s="40"/>
      <c r="F675" s="40"/>
      <c r="H675" s="40"/>
    </row>
    <row r="676" spans="4:8" ht="12.75">
      <c r="D676" s="40"/>
      <c r="E676" s="40"/>
      <c r="F676" s="40"/>
      <c r="H676" s="40"/>
    </row>
    <row r="677" spans="4:8" ht="12.75">
      <c r="D677" s="40"/>
      <c r="E677" s="40"/>
      <c r="F677" s="40"/>
      <c r="H677" s="40"/>
    </row>
    <row r="678" spans="4:8" ht="12.75">
      <c r="D678" s="40"/>
      <c r="E678" s="40"/>
      <c r="F678" s="40"/>
      <c r="H678" s="40"/>
    </row>
    <row r="679" spans="4:8" ht="12.75">
      <c r="D679" s="40"/>
      <c r="E679" s="40"/>
      <c r="F679" s="40"/>
      <c r="H679" s="40"/>
    </row>
    <row r="680" spans="4:8" ht="12.75">
      <c r="D680" s="40"/>
      <c r="E680" s="40"/>
      <c r="F680" s="40"/>
      <c r="H680" s="40"/>
    </row>
    <row r="681" spans="4:8" ht="12.75">
      <c r="D681" s="40"/>
      <c r="E681" s="40"/>
      <c r="F681" s="40"/>
      <c r="H681" s="40"/>
    </row>
    <row r="682" spans="4:8" ht="12.75">
      <c r="D682" s="40"/>
      <c r="E682" s="40"/>
      <c r="F682" s="40"/>
      <c r="H682" s="40"/>
    </row>
    <row r="683" spans="4:8" ht="12.75">
      <c r="D683" s="40"/>
      <c r="E683" s="40"/>
      <c r="F683" s="40"/>
      <c r="H683" s="40"/>
    </row>
    <row r="684" spans="4:8" ht="12.75">
      <c r="D684" s="40"/>
      <c r="E684" s="40"/>
      <c r="F684" s="40"/>
      <c r="H684" s="40"/>
    </row>
    <row r="685" spans="4:8" ht="12.75">
      <c r="D685" s="40"/>
      <c r="E685" s="40"/>
      <c r="F685" s="40"/>
      <c r="H685" s="40"/>
    </row>
    <row r="686" spans="4:8" ht="12.75">
      <c r="D686" s="40"/>
      <c r="E686" s="40"/>
      <c r="F686" s="40"/>
      <c r="H686" s="40"/>
    </row>
    <row r="687" spans="4:8" ht="12.75">
      <c r="D687" s="40"/>
      <c r="E687" s="40"/>
      <c r="F687" s="40"/>
      <c r="H687" s="40"/>
    </row>
    <row r="688" spans="4:8" ht="12.75">
      <c r="D688" s="40"/>
      <c r="E688" s="40"/>
      <c r="F688" s="40"/>
      <c r="H688" s="40"/>
    </row>
    <row r="689" spans="4:8" ht="12.75">
      <c r="D689" s="40"/>
      <c r="E689" s="40"/>
      <c r="F689" s="40"/>
      <c r="H689" s="40"/>
    </row>
    <row r="690" spans="4:8" ht="12.75">
      <c r="D690" s="40"/>
      <c r="E690" s="40"/>
      <c r="F690" s="40"/>
      <c r="H690" s="40"/>
    </row>
    <row r="691" spans="4:8" ht="12.75">
      <c r="D691" s="40"/>
      <c r="E691" s="40"/>
      <c r="F691" s="40"/>
      <c r="H691" s="40"/>
    </row>
    <row r="692" spans="4:8" ht="12.75">
      <c r="D692" s="40"/>
      <c r="E692" s="40"/>
      <c r="F692" s="40"/>
      <c r="H692" s="40"/>
    </row>
    <row r="693" spans="4:8" ht="12.75">
      <c r="D693" s="40"/>
      <c r="E693" s="40"/>
      <c r="F693" s="40"/>
      <c r="H693" s="40"/>
    </row>
    <row r="694" spans="4:8" ht="12.75">
      <c r="D694" s="40"/>
      <c r="E694" s="40"/>
      <c r="F694" s="40"/>
      <c r="H694" s="40"/>
    </row>
    <row r="695" spans="4:8" ht="12.75">
      <c r="D695" s="40"/>
      <c r="E695" s="40"/>
      <c r="F695" s="40"/>
      <c r="H695" s="40"/>
    </row>
    <row r="696" spans="4:8" ht="12.75">
      <c r="D696" s="40"/>
      <c r="E696" s="40"/>
      <c r="F696" s="40"/>
      <c r="H696" s="40"/>
    </row>
    <row r="697" spans="4:8" ht="12.75">
      <c r="D697" s="40"/>
      <c r="E697" s="40"/>
      <c r="F697" s="40"/>
      <c r="H697" s="40"/>
    </row>
    <row r="698" spans="4:8" ht="12.75">
      <c r="D698" s="40"/>
      <c r="E698" s="40"/>
      <c r="F698" s="40"/>
      <c r="H698" s="40"/>
    </row>
    <row r="699" spans="4:8" ht="12.75">
      <c r="D699" s="40"/>
      <c r="E699" s="40"/>
      <c r="F699" s="40"/>
      <c r="H699" s="40"/>
    </row>
    <row r="700" spans="4:8" ht="12.75">
      <c r="D700" s="40"/>
      <c r="E700" s="40"/>
      <c r="F700" s="40"/>
      <c r="H700" s="40"/>
    </row>
    <row r="701" spans="4:8" ht="12.75">
      <c r="D701" s="40"/>
      <c r="E701" s="40"/>
      <c r="F701" s="40"/>
      <c r="H701" s="40"/>
    </row>
    <row r="702" spans="4:8" ht="12.75">
      <c r="D702" s="40"/>
      <c r="E702" s="40"/>
      <c r="F702" s="40"/>
      <c r="H702" s="40"/>
    </row>
    <row r="703" spans="4:8" ht="12.75">
      <c r="D703" s="40"/>
      <c r="E703" s="40"/>
      <c r="F703" s="40"/>
      <c r="H703" s="40"/>
    </row>
    <row r="704" spans="4:8" ht="12.75">
      <c r="D704" s="40"/>
      <c r="E704" s="40"/>
      <c r="F704" s="40"/>
      <c r="H704" s="40"/>
    </row>
    <row r="705" spans="4:8" ht="12.75">
      <c r="D705" s="40"/>
      <c r="E705" s="40"/>
      <c r="F705" s="40"/>
      <c r="H705" s="40"/>
    </row>
    <row r="706" spans="4:8" ht="12.75">
      <c r="D706" s="40"/>
      <c r="E706" s="40"/>
      <c r="F706" s="40"/>
      <c r="H706" s="40"/>
    </row>
    <row r="707" spans="4:8" ht="12.75">
      <c r="D707" s="40"/>
      <c r="E707" s="40"/>
      <c r="F707" s="40"/>
      <c r="H707" s="40"/>
    </row>
    <row r="708" spans="4:8" ht="12.75">
      <c r="D708" s="40"/>
      <c r="E708" s="40"/>
      <c r="F708" s="40"/>
      <c r="H708" s="40"/>
    </row>
    <row r="709" spans="4:8" ht="12.75">
      <c r="D709" s="40"/>
      <c r="E709" s="40"/>
      <c r="F709" s="40"/>
      <c r="H709" s="40"/>
    </row>
    <row r="710" spans="4:8" ht="12.75">
      <c r="D710" s="40"/>
      <c r="E710" s="40"/>
      <c r="F710" s="40"/>
      <c r="H710" s="40"/>
    </row>
    <row r="711" spans="4:8" ht="12.75">
      <c r="D711" s="40"/>
      <c r="E711" s="40"/>
      <c r="F711" s="40"/>
      <c r="H711" s="40"/>
    </row>
    <row r="712" spans="4:8" ht="12.75">
      <c r="D712" s="40"/>
      <c r="E712" s="40"/>
      <c r="F712" s="40"/>
      <c r="H712" s="40"/>
    </row>
    <row r="713" spans="4:8" ht="12.75">
      <c r="D713" s="40"/>
      <c r="E713" s="40"/>
      <c r="F713" s="40"/>
      <c r="H713" s="40"/>
    </row>
    <row r="714" spans="4:8" ht="12.75">
      <c r="D714" s="40"/>
      <c r="E714" s="40"/>
      <c r="F714" s="40"/>
      <c r="H714" s="40"/>
    </row>
    <row r="715" spans="4:8" ht="12.75">
      <c r="D715" s="40"/>
      <c r="E715" s="40"/>
      <c r="F715" s="40"/>
      <c r="H715" s="40"/>
    </row>
    <row r="716" spans="4:8" ht="12.75">
      <c r="D716" s="40"/>
      <c r="E716" s="40"/>
      <c r="F716" s="40"/>
      <c r="H716" s="40"/>
    </row>
    <row r="717" spans="4:8" ht="12.75">
      <c r="D717" s="40"/>
      <c r="E717" s="40"/>
      <c r="F717" s="40"/>
      <c r="H717" s="40"/>
    </row>
    <row r="718" spans="4:8" ht="12.75">
      <c r="D718" s="40"/>
      <c r="E718" s="40"/>
      <c r="F718" s="40"/>
      <c r="H718" s="40"/>
    </row>
    <row r="719" spans="4:8" ht="12.75">
      <c r="D719" s="40"/>
      <c r="E719" s="40"/>
      <c r="F719" s="40"/>
      <c r="H719" s="40"/>
    </row>
    <row r="720" spans="4:8" ht="12.75">
      <c r="D720" s="40"/>
      <c r="E720" s="40"/>
      <c r="F720" s="40"/>
      <c r="H720" s="40"/>
    </row>
    <row r="721" spans="4:8" ht="12.75">
      <c r="D721" s="40"/>
      <c r="E721" s="40"/>
      <c r="F721" s="40"/>
      <c r="H721" s="40"/>
    </row>
    <row r="722" spans="4:8" ht="12.75">
      <c r="D722" s="40"/>
      <c r="E722" s="40"/>
      <c r="F722" s="40"/>
      <c r="H722" s="40"/>
    </row>
    <row r="723" spans="4:8" ht="12.75">
      <c r="D723" s="40"/>
      <c r="E723" s="40"/>
      <c r="F723" s="40"/>
      <c r="H723" s="40"/>
    </row>
    <row r="724" spans="4:8" ht="12.75">
      <c r="D724" s="40"/>
      <c r="E724" s="40"/>
      <c r="F724" s="40"/>
      <c r="H724" s="40"/>
    </row>
    <row r="725" spans="4:8" ht="12.75">
      <c r="D725" s="40"/>
      <c r="E725" s="40"/>
      <c r="F725" s="40"/>
      <c r="H725" s="40"/>
    </row>
    <row r="726" spans="4:8" ht="12.75">
      <c r="D726" s="40"/>
      <c r="E726" s="40"/>
      <c r="F726" s="40"/>
      <c r="H726" s="40"/>
    </row>
    <row r="727" spans="4:8" ht="12.75">
      <c r="D727" s="40"/>
      <c r="E727" s="40"/>
      <c r="F727" s="40"/>
      <c r="H727" s="40"/>
    </row>
    <row r="728" spans="4:8" ht="12.75">
      <c r="D728" s="40"/>
      <c r="E728" s="40"/>
      <c r="F728" s="40"/>
      <c r="H728" s="40"/>
    </row>
    <row r="729" spans="4:8" ht="12.75">
      <c r="D729" s="40"/>
      <c r="E729" s="40"/>
      <c r="F729" s="40"/>
      <c r="H729" s="40"/>
    </row>
    <row r="730" spans="4:8" ht="12.75">
      <c r="D730" s="40"/>
      <c r="E730" s="40"/>
      <c r="F730" s="40"/>
      <c r="H730" s="40"/>
    </row>
    <row r="731" spans="4:8" ht="12.75">
      <c r="D731" s="40"/>
      <c r="E731" s="40"/>
      <c r="F731" s="40"/>
      <c r="H731" s="40"/>
    </row>
    <row r="732" spans="4:8" ht="12.75">
      <c r="D732" s="40"/>
      <c r="E732" s="40"/>
      <c r="F732" s="40"/>
      <c r="H732" s="40"/>
    </row>
    <row r="733" spans="4:8" ht="12.75">
      <c r="D733" s="40"/>
      <c r="E733" s="40"/>
      <c r="F733" s="40"/>
      <c r="H733" s="40"/>
    </row>
    <row r="734" spans="4:8" ht="12.75">
      <c r="D734" s="40"/>
      <c r="E734" s="40"/>
      <c r="F734" s="40"/>
      <c r="H734" s="40"/>
    </row>
    <row r="735" spans="4:8" ht="12.75">
      <c r="D735" s="40"/>
      <c r="E735" s="40"/>
      <c r="F735" s="40"/>
      <c r="H735" s="40"/>
    </row>
    <row r="736" spans="4:8" ht="12.75">
      <c r="D736" s="40"/>
      <c r="E736" s="40"/>
      <c r="F736" s="40"/>
      <c r="H736" s="40"/>
    </row>
    <row r="737" spans="4:8" ht="12.75">
      <c r="D737" s="40"/>
      <c r="E737" s="40"/>
      <c r="F737" s="40"/>
      <c r="H737" s="40"/>
    </row>
    <row r="738" spans="4:8" ht="12.75">
      <c r="D738" s="40"/>
      <c r="E738" s="40"/>
      <c r="F738" s="40"/>
      <c r="H738" s="40"/>
    </row>
    <row r="739" spans="4:8" ht="12.75">
      <c r="D739" s="40"/>
      <c r="E739" s="40"/>
      <c r="F739" s="40"/>
      <c r="H739" s="40"/>
    </row>
    <row r="740" spans="4:8" ht="12.75">
      <c r="D740" s="40"/>
      <c r="E740" s="40"/>
      <c r="F740" s="40"/>
      <c r="H740" s="40"/>
    </row>
    <row r="741" spans="4:8" ht="12.75">
      <c r="D741" s="40"/>
      <c r="E741" s="40"/>
      <c r="F741" s="40"/>
      <c r="H741" s="40"/>
    </row>
    <row r="742" spans="4:8" ht="12.75">
      <c r="D742" s="40"/>
      <c r="E742" s="40"/>
      <c r="F742" s="40"/>
      <c r="H742" s="40"/>
    </row>
    <row r="743" spans="4:8" ht="12.75">
      <c r="D743" s="40"/>
      <c r="E743" s="40"/>
      <c r="F743" s="40"/>
      <c r="H743" s="40"/>
    </row>
    <row r="744" spans="4:8" ht="12.75">
      <c r="D744" s="40"/>
      <c r="E744" s="40"/>
      <c r="F744" s="40"/>
      <c r="H744" s="40"/>
    </row>
    <row r="745" spans="4:8" ht="12.75">
      <c r="D745" s="40"/>
      <c r="E745" s="40"/>
      <c r="F745" s="40"/>
      <c r="H745" s="40"/>
    </row>
    <row r="746" spans="4:8" ht="12.75">
      <c r="D746" s="40"/>
      <c r="E746" s="40"/>
      <c r="F746" s="40"/>
      <c r="H746" s="40"/>
    </row>
    <row r="747" spans="4:8" ht="12.75">
      <c r="D747" s="40"/>
      <c r="E747" s="40"/>
      <c r="F747" s="40"/>
      <c r="H747" s="40"/>
    </row>
    <row r="748" spans="4:8" ht="12.75">
      <c r="D748" s="40"/>
      <c r="E748" s="40"/>
      <c r="F748" s="40"/>
      <c r="H748" s="40"/>
    </row>
    <row r="749" spans="4:8" ht="12.75">
      <c r="D749" s="40"/>
      <c r="E749" s="40"/>
      <c r="F749" s="40"/>
      <c r="H749" s="40"/>
    </row>
    <row r="750" spans="4:8" ht="12.75">
      <c r="D750" s="40"/>
      <c r="E750" s="40"/>
      <c r="F750" s="40"/>
      <c r="H750" s="40"/>
    </row>
    <row r="751" spans="4:8" ht="12.75">
      <c r="D751" s="40"/>
      <c r="E751" s="40"/>
      <c r="F751" s="40"/>
      <c r="H751" s="40"/>
    </row>
    <row r="752" spans="4:8" ht="12.75">
      <c r="D752" s="40"/>
      <c r="E752" s="40"/>
      <c r="F752" s="40"/>
      <c r="H752" s="40"/>
    </row>
    <row r="753" spans="4:8" ht="12.75">
      <c r="D753" s="40"/>
      <c r="E753" s="40"/>
      <c r="F753" s="40"/>
      <c r="H753" s="40"/>
    </row>
    <row r="754" spans="4:8" ht="12.75">
      <c r="D754" s="40"/>
      <c r="E754" s="40"/>
      <c r="F754" s="40"/>
      <c r="H754" s="40"/>
    </row>
    <row r="755" spans="4:8" ht="12.75">
      <c r="D755" s="40"/>
      <c r="E755" s="40"/>
      <c r="F755" s="40"/>
      <c r="H755" s="40"/>
    </row>
    <row r="756" spans="4:8" ht="12.75">
      <c r="D756" s="40"/>
      <c r="E756" s="40"/>
      <c r="F756" s="40"/>
      <c r="H756" s="40"/>
    </row>
    <row r="757" spans="4:8" ht="12.75">
      <c r="D757" s="40"/>
      <c r="E757" s="40"/>
      <c r="F757" s="40"/>
      <c r="H757" s="40"/>
    </row>
    <row r="758" spans="4:8" ht="12.75">
      <c r="D758" s="40"/>
      <c r="E758" s="40"/>
      <c r="F758" s="40"/>
      <c r="H758" s="40"/>
    </row>
    <row r="759" spans="4:8" ht="12.75">
      <c r="D759" s="40"/>
      <c r="E759" s="40"/>
      <c r="F759" s="40"/>
      <c r="H759" s="40"/>
    </row>
    <row r="760" spans="4:8" ht="12.75">
      <c r="D760" s="40"/>
      <c r="E760" s="40"/>
      <c r="F760" s="40"/>
      <c r="H760" s="40"/>
    </row>
    <row r="761" spans="4:8" ht="12.75">
      <c r="D761" s="40"/>
      <c r="E761" s="40"/>
      <c r="F761" s="40"/>
      <c r="H761" s="40"/>
    </row>
    <row r="762" spans="4:8" ht="12.75">
      <c r="D762" s="40"/>
      <c r="E762" s="40"/>
      <c r="F762" s="40"/>
      <c r="H762" s="40"/>
    </row>
    <row r="763" spans="4:8" ht="12.75">
      <c r="D763" s="40"/>
      <c r="E763" s="40"/>
      <c r="F763" s="40"/>
      <c r="H763" s="40"/>
    </row>
    <row r="764" spans="4:8" ht="12.75">
      <c r="D764" s="40"/>
      <c r="E764" s="40"/>
      <c r="F764" s="40"/>
      <c r="H764" s="40"/>
    </row>
    <row r="765" spans="4:8" ht="12.75">
      <c r="D765" s="40"/>
      <c r="E765" s="40"/>
      <c r="F765" s="40"/>
      <c r="H765" s="40"/>
    </row>
    <row r="766" spans="4:8" ht="12.75">
      <c r="D766" s="40"/>
      <c r="E766" s="40"/>
      <c r="F766" s="40"/>
      <c r="H766" s="40"/>
    </row>
    <row r="767" spans="4:8" ht="12.75">
      <c r="D767" s="40"/>
      <c r="E767" s="40"/>
      <c r="F767" s="40"/>
      <c r="H767" s="40"/>
    </row>
    <row r="768" spans="4:8" ht="12.75">
      <c r="D768" s="40"/>
      <c r="E768" s="40"/>
      <c r="F768" s="40"/>
      <c r="H768" s="40"/>
    </row>
    <row r="769" spans="4:8" ht="12.75">
      <c r="D769" s="40"/>
      <c r="E769" s="40"/>
      <c r="F769" s="40"/>
      <c r="H769" s="40"/>
    </row>
    <row r="770" spans="4:8" ht="12.75">
      <c r="D770" s="40"/>
      <c r="E770" s="40"/>
      <c r="F770" s="40"/>
      <c r="H770" s="40"/>
    </row>
    <row r="771" spans="4:8" ht="12.75">
      <c r="D771" s="40"/>
      <c r="E771" s="40"/>
      <c r="F771" s="40"/>
      <c r="H771" s="40"/>
    </row>
    <row r="772" spans="4:8" ht="12.75">
      <c r="D772" s="40"/>
      <c r="E772" s="40"/>
      <c r="F772" s="40"/>
      <c r="H772" s="40"/>
    </row>
    <row r="773" spans="4:8" ht="12.75">
      <c r="D773" s="40"/>
      <c r="E773" s="40"/>
      <c r="F773" s="40"/>
      <c r="H773" s="40"/>
    </row>
    <row r="774" spans="4:8" ht="12.75">
      <c r="D774" s="40"/>
      <c r="E774" s="40"/>
      <c r="F774" s="40"/>
      <c r="H774" s="40"/>
    </row>
    <row r="775" spans="4:8" ht="12.75">
      <c r="D775" s="40"/>
      <c r="E775" s="40"/>
      <c r="F775" s="40"/>
      <c r="H775" s="40"/>
    </row>
    <row r="776" spans="4:8" ht="12.75">
      <c r="D776" s="40"/>
      <c r="E776" s="40"/>
      <c r="F776" s="40"/>
      <c r="H776" s="40"/>
    </row>
    <row r="777" spans="4:8" ht="12.75">
      <c r="D777" s="40"/>
      <c r="E777" s="40"/>
      <c r="F777" s="40"/>
      <c r="H777" s="40"/>
    </row>
    <row r="778" spans="4:8" ht="12.75">
      <c r="D778" s="40"/>
      <c r="E778" s="40"/>
      <c r="F778" s="40"/>
      <c r="H778" s="40"/>
    </row>
    <row r="779" spans="4:8" ht="12.75">
      <c r="D779" s="40"/>
      <c r="E779" s="40"/>
      <c r="F779" s="40"/>
      <c r="H779" s="40"/>
    </row>
    <row r="780" spans="4:8" ht="12.75">
      <c r="D780" s="40"/>
      <c r="E780" s="40"/>
      <c r="F780" s="40"/>
      <c r="H780" s="40"/>
    </row>
    <row r="781" spans="4:8" ht="12.75">
      <c r="D781" s="40"/>
      <c r="E781" s="40"/>
      <c r="F781" s="40"/>
      <c r="H781" s="40"/>
    </row>
    <row r="782" spans="4:8" ht="12.75">
      <c r="D782" s="40"/>
      <c r="E782" s="40"/>
      <c r="F782" s="40"/>
      <c r="H782" s="40"/>
    </row>
    <row r="783" spans="4:8" ht="12.75">
      <c r="D783" s="40"/>
      <c r="E783" s="40"/>
      <c r="F783" s="40"/>
      <c r="H783" s="40"/>
    </row>
    <row r="784" spans="4:8" ht="12.75">
      <c r="D784" s="40"/>
      <c r="E784" s="40"/>
      <c r="F784" s="40"/>
      <c r="H784" s="40"/>
    </row>
    <row r="785" spans="4:8" ht="12.75">
      <c r="D785" s="40"/>
      <c r="E785" s="40"/>
      <c r="F785" s="40"/>
      <c r="H785" s="40"/>
    </row>
    <row r="786" spans="4:8" ht="12.75">
      <c r="D786" s="40"/>
      <c r="E786" s="40"/>
      <c r="F786" s="40"/>
      <c r="H786" s="40"/>
    </row>
    <row r="787" spans="4:8" ht="12.75">
      <c r="D787" s="40"/>
      <c r="E787" s="40"/>
      <c r="F787" s="40"/>
      <c r="H787" s="40"/>
    </row>
    <row r="788" spans="4:8" ht="12.75">
      <c r="D788" s="40"/>
      <c r="E788" s="40"/>
      <c r="F788" s="40"/>
      <c r="H788" s="40"/>
    </row>
    <row r="789" spans="4:8" ht="12.75">
      <c r="D789" s="40"/>
      <c r="E789" s="40"/>
      <c r="F789" s="40"/>
      <c r="H789" s="40"/>
    </row>
    <row r="790" spans="4:8" ht="12.75">
      <c r="D790" s="40"/>
      <c r="E790" s="40"/>
      <c r="F790" s="40"/>
      <c r="H790" s="40"/>
    </row>
    <row r="791" spans="4:8" ht="12.75">
      <c r="D791" s="40"/>
      <c r="E791" s="40"/>
      <c r="F791" s="40"/>
      <c r="H791" s="40"/>
    </row>
    <row r="792" spans="4:8" ht="12.75">
      <c r="D792" s="40"/>
      <c r="E792" s="40"/>
      <c r="F792" s="40"/>
      <c r="H792" s="40"/>
    </row>
    <row r="793" spans="4:8" ht="12.75">
      <c r="D793" s="40"/>
      <c r="E793" s="40"/>
      <c r="F793" s="40"/>
      <c r="H793" s="40"/>
    </row>
    <row r="794" spans="4:8" ht="12.75">
      <c r="D794" s="40"/>
      <c r="E794" s="40"/>
      <c r="F794" s="40"/>
      <c r="H794" s="40"/>
    </row>
    <row r="795" spans="4:8" ht="12.75">
      <c r="D795" s="40"/>
      <c r="E795" s="40"/>
      <c r="F795" s="40"/>
      <c r="H795" s="40"/>
    </row>
    <row r="796" spans="4:8" ht="12.75">
      <c r="D796" s="40"/>
      <c r="E796" s="40"/>
      <c r="F796" s="40"/>
      <c r="H796" s="40"/>
    </row>
    <row r="797" spans="4:8" ht="12.75">
      <c r="D797" s="40"/>
      <c r="E797" s="40"/>
      <c r="F797" s="40"/>
      <c r="H797" s="40"/>
    </row>
    <row r="798" spans="4:8" ht="12.75">
      <c r="D798" s="40"/>
      <c r="E798" s="40"/>
      <c r="F798" s="40"/>
      <c r="H798" s="40"/>
    </row>
    <row r="799" spans="4:8" ht="12.75">
      <c r="D799" s="40"/>
      <c r="E799" s="40"/>
      <c r="F799" s="40"/>
      <c r="H799" s="40"/>
    </row>
    <row r="800" spans="4:8" ht="12.75">
      <c r="D800" s="40"/>
      <c r="E800" s="40"/>
      <c r="F800" s="40"/>
      <c r="H800" s="40"/>
    </row>
    <row r="801" spans="4:8" ht="12.75">
      <c r="D801" s="40"/>
      <c r="E801" s="40"/>
      <c r="F801" s="40"/>
      <c r="H801" s="40"/>
    </row>
    <row r="802" spans="4:8" ht="12.75">
      <c r="D802" s="40"/>
      <c r="E802" s="40"/>
      <c r="F802" s="40"/>
      <c r="H802" s="40"/>
    </row>
    <row r="803" spans="4:8" ht="12.75">
      <c r="D803" s="40"/>
      <c r="E803" s="40"/>
      <c r="F803" s="40"/>
      <c r="H803" s="40"/>
    </row>
    <row r="804" spans="4:8" ht="12.75">
      <c r="D804" s="40"/>
      <c r="E804" s="40"/>
      <c r="F804" s="40"/>
      <c r="H804" s="40"/>
    </row>
    <row r="805" spans="4:8" ht="12.75">
      <c r="D805" s="40"/>
      <c r="E805" s="40"/>
      <c r="F805" s="40"/>
      <c r="H805" s="40"/>
    </row>
    <row r="806" spans="4:8" ht="12.75">
      <c r="D806" s="40"/>
      <c r="E806" s="40"/>
      <c r="F806" s="40"/>
      <c r="H806" s="40"/>
    </row>
    <row r="807" spans="4:8" ht="12.75">
      <c r="D807" s="40"/>
      <c r="E807" s="40"/>
      <c r="F807" s="40"/>
      <c r="H807" s="40"/>
    </row>
    <row r="808" spans="4:8" ht="12.75">
      <c r="D808" s="40"/>
      <c r="E808" s="40"/>
      <c r="F808" s="40"/>
      <c r="H808" s="40"/>
    </row>
    <row r="809" spans="4:8" ht="12.75">
      <c r="D809" s="40"/>
      <c r="E809" s="40"/>
      <c r="F809" s="40"/>
      <c r="H809" s="40"/>
    </row>
    <row r="810" spans="4:8" ht="12.75">
      <c r="D810" s="40"/>
      <c r="E810" s="40"/>
      <c r="F810" s="40"/>
      <c r="H810" s="40"/>
    </row>
    <row r="811" spans="4:8" ht="12.75">
      <c r="D811" s="40"/>
      <c r="E811" s="40"/>
      <c r="F811" s="40"/>
      <c r="H811" s="40"/>
    </row>
    <row r="812" spans="4:8" ht="12.75">
      <c r="D812" s="40"/>
      <c r="E812" s="40"/>
      <c r="F812" s="40"/>
      <c r="H812" s="40"/>
    </row>
    <row r="813" spans="4:8" ht="12.75">
      <c r="D813" s="40"/>
      <c r="E813" s="40"/>
      <c r="F813" s="40"/>
      <c r="H813" s="40"/>
    </row>
    <row r="814" spans="4:8" ht="12.75">
      <c r="D814" s="40"/>
      <c r="E814" s="40"/>
      <c r="F814" s="40"/>
      <c r="H814" s="40"/>
    </row>
    <row r="815" spans="4:8" ht="12.75">
      <c r="D815" s="40"/>
      <c r="E815" s="40"/>
      <c r="F815" s="40"/>
      <c r="H815" s="40"/>
    </row>
    <row r="816" spans="4:8" ht="12.75">
      <c r="D816" s="40"/>
      <c r="E816" s="40"/>
      <c r="F816" s="40"/>
      <c r="H816" s="40"/>
    </row>
    <row r="817" spans="4:8" ht="12.75">
      <c r="D817" s="40"/>
      <c r="E817" s="40"/>
      <c r="F817" s="40"/>
      <c r="H817" s="40"/>
    </row>
    <row r="818" spans="4:8" ht="12.75">
      <c r="D818" s="40"/>
      <c r="E818" s="40"/>
      <c r="F818" s="40"/>
      <c r="H818" s="40"/>
    </row>
    <row r="819" spans="4:8" ht="12.75">
      <c r="D819" s="40"/>
      <c r="E819" s="40"/>
      <c r="F819" s="40"/>
      <c r="H819" s="40"/>
    </row>
    <row r="820" spans="4:8" ht="12.75">
      <c r="D820" s="40"/>
      <c r="E820" s="40"/>
      <c r="F820" s="40"/>
      <c r="H820" s="40"/>
    </row>
    <row r="821" spans="4:8" ht="12.75">
      <c r="D821" s="40"/>
      <c r="E821" s="40"/>
      <c r="F821" s="40"/>
      <c r="H821" s="40"/>
    </row>
    <row r="822" spans="4:8" ht="12.75">
      <c r="D822" s="40"/>
      <c r="E822" s="40"/>
      <c r="F822" s="40"/>
      <c r="H822" s="40"/>
    </row>
    <row r="823" spans="4:8" ht="12.75">
      <c r="D823" s="40"/>
      <c r="E823" s="40"/>
      <c r="F823" s="40"/>
      <c r="H823" s="40"/>
    </row>
    <row r="824" spans="4:8" ht="12.75">
      <c r="D824" s="40"/>
      <c r="E824" s="40"/>
      <c r="F824" s="40"/>
      <c r="H824" s="40"/>
    </row>
    <row r="825" spans="4:8" ht="12.75">
      <c r="D825" s="40"/>
      <c r="E825" s="40"/>
      <c r="F825" s="40"/>
      <c r="H825" s="40"/>
    </row>
    <row r="826" spans="4:8" ht="12.75">
      <c r="D826" s="40"/>
      <c r="E826" s="40"/>
      <c r="F826" s="40"/>
      <c r="H826" s="40"/>
    </row>
    <row r="827" spans="4:8" ht="12.75">
      <c r="D827" s="40"/>
      <c r="E827" s="40"/>
      <c r="F827" s="40"/>
      <c r="H827" s="40"/>
    </row>
    <row r="828" spans="4:8" ht="12.75">
      <c r="D828" s="40"/>
      <c r="E828" s="40"/>
      <c r="F828" s="40"/>
      <c r="H828" s="40"/>
    </row>
    <row r="829" spans="4:8" ht="12.75">
      <c r="D829" s="40"/>
      <c r="E829" s="40"/>
      <c r="F829" s="40"/>
      <c r="H829" s="40"/>
    </row>
    <row r="830" spans="4:8" ht="12.75">
      <c r="D830" s="40"/>
      <c r="E830" s="40"/>
      <c r="F830" s="40"/>
      <c r="H830" s="40"/>
    </row>
    <row r="831" spans="4:8" ht="12.75">
      <c r="D831" s="40"/>
      <c r="E831" s="40"/>
      <c r="F831" s="40"/>
      <c r="H831" s="40"/>
    </row>
    <row r="832" spans="4:8" ht="12.75">
      <c r="D832" s="40"/>
      <c r="E832" s="40"/>
      <c r="F832" s="40"/>
      <c r="H832" s="40"/>
    </row>
    <row r="833" spans="4:8" ht="12.75">
      <c r="D833" s="40"/>
      <c r="E833" s="40"/>
      <c r="F833" s="40"/>
      <c r="H833" s="40"/>
    </row>
    <row r="834" spans="4:8" ht="12.75">
      <c r="D834" s="40"/>
      <c r="E834" s="40"/>
      <c r="F834" s="40"/>
      <c r="H834" s="40"/>
    </row>
    <row r="835" spans="4:8" ht="12.75">
      <c r="D835" s="40"/>
      <c r="E835" s="40"/>
      <c r="F835" s="40"/>
      <c r="H835" s="40"/>
    </row>
    <row r="836" spans="4:8" ht="12.75">
      <c r="D836" s="40"/>
      <c r="E836" s="40"/>
      <c r="F836" s="40"/>
      <c r="H836" s="40"/>
    </row>
    <row r="837" spans="4:8" ht="12.75">
      <c r="D837" s="40"/>
      <c r="E837" s="40"/>
      <c r="F837" s="40"/>
      <c r="H837" s="40"/>
    </row>
    <row r="838" spans="4:8" ht="12.75">
      <c r="D838" s="40"/>
      <c r="E838" s="40"/>
      <c r="F838" s="40"/>
      <c r="H838" s="40"/>
    </row>
    <row r="839" spans="4:8" ht="12.75">
      <c r="D839" s="40"/>
      <c r="E839" s="40"/>
      <c r="F839" s="40"/>
      <c r="H839" s="40"/>
    </row>
    <row r="840" spans="4:8" ht="12.75">
      <c r="D840" s="40"/>
      <c r="E840" s="40"/>
      <c r="F840" s="40"/>
      <c r="H840" s="40"/>
    </row>
    <row r="841" spans="4:8" ht="12.75">
      <c r="D841" s="40"/>
      <c r="E841" s="40"/>
      <c r="F841" s="40"/>
      <c r="H841" s="40"/>
    </row>
    <row r="842" spans="4:8" ht="12.75">
      <c r="D842" s="40"/>
      <c r="E842" s="40"/>
      <c r="F842" s="40"/>
      <c r="H842" s="40"/>
    </row>
    <row r="843" spans="4:8" ht="12.75">
      <c r="D843" s="40"/>
      <c r="E843" s="40"/>
      <c r="F843" s="40"/>
      <c r="H843" s="40"/>
    </row>
    <row r="844" spans="4:8" ht="12.75">
      <c r="D844" s="40"/>
      <c r="E844" s="40"/>
      <c r="F844" s="40"/>
      <c r="H844" s="40"/>
    </row>
    <row r="845" spans="4:8" ht="12.75">
      <c r="D845" s="40"/>
      <c r="E845" s="40"/>
      <c r="F845" s="40"/>
      <c r="H845" s="40"/>
    </row>
    <row r="846" spans="4:8" ht="12.75">
      <c r="D846" s="40"/>
      <c r="E846" s="40"/>
      <c r="F846" s="40"/>
      <c r="H846" s="40"/>
    </row>
    <row r="847" spans="4:8" ht="12.75">
      <c r="D847" s="40"/>
      <c r="E847" s="40"/>
      <c r="F847" s="40"/>
      <c r="H847" s="40"/>
    </row>
    <row r="848" spans="4:8" ht="12.75">
      <c r="D848" s="40"/>
      <c r="E848" s="40"/>
      <c r="F848" s="40"/>
      <c r="H848" s="40"/>
    </row>
    <row r="849" spans="4:8" ht="12.75">
      <c r="D849" s="40"/>
      <c r="E849" s="40"/>
      <c r="F849" s="40"/>
      <c r="H849" s="40"/>
    </row>
    <row r="850" spans="4:8" ht="12.75">
      <c r="D850" s="40"/>
      <c r="E850" s="40"/>
      <c r="F850" s="40"/>
      <c r="H850" s="40"/>
    </row>
    <row r="851" spans="4:8" ht="12.75">
      <c r="D851" s="40"/>
      <c r="E851" s="40"/>
      <c r="F851" s="40"/>
      <c r="H851" s="40"/>
    </row>
    <row r="852" spans="4:8" ht="12.75">
      <c r="D852" s="40"/>
      <c r="E852" s="40"/>
      <c r="F852" s="40"/>
      <c r="H852" s="40"/>
    </row>
    <row r="853" spans="4:8" ht="12.75">
      <c r="D853" s="40"/>
      <c r="E853" s="40"/>
      <c r="F853" s="40"/>
      <c r="H853" s="40"/>
    </row>
    <row r="854" spans="4:8" ht="12.75">
      <c r="D854" s="40"/>
      <c r="E854" s="40"/>
      <c r="F854" s="40"/>
      <c r="H854" s="40"/>
    </row>
    <row r="855" spans="4:8" ht="12.75">
      <c r="D855" s="40"/>
      <c r="E855" s="40"/>
      <c r="F855" s="40"/>
      <c r="H855" s="40"/>
    </row>
    <row r="856" spans="4:8" ht="12.75">
      <c r="D856" s="40"/>
      <c r="E856" s="40"/>
      <c r="F856" s="40"/>
      <c r="H856" s="40"/>
    </row>
    <row r="857" spans="4:8" ht="12.75">
      <c r="D857" s="40"/>
      <c r="E857" s="40"/>
      <c r="F857" s="40"/>
      <c r="H857" s="40"/>
    </row>
    <row r="858" spans="4:8" ht="12.75">
      <c r="D858" s="40"/>
      <c r="E858" s="40"/>
      <c r="F858" s="40"/>
      <c r="H858" s="40"/>
    </row>
    <row r="859" spans="4:8" ht="12.75">
      <c r="D859" s="40"/>
      <c r="E859" s="40"/>
      <c r="F859" s="40"/>
      <c r="H859" s="40"/>
    </row>
    <row r="860" spans="4:8" ht="12.75">
      <c r="D860" s="40"/>
      <c r="E860" s="40"/>
      <c r="F860" s="40"/>
      <c r="H860" s="40"/>
    </row>
    <row r="861" spans="4:8" ht="12.75">
      <c r="D861" s="40"/>
      <c r="E861" s="40"/>
      <c r="F861" s="40"/>
      <c r="H861" s="40"/>
    </row>
    <row r="862" spans="4:8" ht="12.75">
      <c r="D862" s="40"/>
      <c r="E862" s="40"/>
      <c r="F862" s="40"/>
      <c r="H862" s="40"/>
    </row>
    <row r="863" spans="4:8" ht="12.75">
      <c r="D863" s="40"/>
      <c r="E863" s="40"/>
      <c r="F863" s="40"/>
      <c r="H863" s="40"/>
    </row>
    <row r="864" spans="4:8" ht="12.75">
      <c r="D864" s="40"/>
      <c r="E864" s="40"/>
      <c r="F864" s="40"/>
      <c r="H864" s="40"/>
    </row>
    <row r="865" spans="4:8" ht="12.75">
      <c r="D865" s="40"/>
      <c r="E865" s="40"/>
      <c r="F865" s="40"/>
      <c r="H865" s="40"/>
    </row>
    <row r="866" spans="4:8" ht="12.75">
      <c r="D866" s="40"/>
      <c r="E866" s="40"/>
      <c r="F866" s="40"/>
      <c r="H866" s="40"/>
    </row>
    <row r="867" spans="4:8" ht="12.75">
      <c r="D867" s="40"/>
      <c r="E867" s="40"/>
      <c r="F867" s="40"/>
      <c r="H867" s="40"/>
    </row>
    <row r="868" spans="4:8" ht="12.75">
      <c r="D868" s="40"/>
      <c r="E868" s="40"/>
      <c r="F868" s="40"/>
      <c r="H868" s="40"/>
    </row>
    <row r="869" spans="4:8" ht="12.75">
      <c r="D869" s="40"/>
      <c r="E869" s="40"/>
      <c r="F869" s="40"/>
      <c r="H869" s="40"/>
    </row>
    <row r="870" spans="4:8" ht="12.75">
      <c r="D870" s="40"/>
      <c r="E870" s="40"/>
      <c r="F870" s="40"/>
      <c r="H870" s="40"/>
    </row>
    <row r="871" spans="4:8" ht="12.75">
      <c r="D871" s="40"/>
      <c r="E871" s="40"/>
      <c r="F871" s="40"/>
      <c r="H871" s="40"/>
    </row>
    <row r="872" spans="4:8" ht="12.75">
      <c r="D872" s="40"/>
      <c r="E872" s="40"/>
      <c r="F872" s="40"/>
      <c r="H872" s="40"/>
    </row>
    <row r="873" spans="4:8" ht="12.75">
      <c r="D873" s="40"/>
      <c r="E873" s="40"/>
      <c r="F873" s="40"/>
      <c r="H873" s="40"/>
    </row>
    <row r="874" spans="4:8" ht="12.75">
      <c r="D874" s="40"/>
      <c r="E874" s="40"/>
      <c r="F874" s="40"/>
      <c r="H874" s="40"/>
    </row>
    <row r="875" spans="4:8" ht="12.75">
      <c r="D875" s="40"/>
      <c r="E875" s="40"/>
      <c r="F875" s="40"/>
      <c r="H875" s="40"/>
    </row>
    <row r="876" spans="4:8" ht="12.75">
      <c r="D876" s="40"/>
      <c r="E876" s="40"/>
      <c r="F876" s="40"/>
      <c r="H876" s="40"/>
    </row>
    <row r="877" spans="4:8" ht="12.75">
      <c r="D877" s="40"/>
      <c r="E877" s="40"/>
      <c r="F877" s="40"/>
      <c r="H877" s="40"/>
    </row>
    <row r="878" spans="4:8" ht="12.75">
      <c r="D878" s="40"/>
      <c r="E878" s="40"/>
      <c r="F878" s="40"/>
      <c r="H878" s="40"/>
    </row>
    <row r="879" spans="4:8" ht="12.75">
      <c r="D879" s="40"/>
      <c r="E879" s="40"/>
      <c r="F879" s="40"/>
      <c r="H879" s="40"/>
    </row>
    <row r="880" spans="4:8" ht="12.75">
      <c r="D880" s="40"/>
      <c r="E880" s="40"/>
      <c r="F880" s="40"/>
      <c r="H880" s="40"/>
    </row>
    <row r="881" spans="4:8" ht="12.75">
      <c r="D881" s="40"/>
      <c r="E881" s="40"/>
      <c r="F881" s="40"/>
      <c r="H881" s="40"/>
    </row>
    <row r="882" spans="4:8" ht="12.75">
      <c r="D882" s="40"/>
      <c r="E882" s="40"/>
      <c r="F882" s="40"/>
      <c r="H882" s="40"/>
    </row>
    <row r="883" spans="4:8" ht="12.75">
      <c r="D883" s="40"/>
      <c r="E883" s="40"/>
      <c r="F883" s="40"/>
      <c r="H883" s="40"/>
    </row>
    <row r="884" spans="4:8" ht="12.75">
      <c r="D884" s="40"/>
      <c r="E884" s="40"/>
      <c r="F884" s="40"/>
      <c r="H884" s="40"/>
    </row>
    <row r="885" spans="4:8" ht="12.75">
      <c r="D885" s="40"/>
      <c r="E885" s="40"/>
      <c r="F885" s="40"/>
      <c r="H885" s="40"/>
    </row>
    <row r="886" spans="4:8" ht="12.75">
      <c r="D886" s="40"/>
      <c r="E886" s="40"/>
      <c r="F886" s="40"/>
      <c r="H886" s="40"/>
    </row>
    <row r="887" spans="4:8" ht="12.75">
      <c r="D887" s="40"/>
      <c r="E887" s="40"/>
      <c r="F887" s="40"/>
      <c r="H887" s="40"/>
    </row>
    <row r="888" spans="4:8" ht="12.75">
      <c r="D888" s="40"/>
      <c r="E888" s="40"/>
      <c r="F888" s="40"/>
      <c r="H888" s="40"/>
    </row>
    <row r="889" spans="4:8" ht="12.75">
      <c r="D889" s="40"/>
      <c r="E889" s="40"/>
      <c r="F889" s="40"/>
      <c r="H889" s="40"/>
    </row>
    <row r="890" spans="4:8" ht="12.75">
      <c r="D890" s="40"/>
      <c r="E890" s="40"/>
      <c r="F890" s="40"/>
      <c r="H890" s="40"/>
    </row>
    <row r="891" spans="4:8" ht="12.75">
      <c r="D891" s="40"/>
      <c r="E891" s="40"/>
      <c r="F891" s="40"/>
      <c r="H891" s="40"/>
    </row>
    <row r="892" spans="4:8" ht="12.75">
      <c r="D892" s="40"/>
      <c r="E892" s="40"/>
      <c r="F892" s="40"/>
      <c r="H892" s="40"/>
    </row>
    <row r="893" spans="4:8" ht="12.75">
      <c r="D893" s="40"/>
      <c r="E893" s="40"/>
      <c r="F893" s="40"/>
      <c r="H893" s="40"/>
    </row>
    <row r="894" spans="4:8" ht="12.75">
      <c r="D894" s="40"/>
      <c r="E894" s="40"/>
      <c r="F894" s="40"/>
      <c r="H894" s="40"/>
    </row>
    <row r="895" spans="4:8" ht="12.75">
      <c r="D895" s="40"/>
      <c r="E895" s="40"/>
      <c r="F895" s="40"/>
      <c r="H895" s="40"/>
    </row>
    <row r="896" spans="4:8" ht="12.75">
      <c r="D896" s="40"/>
      <c r="E896" s="40"/>
      <c r="F896" s="40"/>
      <c r="H896" s="40"/>
    </row>
    <row r="897" spans="4:8" ht="12.75">
      <c r="D897" s="40"/>
      <c r="E897" s="40"/>
      <c r="F897" s="40"/>
      <c r="H897" s="40"/>
    </row>
    <row r="898" spans="4:8" ht="12.75">
      <c r="D898" s="40"/>
      <c r="E898" s="40"/>
      <c r="F898" s="40"/>
      <c r="H898" s="40"/>
    </row>
    <row r="899" spans="4:8" ht="12.75">
      <c r="D899" s="40"/>
      <c r="E899" s="40"/>
      <c r="F899" s="40"/>
      <c r="H899" s="40"/>
    </row>
    <row r="900" spans="4:8" ht="12.75">
      <c r="D900" s="40"/>
      <c r="E900" s="40"/>
      <c r="F900" s="40"/>
      <c r="H900" s="40"/>
    </row>
    <row r="901" spans="4:8" ht="12.75">
      <c r="D901" s="40"/>
      <c r="E901" s="40"/>
      <c r="F901" s="40"/>
      <c r="H901" s="40"/>
    </row>
    <row r="902" spans="4:8" ht="12.75">
      <c r="D902" s="40"/>
      <c r="E902" s="40"/>
      <c r="F902" s="40"/>
      <c r="H902" s="40"/>
    </row>
    <row r="903" spans="4:8" ht="12.75">
      <c r="D903" s="40"/>
      <c r="E903" s="40"/>
      <c r="F903" s="40"/>
      <c r="H903" s="40"/>
    </row>
    <row r="904" spans="4:8" ht="12.75">
      <c r="D904" s="40"/>
      <c r="E904" s="40"/>
      <c r="F904" s="40"/>
      <c r="H904" s="40"/>
    </row>
    <row r="905" spans="4:8" ht="12.75">
      <c r="D905" s="40"/>
      <c r="E905" s="40"/>
      <c r="F905" s="40"/>
      <c r="H905" s="40"/>
    </row>
    <row r="906" spans="4:8" ht="12.75">
      <c r="D906" s="40"/>
      <c r="E906" s="40"/>
      <c r="F906" s="40"/>
      <c r="H906" s="40"/>
    </row>
    <row r="907" spans="4:8" ht="12.75">
      <c r="D907" s="40"/>
      <c r="E907" s="40"/>
      <c r="F907" s="40"/>
      <c r="H907" s="40"/>
    </row>
    <row r="908" spans="4:8" ht="12.75">
      <c r="D908" s="40"/>
      <c r="E908" s="40"/>
      <c r="F908" s="40"/>
      <c r="H908" s="40"/>
    </row>
    <row r="909" spans="4:8" ht="12.75">
      <c r="D909" s="40"/>
      <c r="E909" s="40"/>
      <c r="F909" s="40"/>
      <c r="H909" s="40"/>
    </row>
    <row r="910" spans="4:8" ht="12.75">
      <c r="D910" s="40"/>
      <c r="E910" s="40"/>
      <c r="F910" s="40"/>
      <c r="H910" s="40"/>
    </row>
    <row r="911" spans="4:8" ht="12.75">
      <c r="D911" s="40"/>
      <c r="E911" s="40"/>
      <c r="F911" s="40"/>
      <c r="H911" s="40"/>
    </row>
    <row r="912" spans="4:8" ht="12.75">
      <c r="D912" s="40"/>
      <c r="E912" s="40"/>
      <c r="F912" s="40"/>
      <c r="H912" s="40"/>
    </row>
    <row r="913" spans="4:8" ht="12.75">
      <c r="D913" s="40"/>
      <c r="E913" s="40"/>
      <c r="F913" s="40"/>
      <c r="H913" s="40"/>
    </row>
    <row r="914" spans="4:8" ht="12.75">
      <c r="D914" s="40"/>
      <c r="E914" s="40"/>
      <c r="F914" s="40"/>
      <c r="H914" s="40"/>
    </row>
    <row r="915" spans="4:8" ht="12.75">
      <c r="D915" s="40"/>
      <c r="E915" s="40"/>
      <c r="F915" s="40"/>
      <c r="H915" s="40"/>
    </row>
    <row r="916" spans="4:8" ht="12.75">
      <c r="D916" s="40"/>
      <c r="E916" s="40"/>
      <c r="F916" s="40"/>
      <c r="H916" s="40"/>
    </row>
    <row r="917" spans="4:8" ht="12.75">
      <c r="D917" s="40"/>
      <c r="E917" s="40"/>
      <c r="F917" s="40"/>
      <c r="H917" s="40"/>
    </row>
    <row r="918" spans="4:8" ht="12.75">
      <c r="D918" s="40"/>
      <c r="E918" s="40"/>
      <c r="F918" s="40"/>
      <c r="H918" s="40"/>
    </row>
    <row r="919" spans="4:8" ht="12.75">
      <c r="D919" s="40"/>
      <c r="E919" s="40"/>
      <c r="F919" s="40"/>
      <c r="H919" s="40"/>
    </row>
    <row r="920" spans="4:8" ht="12.75">
      <c r="D920" s="40"/>
      <c r="E920" s="40"/>
      <c r="F920" s="40"/>
      <c r="H920" s="40"/>
    </row>
    <row r="921" spans="4:8" ht="12.75">
      <c r="D921" s="40"/>
      <c r="E921" s="40"/>
      <c r="F921" s="40"/>
      <c r="H921" s="40"/>
    </row>
    <row r="922" spans="4:8" ht="12.75">
      <c r="D922" s="40"/>
      <c r="E922" s="40"/>
      <c r="F922" s="40"/>
      <c r="H922" s="40"/>
    </row>
    <row r="923" spans="4:8" ht="12.75">
      <c r="D923" s="40"/>
      <c r="E923" s="40"/>
      <c r="F923" s="40"/>
      <c r="H923" s="40"/>
    </row>
    <row r="924" spans="4:8" ht="12.75">
      <c r="D924" s="40"/>
      <c r="E924" s="40"/>
      <c r="F924" s="40"/>
      <c r="H924" s="40"/>
    </row>
    <row r="925" spans="4:8" ht="12.75">
      <c r="D925" s="40"/>
      <c r="E925" s="40"/>
      <c r="F925" s="40"/>
      <c r="H925" s="40"/>
    </row>
    <row r="926" spans="4:8" ht="12.75">
      <c r="D926" s="40"/>
      <c r="E926" s="40"/>
      <c r="F926" s="40"/>
      <c r="H926" s="40"/>
    </row>
    <row r="927" spans="4:8" ht="12.75">
      <c r="D927" s="40"/>
      <c r="E927" s="40"/>
      <c r="F927" s="40"/>
      <c r="H927" s="40"/>
    </row>
    <row r="928" spans="4:8" ht="12.75">
      <c r="D928" s="40"/>
      <c r="E928" s="40"/>
      <c r="F928" s="40"/>
      <c r="H928" s="40"/>
    </row>
    <row r="929" spans="4:8" ht="12.75">
      <c r="D929" s="40"/>
      <c r="E929" s="40"/>
      <c r="F929" s="40"/>
      <c r="H929" s="40"/>
    </row>
    <row r="930" spans="4:8" ht="12.75">
      <c r="D930" s="40"/>
      <c r="E930" s="40"/>
      <c r="F930" s="40"/>
      <c r="H930" s="40"/>
    </row>
    <row r="931" spans="4:8" ht="12.75">
      <c r="D931" s="40"/>
      <c r="E931" s="40"/>
      <c r="F931" s="40"/>
      <c r="H931" s="40"/>
    </row>
    <row r="932" spans="4:8" ht="12.75">
      <c r="D932" s="40"/>
      <c r="E932" s="40"/>
      <c r="F932" s="40"/>
      <c r="H932" s="40"/>
    </row>
    <row r="933" spans="4:8" ht="12.75">
      <c r="D933" s="40"/>
      <c r="E933" s="40"/>
      <c r="F933" s="40"/>
      <c r="H933" s="40"/>
    </row>
    <row r="934" spans="4:8" ht="12.75">
      <c r="D934" s="40"/>
      <c r="E934" s="40"/>
      <c r="F934" s="40"/>
      <c r="H934" s="40"/>
    </row>
    <row r="935" spans="4:8" ht="12.75">
      <c r="D935" s="40"/>
      <c r="E935" s="40"/>
      <c r="F935" s="40"/>
      <c r="H935" s="40"/>
    </row>
    <row r="936" spans="4:8" ht="12.75">
      <c r="D936" s="40"/>
      <c r="E936" s="40"/>
      <c r="F936" s="40"/>
      <c r="H936" s="40"/>
    </row>
    <row r="937" spans="4:8" ht="12.75">
      <c r="D937" s="40"/>
      <c r="E937" s="40"/>
      <c r="F937" s="40"/>
      <c r="H937" s="40"/>
    </row>
    <row r="938" spans="4:8" ht="12.75">
      <c r="D938" s="40"/>
      <c r="E938" s="40"/>
      <c r="F938" s="40"/>
      <c r="H938" s="40"/>
    </row>
    <row r="939" spans="4:8" ht="12.75">
      <c r="D939" s="40"/>
      <c r="E939" s="40"/>
      <c r="F939" s="40"/>
      <c r="H939" s="40"/>
    </row>
    <row r="940" spans="4:8" ht="12.75">
      <c r="D940" s="40"/>
      <c r="E940" s="40"/>
      <c r="F940" s="40"/>
      <c r="H940" s="40"/>
    </row>
    <row r="941" spans="4:8" ht="12.75">
      <c r="D941" s="40"/>
      <c r="E941" s="40"/>
      <c r="F941" s="40"/>
      <c r="H941" s="40"/>
    </row>
    <row r="942" spans="4:8" ht="12.75">
      <c r="D942" s="40"/>
      <c r="E942" s="40"/>
      <c r="F942" s="40"/>
      <c r="H942" s="40"/>
    </row>
    <row r="943" spans="4:8" ht="12.75">
      <c r="D943" s="40"/>
      <c r="E943" s="40"/>
      <c r="F943" s="40"/>
      <c r="H943" s="40"/>
    </row>
    <row r="944" spans="4:8" ht="12.75">
      <c r="D944" s="40"/>
      <c r="E944" s="40"/>
      <c r="F944" s="40"/>
      <c r="H944" s="40"/>
    </row>
    <row r="945" spans="4:8" ht="12.75">
      <c r="D945" s="40"/>
      <c r="E945" s="40"/>
      <c r="F945" s="40"/>
      <c r="H945" s="40"/>
    </row>
    <row r="946" spans="4:8" ht="12.75">
      <c r="D946" s="40"/>
      <c r="E946" s="40"/>
      <c r="F946" s="40"/>
      <c r="H946" s="40"/>
    </row>
    <row r="947" spans="4:8" ht="12.75">
      <c r="D947" s="40"/>
      <c r="E947" s="40"/>
      <c r="F947" s="40"/>
      <c r="H947" s="40"/>
    </row>
    <row r="948" spans="4:8" ht="12.75">
      <c r="D948" s="40"/>
      <c r="E948" s="40"/>
      <c r="F948" s="40"/>
      <c r="H948" s="40"/>
    </row>
    <row r="949" spans="4:8" ht="12.75">
      <c r="D949" s="40"/>
      <c r="E949" s="40"/>
      <c r="F949" s="40"/>
      <c r="H949" s="40"/>
    </row>
    <row r="950" spans="4:8" ht="12.75">
      <c r="D950" s="40"/>
      <c r="E950" s="40"/>
      <c r="F950" s="40"/>
      <c r="H950" s="40"/>
    </row>
    <row r="951" spans="4:8" ht="12.75">
      <c r="D951" s="40"/>
      <c r="E951" s="40"/>
      <c r="F951" s="40"/>
      <c r="H951" s="40"/>
    </row>
    <row r="952" spans="4:8" ht="12.75">
      <c r="D952" s="40"/>
      <c r="E952" s="40"/>
      <c r="F952" s="40"/>
      <c r="H952" s="40"/>
    </row>
    <row r="953" spans="4:8" ht="12.75">
      <c r="D953" s="40"/>
      <c r="E953" s="40"/>
      <c r="F953" s="40"/>
      <c r="H953" s="40"/>
    </row>
    <row r="954" spans="4:8" ht="12.75">
      <c r="D954" s="40"/>
      <c r="E954" s="40"/>
      <c r="F954" s="40"/>
      <c r="H954" s="40"/>
    </row>
    <row r="955" spans="4:8" ht="12.75">
      <c r="D955" s="40"/>
      <c r="E955" s="40"/>
      <c r="F955" s="40"/>
      <c r="H955" s="40"/>
    </row>
    <row r="956" spans="4:8" ht="12.75">
      <c r="D956" s="40"/>
      <c r="E956" s="40"/>
      <c r="F956" s="40"/>
      <c r="H956" s="40"/>
    </row>
    <row r="957" spans="4:8" ht="12.75">
      <c r="D957" s="40"/>
      <c r="E957" s="40"/>
      <c r="F957" s="40"/>
      <c r="H957" s="40"/>
    </row>
    <row r="958" spans="4:8" ht="12.75">
      <c r="D958" s="40"/>
      <c r="E958" s="40"/>
      <c r="F958" s="40"/>
      <c r="H958" s="40"/>
    </row>
    <row r="959" spans="4:8" ht="12.75">
      <c r="D959" s="40"/>
      <c r="E959" s="40"/>
      <c r="F959" s="40"/>
      <c r="H959" s="40"/>
    </row>
  </sheetData>
  <printOptions/>
  <pageMargins left="0.7874015748031497" right="0.7874015748031497" top="0.7874015748031497" bottom="0.7874015748031497" header="0.5118110236220472" footer="0.5118110236220472"/>
  <pageSetup fitToHeight="2" horizontalDpi="300" verticalDpi="300" orientation="landscape" paperSize="9" scale="60" r:id="rId1"/>
  <headerFooter alignWithMargins="0">
    <oddFooter>&amp;C&amp;"Arial,Grassetto"Cespiti al 31/12/2005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Manicardi -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</dc:creator>
  <cp:keywords/>
  <dc:description/>
  <cp:lastModifiedBy>Responsabile Ragioneria</cp:lastModifiedBy>
  <cp:lastPrinted>2006-05-23T13:23:58Z</cp:lastPrinted>
  <dcterms:created xsi:type="dcterms:W3CDTF">1999-04-12T14:38:58Z</dcterms:created>
  <dcterms:modified xsi:type="dcterms:W3CDTF">2006-05-23T13:25:03Z</dcterms:modified>
  <cp:category/>
  <cp:version/>
  <cp:contentType/>
  <cp:contentStatus/>
</cp:coreProperties>
</file>