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755" windowWidth="11460" windowHeight="3825" activeTab="0"/>
  </bookViews>
  <sheets>
    <sheet name="BILANCIO" sheetId="1" r:id="rId1"/>
    <sheet name="utenze" sheetId="2" r:id="rId2"/>
  </sheets>
  <definedNames>
    <definedName name="_xlnm.Print_Area" localSheetId="0">'BILANCIO'!$A$1:$T$285</definedName>
    <definedName name="_xlnm.Print_Titles" localSheetId="0">'BILANCIO'!$A:$C,'BILANCIO'!$2:$4</definedName>
  </definedNames>
  <calcPr fullCalcOnLoad="1"/>
</workbook>
</file>

<file path=xl/sharedStrings.xml><?xml version="1.0" encoding="utf-8"?>
<sst xmlns="http://schemas.openxmlformats.org/spreadsheetml/2006/main" count="454" uniqueCount="330">
  <si>
    <t>RSA</t>
  </si>
  <si>
    <t>Servizio</t>
  </si>
  <si>
    <t>Centro</t>
  </si>
  <si>
    <t>Dormitorio</t>
  </si>
  <si>
    <t>Farmacia</t>
  </si>
  <si>
    <t>Nuoto</t>
  </si>
  <si>
    <t>TOTALE</t>
  </si>
  <si>
    <t>ISABELLA</t>
  </si>
  <si>
    <t>Assistenza</t>
  </si>
  <si>
    <t>Diurno</t>
  </si>
  <si>
    <t>2 PINI</t>
  </si>
  <si>
    <t>GRAMSCI</t>
  </si>
  <si>
    <t>Trasporti</t>
  </si>
  <si>
    <t>PER</t>
  </si>
  <si>
    <t>A</t>
  </si>
  <si>
    <t>D'ESTE</t>
  </si>
  <si>
    <t>Domiciliare</t>
  </si>
  <si>
    <t>VOCE</t>
  </si>
  <si>
    <t>VALORE DELLA PRODUZIONE</t>
  </si>
  <si>
    <t xml:space="preserve"> 1) Ricavi delle vendite e prestazioni</t>
  </si>
  <si>
    <t>a)</t>
  </si>
  <si>
    <t>Rette RSA (n. 1)</t>
  </si>
  <si>
    <t>b)</t>
  </si>
  <si>
    <t>c)</t>
  </si>
  <si>
    <t>d)</t>
  </si>
  <si>
    <t>e)</t>
  </si>
  <si>
    <t>Proventi Trasporti</t>
  </si>
  <si>
    <t>f)</t>
  </si>
  <si>
    <t>i)</t>
  </si>
  <si>
    <t>Proventi nuoto disabili</t>
  </si>
  <si>
    <t>l)</t>
  </si>
  <si>
    <t>Vendita farmaci</t>
  </si>
  <si>
    <t>m)</t>
  </si>
  <si>
    <t xml:space="preserve"> 5) Altri ricavi e proventi</t>
  </si>
  <si>
    <t>Contributi</t>
  </si>
  <si>
    <t>Altri ricavi e proventi vari</t>
  </si>
  <si>
    <t>TOTALE PARZIALE PER SERVIZIO</t>
  </si>
  <si>
    <t>B</t>
  </si>
  <si>
    <t>COSTI DELLA PRODUZIONE</t>
  </si>
  <si>
    <t xml:space="preserve"> 6) Costi per mat. prime, sussidiarie, di consumo e merci</t>
  </si>
  <si>
    <t xml:space="preserve"> - Acquisto mat. medico per assist. farm. e sanit.</t>
  </si>
  <si>
    <t xml:space="preserve"> - Materiali di pulizia</t>
  </si>
  <si>
    <t xml:space="preserve"> - Cancelleria</t>
  </si>
  <si>
    <t xml:space="preserve"> - Materiale pubblicitario</t>
  </si>
  <si>
    <t xml:space="preserve"> - Carburanti e lubrificanti</t>
  </si>
  <si>
    <t xml:space="preserve"> - Spese access. su acquisti e addebiti da fornitori</t>
  </si>
  <si>
    <t xml:space="preserve"> - Teleriscaldamento</t>
  </si>
  <si>
    <t xml:space="preserve"> 7) Costi per servizi</t>
  </si>
  <si>
    <t xml:space="preserve"> - Energia elettrica</t>
  </si>
  <si>
    <t xml:space="preserve"> - Acqua e Gas</t>
  </si>
  <si>
    <t xml:space="preserve"> - Spese per manutenzioni e riparazioni varie</t>
  </si>
  <si>
    <t xml:space="preserve"> - Compensi agli amministratori</t>
  </si>
  <si>
    <t xml:space="preserve"> - Compensi ai sindaci</t>
  </si>
  <si>
    <t xml:space="preserve"> - Servizi barbiere e parrucchiere</t>
  </si>
  <si>
    <t xml:space="preserve"> - Spese lavanderia biancheria piana</t>
  </si>
  <si>
    <t xml:space="preserve"> - Servizio di pulizia</t>
  </si>
  <si>
    <t xml:space="preserve"> - Spese per manutenzione automezzi</t>
  </si>
  <si>
    <t xml:space="preserve"> - Spese per assicurazione automezzi</t>
  </si>
  <si>
    <t xml:space="preserve"> - Spese postali e di affrancatura</t>
  </si>
  <si>
    <t xml:space="preserve"> - Spese viaggi e trasferte</t>
  </si>
  <si>
    <t xml:space="preserve"> - Altre spese per servizi</t>
  </si>
  <si>
    <t xml:space="preserve"> 8) Costi per godimento beni di terzi</t>
  </si>
  <si>
    <t xml:space="preserve"> - Affitti e locazioni</t>
  </si>
  <si>
    <t xml:space="preserve"> - Spese condominiali</t>
  </si>
  <si>
    <t xml:space="preserve"> 9) Costi per il personale</t>
  </si>
  <si>
    <t xml:space="preserve"> - Trattamento di fine rapporto</t>
  </si>
  <si>
    <t xml:space="preserve"> 10) Ammortamenti e svalutazioni</t>
  </si>
  <si>
    <t xml:space="preserve"> 11)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</si>
  <si>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</si>
  <si>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</si>
  <si>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</si>
  <si>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</si>
  <si>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</si>
  <si>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</si>
  <si>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</si>
  <si>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- Altri accantonamenti</t>
  </si>
  <si>
    <t xml:space="preserve"> 14)</t>
  </si>
  <si>
    <t>Oneri diversi di gestione</t>
  </si>
  <si>
    <t xml:space="preserve"> - Imposte di bollo</t>
  </si>
  <si>
    <t xml:space="preserve"> - Tasse di concessione regionale</t>
  </si>
  <si>
    <t xml:space="preserve"> - Altre imposte e tasse</t>
  </si>
  <si>
    <t xml:space="preserve"> - SIAE</t>
  </si>
  <si>
    <t xml:space="preserve"> - Tasse di circolazione automezzi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</si>
  <si>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</si>
  <si>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</si>
  <si>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</si>
  <si>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</si>
  <si>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</si>
  <si>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</si>
  <si>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- Interessi attivi tesoriere</t>
  </si>
  <si>
    <t xml:space="preserve"> - Interessi attivi bancari</t>
  </si>
  <si>
    <t xml:space="preserve"> - Altri interessi attivi</t>
  </si>
  <si>
    <t xml:space="preserve"> 17)</t>
  </si>
  <si>
    <t>Interessi e altri oneri finanziari</t>
  </si>
  <si>
    <t xml:space="preserve"> - Interessi passivi su mutui</t>
  </si>
  <si>
    <t xml:space="preserve"> - Interessi passivi tesoriere</t>
  </si>
  <si>
    <t xml:space="preserve"> - Interessi passivi bancari</t>
  </si>
  <si>
    <t>D</t>
  </si>
  <si>
    <t>RETTIFICHE DI VALORE DI ATTIVITA' FINANZIARIE</t>
  </si>
  <si>
    <t>E</t>
  </si>
  <si>
    <t>PROVENTI E ONERI STRAORDINARI</t>
  </si>
  <si>
    <t xml:space="preserve"> 20)</t>
  </si>
  <si>
    <t>Proventi</t>
  </si>
  <si>
    <t xml:space="preserve"> - plusvalenze da alienazioni</t>
  </si>
  <si>
    <t xml:space="preserve"> - altri</t>
  </si>
  <si>
    <t xml:space="preserve"> 21)</t>
  </si>
  <si>
    <t>Oneri</t>
  </si>
  <si>
    <t xml:space="preserve"> - minusvalenze da alienazioni</t>
  </si>
  <si>
    <t xml:space="preserve"> - insussistenze passive</t>
  </si>
  <si>
    <t xml:space="preserve"> 22)</t>
  </si>
  <si>
    <t>TOTALE          "A"</t>
  </si>
  <si>
    <t>TOTALE          "B"+"D"+"E"</t>
  </si>
  <si>
    <t>AVANZO / DISAVANZO DI GESTIONE PER SERVIZIO</t>
  </si>
  <si>
    <t xml:space="preserve"> - Compensi fisioterapisti</t>
  </si>
  <si>
    <t xml:space="preserve"> - ENPAF farmacisti</t>
  </si>
  <si>
    <t xml:space="preserve"> - Assistenza informatica</t>
  </si>
  <si>
    <t xml:space="preserve"> - Sopravvenienze attive RSA</t>
  </si>
  <si>
    <t xml:space="preserve"> - Sopravvenienze attive F2P</t>
  </si>
  <si>
    <t xml:space="preserve"> - Sopravvenienze attive FGR</t>
  </si>
  <si>
    <t xml:space="preserve"> - Rimborso farmaci scaduti</t>
  </si>
  <si>
    <t xml:space="preserve"> - Manutenzioni contrattuali </t>
  </si>
  <si>
    <t xml:space="preserve"> - Acquisti per attività di animazione</t>
  </si>
  <si>
    <t xml:space="preserve"> - Acquisto farmaci</t>
  </si>
  <si>
    <t xml:space="preserve"> - Acquisto materiali di consumo vari </t>
  </si>
  <si>
    <t xml:space="preserve"> - Altre spese per automezzi</t>
  </si>
  <si>
    <t xml:space="preserve"> - Noleggio strutture e attrezzature</t>
  </si>
  <si>
    <t xml:space="preserve"> - INAIL</t>
  </si>
  <si>
    <t xml:space="preserve"> - Rimborso spese km.</t>
  </si>
  <si>
    <t>Ristorazione</t>
  </si>
  <si>
    <t xml:space="preserve"> - Compensi medici</t>
  </si>
  <si>
    <t xml:space="preserve"> - Regione - circolare 4</t>
  </si>
  <si>
    <t xml:space="preserve"> - ASL quote forfettarie SSN</t>
  </si>
  <si>
    <t xml:space="preserve"> - Oneri ODC/SCivF</t>
  </si>
  <si>
    <t xml:space="preserve"> Spese generali</t>
  </si>
  <si>
    <t>Integrato</t>
  </si>
  <si>
    <t>Ariosto</t>
  </si>
  <si>
    <t xml:space="preserve">totale </t>
  </si>
  <si>
    <t>di</t>
  </si>
  <si>
    <t>controllo</t>
  </si>
  <si>
    <t xml:space="preserve"> - Consul. Tecniche e Amm.ve</t>
  </si>
  <si>
    <t>- Contributi vari</t>
  </si>
  <si>
    <t>n)</t>
  </si>
  <si>
    <t xml:space="preserve"> - b2) Sollevatori</t>
  </si>
  <si>
    <t xml:space="preserve"> - b4) Prestazioni socio - sanitarie</t>
  </si>
  <si>
    <t>Tariffe SAD</t>
  </si>
  <si>
    <t xml:space="preserve"> - b1) Pasti (inclusa consegna) </t>
  </si>
  <si>
    <t>Tariffe Centro Diurno Integrato</t>
  </si>
  <si>
    <t xml:space="preserve"> - Acquisto pasti da CdR Rist.</t>
  </si>
  <si>
    <t xml:space="preserve"> - Servizio Religioso</t>
  </si>
  <si>
    <t xml:space="preserve"> - Rifiuti urbani e speciali</t>
  </si>
  <si>
    <t xml:space="preserve"> - Sicurezza e L.626/94</t>
  </si>
  <si>
    <t xml:space="preserve"> 3) Variazione dei lavori in corso</t>
  </si>
  <si>
    <t xml:space="preserve"> 4) Incrementi di immobilizz.</t>
  </si>
  <si>
    <t xml:space="preserve"> - Amm. Immob. immateriali</t>
  </si>
  <si>
    <t xml:space="preserve"> - Amm. Immob. materiali</t>
  </si>
  <si>
    <t xml:space="preserve"> - Altre svalutazioni delle immob.</t>
  </si>
  <si>
    <t xml:space="preserve"> - Svalut. crediti attivo circolante</t>
  </si>
  <si>
    <t>Imposte dell'esercizio</t>
  </si>
  <si>
    <t>o)</t>
  </si>
  <si>
    <t xml:space="preserve"> - Prestazioni diverse</t>
  </si>
  <si>
    <t>Rette Comunità Alloggio Handicap</t>
  </si>
  <si>
    <t xml:space="preserve"> - Altri proventi vari</t>
  </si>
  <si>
    <t xml:space="preserve"> - Rimborsi telefonici</t>
  </si>
  <si>
    <t xml:space="preserve"> - Abbuoni e arrot. Attivi</t>
  </si>
  <si>
    <t xml:space="preserve"> - Rivalsa bollo RSA</t>
  </si>
  <si>
    <t xml:space="preserve"> - Integr. Rette Sad Comune</t>
  </si>
  <si>
    <t xml:space="preserve"> - b3) Trasporto e varie</t>
  </si>
  <si>
    <t xml:space="preserve"> - Abbuoni e arrotondamenti passivi</t>
  </si>
  <si>
    <t xml:space="preserve"> - Spese fotocopiatore</t>
  </si>
  <si>
    <t xml:space="preserve"> - Spese lavanderia indumenti ospiti</t>
  </si>
  <si>
    <t xml:space="preserve"> - Spese di rappresentanza</t>
  </si>
  <si>
    <t xml:space="preserve"> - Spese gestione comunità alloggio</t>
  </si>
  <si>
    <t xml:space="preserve"> - Spese servizio trasporto protetto</t>
  </si>
  <si>
    <t xml:space="preserve"> - Spese formazione</t>
  </si>
  <si>
    <t xml:space="preserve"> - Altri costi vari di struttura</t>
  </si>
  <si>
    <t xml:space="preserve"> - Contributi ad associazioni </t>
  </si>
  <si>
    <t xml:space="preserve"> - Costi vari indeducibili</t>
  </si>
  <si>
    <t xml:space="preserve"> - Sopravvenienze attive SAD</t>
  </si>
  <si>
    <t xml:space="preserve"> - sopravvenienze passive</t>
  </si>
  <si>
    <t>CONTROLLO</t>
  </si>
  <si>
    <t xml:space="preserve"> - Locazione sollevatori</t>
  </si>
  <si>
    <t>tipologia</t>
  </si>
  <si>
    <t>totale</t>
  </si>
  <si>
    <t>Teleriscaldamento</t>
  </si>
  <si>
    <t>Energia elettrica</t>
  </si>
  <si>
    <t xml:space="preserve">Gas    </t>
  </si>
  <si>
    <t xml:space="preserve">Acqua   </t>
  </si>
  <si>
    <t>S.A.D.</t>
  </si>
  <si>
    <t xml:space="preserve"> - Contributi CPDEL e Inps</t>
  </si>
  <si>
    <t>SAD</t>
  </si>
  <si>
    <t>CAG</t>
  </si>
  <si>
    <t>AZIENDA</t>
  </si>
  <si>
    <t>Risultato con spese generali</t>
  </si>
  <si>
    <t xml:space="preserve">                  - Prestazioni ad altri CdR</t>
  </si>
  <si>
    <t>C.A.H.</t>
  </si>
  <si>
    <t xml:space="preserve"> - Assicurazioni ODC</t>
  </si>
  <si>
    <t>trasporti</t>
  </si>
  <si>
    <t xml:space="preserve"> - Spese telefonia mobile</t>
  </si>
  <si>
    <t xml:space="preserve"> - Spese telefonia fissa</t>
  </si>
  <si>
    <t>telefonia fissa</t>
  </si>
  <si>
    <t>RISTORAZIONE</t>
  </si>
  <si>
    <t>percentuali</t>
  </si>
  <si>
    <t xml:space="preserve">RSA </t>
  </si>
  <si>
    <t>CDI</t>
  </si>
  <si>
    <t>NUOTO</t>
  </si>
  <si>
    <t>FARM. DPINI</t>
  </si>
  <si>
    <t>FARM. GRAMSCI</t>
  </si>
  <si>
    <t>TRASPORTI</t>
  </si>
  <si>
    <t>CAH</t>
  </si>
  <si>
    <t>TANATOLOGICO</t>
  </si>
  <si>
    <t>626/94</t>
  </si>
  <si>
    <t>INAIL</t>
  </si>
  <si>
    <t>Suddivisione utenze  e altre spese Immobile Michelangelo</t>
  </si>
  <si>
    <t xml:space="preserve"> Spese generali new</t>
  </si>
  <si>
    <t>Risultato con spese generali new</t>
  </si>
  <si>
    <t>% vecchie</t>
  </si>
  <si>
    <t xml:space="preserve"> - Altri costi per godimento beni terzi</t>
  </si>
  <si>
    <t>Integr. Rette Rsa Comune</t>
  </si>
  <si>
    <t xml:space="preserve"> Proventi Ristorazione: pasti ad altri CdR </t>
  </si>
  <si>
    <t>Contributi forfettari Comune</t>
  </si>
  <si>
    <t>Vendita prestazioni ad altri CdR</t>
  </si>
  <si>
    <t xml:space="preserve"> - Rimanenze finali</t>
  </si>
  <si>
    <t xml:space="preserve"> - (Rimanenze iniziali)</t>
  </si>
  <si>
    <t xml:space="preserve"> 2) Variazione delle rimanenze (materiale consumo)</t>
  </si>
  <si>
    <t>Variazioni delle rimanenze (merci)</t>
  </si>
  <si>
    <t>SEGNO ERRATO</t>
  </si>
  <si>
    <t xml:space="preserve"> - Rimborso spese ospiti</t>
  </si>
  <si>
    <t xml:space="preserve"> - Tasse concessione governative</t>
  </si>
  <si>
    <t>Pensionato</t>
  </si>
  <si>
    <t>Sociale</t>
  </si>
  <si>
    <t xml:space="preserve">Pensionato </t>
  </si>
  <si>
    <t xml:space="preserve"> - Compensi podologa</t>
  </si>
  <si>
    <t>Proventi Pensionato Sociale</t>
  </si>
  <si>
    <t>p)</t>
  </si>
  <si>
    <t>q)</t>
  </si>
  <si>
    <t xml:space="preserve"> - Confezionamento e consegna pasti</t>
  </si>
  <si>
    <t>Proventi Pasti confezionati pensionato sociale</t>
  </si>
  <si>
    <t xml:space="preserve">Area </t>
  </si>
  <si>
    <t>Proventi Servizio assistenza domiciliare minori</t>
  </si>
  <si>
    <t xml:space="preserve">Prov.Dormitorio </t>
  </si>
  <si>
    <t xml:space="preserve">Nuoto </t>
  </si>
  <si>
    <t>Trasporto</t>
  </si>
  <si>
    <t>Disabili</t>
  </si>
  <si>
    <t>Protetto</t>
  </si>
  <si>
    <t>Minori</t>
  </si>
  <si>
    <t xml:space="preserve"> - Proventi Obiettori</t>
  </si>
  <si>
    <t xml:space="preserve"> - Acquisto generi alimentari </t>
  </si>
  <si>
    <t xml:space="preserve"> - Carburanti e lubrificanti %</t>
  </si>
  <si>
    <t xml:space="preserve"> - INPS e Inail a carico azienda</t>
  </si>
  <si>
    <t xml:space="preserve"> - Servizio  lavaggio stoviglie</t>
  </si>
  <si>
    <t xml:space="preserve"> - Servizio assistenza geriatrica e pulizia</t>
  </si>
  <si>
    <t xml:space="preserve"> - Spese gestione CAG</t>
  </si>
  <si>
    <t xml:space="preserve"> - Spese gestione Servizio Domiciliare Minori</t>
  </si>
  <si>
    <t xml:space="preserve"> - Spese di vigilanza</t>
  </si>
  <si>
    <t xml:space="preserve"> - Spese di trasporto</t>
  </si>
  <si>
    <t xml:space="preserve"> - Collaborazioni Coordinate e Continuative</t>
  </si>
  <si>
    <t xml:space="preserve"> - Inps e Inail Collaborazioni Coordinate Cont.</t>
  </si>
  <si>
    <t xml:space="preserve"> - Spese per Manutenz.Automezzi %</t>
  </si>
  <si>
    <t xml:space="preserve"> - Leasing apparecchi telefonici fissi</t>
  </si>
  <si>
    <t xml:space="preserve"> - Altri costi per il personale e divise</t>
  </si>
  <si>
    <t xml:space="preserve"> - Imposta di registro</t>
  </si>
  <si>
    <t xml:space="preserve"> - Abbonamenti a testi e riviste</t>
  </si>
  <si>
    <t xml:space="preserve"> - Interessi di mora</t>
  </si>
  <si>
    <t xml:space="preserve"> - Perdite su crediti</t>
  </si>
  <si>
    <t xml:space="preserve"> - Altre sopravvenienze attive</t>
  </si>
  <si>
    <t xml:space="preserve"> - Contributo Comune</t>
  </si>
  <si>
    <t xml:space="preserve"> - Acquisto pannoloni</t>
  </si>
  <si>
    <t xml:space="preserve"> - Trasporti c/terzi</t>
  </si>
  <si>
    <t xml:space="preserve"> - Assicurazioni dipendenti</t>
  </si>
  <si>
    <t xml:space="preserve"> - Assicurazioni fabbricati</t>
  </si>
  <si>
    <t xml:space="preserve"> - Spese per attività socio-ricreative animazione</t>
  </si>
  <si>
    <t xml:space="preserve"> - Acquisto attrezzatura minuta </t>
  </si>
  <si>
    <t xml:space="preserve"> - Assicurazioni varie</t>
  </si>
  <si>
    <t xml:space="preserve"> - Proventi Ristorazione: altri</t>
  </si>
  <si>
    <t>Totale costo Risorse Umane</t>
  </si>
  <si>
    <t>Totale costi comuni - costo organi istituzionali</t>
  </si>
  <si>
    <t>Costo organi istituzionali</t>
  </si>
  <si>
    <t>Area</t>
  </si>
  <si>
    <t>Totale costo della produzione per servizio - costi comuni</t>
  </si>
  <si>
    <t>Semipensionato</t>
  </si>
  <si>
    <t xml:space="preserve"> - IRAP</t>
  </si>
  <si>
    <t xml:space="preserve"> - Compenso farmacisti</t>
  </si>
  <si>
    <t xml:space="preserve"> - Prestazioni Occasionali </t>
  </si>
  <si>
    <t xml:space="preserve"> - Spese pensionato sociale</t>
  </si>
  <si>
    <t xml:space="preserve"> - Spese servizio nuoto disabili</t>
  </si>
  <si>
    <t xml:space="preserve"> - Spese convegno</t>
  </si>
  <si>
    <t xml:space="preserve"> - Cancelleria %</t>
  </si>
  <si>
    <t xml:space="preserve">Proventi C.A.G. </t>
  </si>
  <si>
    <t>Agenzia</t>
  </si>
  <si>
    <t>Locazione</t>
  </si>
  <si>
    <t>Proventi Agenzia di Locazione</t>
  </si>
  <si>
    <t xml:space="preserve">Agenzia </t>
  </si>
  <si>
    <t xml:space="preserve">di </t>
  </si>
  <si>
    <t xml:space="preserve"> - Produttivita'</t>
  </si>
  <si>
    <t xml:space="preserve"> - Ferie</t>
  </si>
  <si>
    <t xml:space="preserve"> - Contributi CPDEL e Inps su Ferie</t>
  </si>
  <si>
    <t xml:space="preserve"> - Contributi CPDEL e Inps su produtt.</t>
  </si>
  <si>
    <t xml:space="preserve"> - Altri ricavi per contributi lavori RSA</t>
  </si>
  <si>
    <t>Comuni</t>
  </si>
  <si>
    <t xml:space="preserve"> Comuni</t>
  </si>
  <si>
    <t xml:space="preserve"> - Contributi B.A.M.</t>
  </si>
  <si>
    <t xml:space="preserve"> - Spese diverse bancarie</t>
  </si>
  <si>
    <t xml:space="preserve"> - Spese diverse postali</t>
  </si>
  <si>
    <t xml:space="preserve"> - Salari e stipendi                                  </t>
  </si>
  <si>
    <t>LUIGI</t>
  </si>
  <si>
    <t>BIANCHI</t>
  </si>
  <si>
    <t xml:space="preserve"> - Regione Piano di Zona</t>
  </si>
  <si>
    <t xml:space="preserve"> - Rimborso Assicurazione</t>
  </si>
  <si>
    <t xml:space="preserve"> - Sopravvenienze attive CAH</t>
  </si>
  <si>
    <t>RSA "I.D'Este"</t>
  </si>
  <si>
    <t xml:space="preserve"> - Servizio voucher socio-sanitario</t>
  </si>
  <si>
    <t>-Prestazioni domiciliari voucher</t>
  </si>
  <si>
    <t xml:space="preserve"> - Contributi CPDEL Direttore Generale </t>
  </si>
  <si>
    <t xml:space="preserve"> - Stipendio Direttore Generale</t>
  </si>
  <si>
    <t xml:space="preserve"> - T.F.R. Direttore generale</t>
  </si>
  <si>
    <t xml:space="preserve"> - IRES</t>
  </si>
  <si>
    <t xml:space="preserve"> - Rimborso Inail </t>
  </si>
  <si>
    <t>RSA "L.Bianchi"</t>
  </si>
  <si>
    <t xml:space="preserve"> - Consulenze impiantistica (Ferretti)</t>
  </si>
  <si>
    <t xml:space="preserve"> - Prestazioni da terzi </t>
  </si>
  <si>
    <t xml:space="preserve"> - Consulenze fiscali, amministrative, lavoro e legali </t>
  </si>
  <si>
    <t xml:space="preserve"> - Prestazioni medicina specialistica fisiatra Perizzi</t>
  </si>
  <si>
    <t xml:space="preserve"> - Prestazioni medicina sul lavoro Bottura</t>
  </si>
  <si>
    <t>Proventi riabilitazione ed rieducazione motoria</t>
  </si>
  <si>
    <t>Ambulatorio</t>
  </si>
  <si>
    <t>Riabilitazione</t>
  </si>
  <si>
    <t xml:space="preserve">Ambulatorio </t>
  </si>
  <si>
    <t>Proventi Affitti Farmacie Mantovane Srl</t>
  </si>
  <si>
    <t>r)</t>
  </si>
  <si>
    <t xml:space="preserve"> - Plusvalenza per conferimento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</si>
</sst>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0.000"/>
    <numFmt numFmtId="172" formatCode="#,##0.000"/>
    <numFmt numFmtId="173" formatCode="0.0000"/>
    <numFmt numFmtId="174" formatCode="#,##0_ ;\-#,##0\ "/>
    <numFmt numFmtId="175" formatCode="#,##0.00_);\(#,##0.00\)"/>
    <numFmt numFmtId="176" formatCode="#,##0.00_ ;\-#,##0.00\ "/>
    <numFmt numFmtId="177" formatCode="#,##0.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trike/>
      <sz val="13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i/>
      <sz val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center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170" fontId="7" fillId="3" borderId="12" xfId="0" applyNumberFormat="1" applyFont="1" applyFill="1" applyBorder="1" applyAlignment="1" applyProtection="1">
      <alignment horizontal="center" vertical="center"/>
      <protection/>
    </xf>
    <xf numFmtId="170" fontId="7" fillId="3" borderId="13" xfId="0" applyNumberFormat="1" applyFont="1" applyFill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 vertical="center"/>
      <protection/>
    </xf>
    <xf numFmtId="0" fontId="7" fillId="0" borderId="4" xfId="0" applyFont="1" applyBorder="1" applyAlignment="1">
      <alignment/>
    </xf>
    <xf numFmtId="170" fontId="8" fillId="4" borderId="14" xfId="0" applyNumberFormat="1" applyFont="1" applyFill="1" applyBorder="1" applyAlignment="1" applyProtection="1">
      <alignment/>
      <protection/>
    </xf>
    <xf numFmtId="170" fontId="8" fillId="4" borderId="0" xfId="0" applyNumberFormat="1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170" fontId="7" fillId="0" borderId="9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170" fontId="7" fillId="4" borderId="7" xfId="0" applyNumberFormat="1" applyFont="1" applyFill="1" applyBorder="1" applyAlignment="1" applyProtection="1">
      <alignment horizontal="center"/>
      <protection/>
    </xf>
    <xf numFmtId="170" fontId="7" fillId="0" borderId="1" xfId="0" applyNumberFormat="1" applyFont="1" applyBorder="1" applyAlignment="1">
      <alignment/>
    </xf>
    <xf numFmtId="0" fontId="7" fillId="4" borderId="10" xfId="0" applyFont="1" applyFill="1" applyBorder="1" applyAlignment="1" applyProtection="1">
      <alignment/>
      <protection/>
    </xf>
    <xf numFmtId="170" fontId="8" fillId="4" borderId="7" xfId="0" applyNumberFormat="1" applyFont="1" applyFill="1" applyBorder="1" applyAlignment="1" applyProtection="1">
      <alignment horizontal="center"/>
      <protection/>
    </xf>
    <xf numFmtId="170" fontId="8" fillId="4" borderId="10" xfId="0" applyNumberFormat="1" applyFont="1" applyFill="1" applyBorder="1" applyAlignment="1" applyProtection="1">
      <alignment/>
      <protection/>
    </xf>
    <xf numFmtId="170" fontId="7" fillId="4" borderId="10" xfId="0" applyNumberFormat="1" applyFont="1" applyFill="1" applyBorder="1" applyAlignment="1" applyProtection="1">
      <alignment/>
      <protection/>
    </xf>
    <xf numFmtId="170" fontId="7" fillId="4" borderId="7" xfId="0" applyNumberFormat="1" applyFont="1" applyFill="1" applyBorder="1" applyAlignment="1" applyProtection="1">
      <alignment/>
      <protection/>
    </xf>
    <xf numFmtId="0" fontId="7" fillId="4" borderId="10" xfId="0" applyFont="1" applyFill="1" applyBorder="1" applyAlignment="1" applyProtection="1" quotePrefix="1">
      <alignment/>
      <protection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0" fontId="7" fillId="0" borderId="15" xfId="0" applyNumberFormat="1" applyFont="1" applyBorder="1" applyAlignment="1">
      <alignment/>
    </xf>
    <xf numFmtId="170" fontId="8" fillId="4" borderId="7" xfId="0" applyNumberFormat="1" applyFont="1" applyFill="1" applyBorder="1" applyAlignment="1" applyProtection="1">
      <alignment/>
      <protection/>
    </xf>
    <xf numFmtId="170" fontId="7" fillId="0" borderId="15" xfId="0" applyNumberFormat="1" applyFont="1" applyFill="1" applyBorder="1" applyAlignment="1">
      <alignment/>
    </xf>
    <xf numFmtId="170" fontId="8" fillId="4" borderId="0" xfId="0" applyNumberFormat="1" applyFont="1" applyFill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7" fillId="0" borderId="1" xfId="0" applyFont="1" applyBorder="1" applyAlignment="1">
      <alignment/>
    </xf>
    <xf numFmtId="0" fontId="7" fillId="4" borderId="2" xfId="0" applyFont="1" applyFill="1" applyBorder="1" applyAlignment="1" applyProtection="1">
      <alignment/>
      <protection/>
    </xf>
    <xf numFmtId="0" fontId="7" fillId="0" borderId="2" xfId="0" applyFont="1" applyBorder="1" applyAlignment="1">
      <alignment/>
    </xf>
    <xf numFmtId="170" fontId="7" fillId="0" borderId="7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 quotePrefix="1">
      <alignment/>
      <protection/>
    </xf>
    <xf numFmtId="0" fontId="7" fillId="0" borderId="10" xfId="0" applyFont="1" applyFill="1" applyBorder="1" applyAlignment="1">
      <alignment/>
    </xf>
    <xf numFmtId="170" fontId="7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0" fontId="7" fillId="4" borderId="1" xfId="0" applyNumberFormat="1" applyFont="1" applyFill="1" applyBorder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170" fontId="7" fillId="0" borderId="0" xfId="0" applyNumberFormat="1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70" fontId="7" fillId="3" borderId="1" xfId="0" applyNumberFormat="1" applyFont="1" applyFill="1" applyBorder="1" applyAlignment="1" applyProtection="1">
      <alignment horizontal="center" vertical="center"/>
      <protection/>
    </xf>
    <xf numFmtId="170" fontId="7" fillId="3" borderId="2" xfId="0" applyNumberFormat="1" applyFont="1" applyFill="1" applyBorder="1" applyAlignment="1" applyProtection="1">
      <alignment vertical="center"/>
      <protection/>
    </xf>
    <xf numFmtId="0" fontId="7" fillId="3" borderId="2" xfId="0" applyFont="1" applyFill="1" applyBorder="1" applyAlignment="1" applyProtection="1">
      <alignment vertical="center"/>
      <protection/>
    </xf>
    <xf numFmtId="170" fontId="7" fillId="0" borderId="0" xfId="0" applyNumberFormat="1" applyFont="1" applyBorder="1" applyAlignment="1">
      <alignment/>
    </xf>
    <xf numFmtId="170" fontId="9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7" fillId="0" borderId="2" xfId="0" applyNumberFormat="1" applyFont="1" applyBorder="1" applyAlignment="1">
      <alignment/>
    </xf>
    <xf numFmtId="170" fontId="7" fillId="0" borderId="7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170" fontId="7" fillId="0" borderId="2" xfId="0" applyNumberFormat="1" applyFont="1" applyFill="1" applyBorder="1" applyAlignment="1">
      <alignment/>
    </xf>
    <xf numFmtId="170" fontId="7" fillId="4" borderId="4" xfId="0" applyNumberFormat="1" applyFont="1" applyFill="1" applyBorder="1" applyAlignment="1" applyProtection="1">
      <alignment/>
      <protection/>
    </xf>
    <xf numFmtId="0" fontId="7" fillId="4" borderId="5" xfId="0" applyFont="1" applyFill="1" applyBorder="1" applyAlignment="1" applyProtection="1">
      <alignment/>
      <protection/>
    </xf>
    <xf numFmtId="0" fontId="7" fillId="0" borderId="5" xfId="0" applyFont="1" applyBorder="1" applyAlignment="1">
      <alignment/>
    </xf>
    <xf numFmtId="170" fontId="11" fillId="0" borderId="0" xfId="0" applyNumberFormat="1" applyFont="1" applyAlignment="1">
      <alignment/>
    </xf>
    <xf numFmtId="41" fontId="7" fillId="0" borderId="0" xfId="16" applyFont="1" applyAlignment="1">
      <alignment/>
    </xf>
    <xf numFmtId="41" fontId="7" fillId="0" borderId="0" xfId="0" applyNumberFormat="1" applyFont="1" applyAlignment="1">
      <alignment/>
    </xf>
    <xf numFmtId="41" fontId="7" fillId="0" borderId="0" xfId="16" applyFont="1" applyFill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170" fontId="7" fillId="0" borderId="4" xfId="0" applyNumberFormat="1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/>
    </xf>
    <xf numFmtId="170" fontId="11" fillId="0" borderId="0" xfId="0" applyNumberFormat="1" applyFont="1" applyFill="1" applyAlignment="1">
      <alignment/>
    </xf>
    <xf numFmtId="170" fontId="7" fillId="4" borderId="0" xfId="0" applyNumberFormat="1" applyFont="1" applyFill="1" applyBorder="1" applyAlignment="1" applyProtection="1">
      <alignment/>
      <protection/>
    </xf>
    <xf numFmtId="0" fontId="7" fillId="0" borderId="8" xfId="0" applyFont="1" applyBorder="1" applyAlignment="1">
      <alignment/>
    </xf>
    <xf numFmtId="170" fontId="8" fillId="4" borderId="4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/>
    </xf>
    <xf numFmtId="41" fontId="7" fillId="0" borderId="0" xfId="0" applyNumberFormat="1" applyFont="1" applyBorder="1" applyAlignment="1">
      <alignment/>
    </xf>
    <xf numFmtId="170" fontId="8" fillId="0" borderId="7" xfId="0" applyNumberFormat="1" applyFont="1" applyFill="1" applyBorder="1" applyAlignment="1" applyProtection="1">
      <alignment/>
      <protection/>
    </xf>
    <xf numFmtId="170" fontId="8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/>
    </xf>
    <xf numFmtId="170" fontId="7" fillId="5" borderId="3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170" fontId="7" fillId="3" borderId="1" xfId="0" applyNumberFormat="1" applyFont="1" applyFill="1" applyBorder="1" applyAlignment="1" applyProtection="1">
      <alignment vertical="center"/>
      <protection/>
    </xf>
    <xf numFmtId="0" fontId="7" fillId="0" borderId="6" xfId="0" applyFont="1" applyBorder="1" applyAlignment="1">
      <alignment/>
    </xf>
    <xf numFmtId="170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170" fontId="7" fillId="3" borderId="3" xfId="0" applyNumberFormat="1" applyFont="1" applyFill="1" applyBorder="1" applyAlignment="1" applyProtection="1">
      <alignment/>
      <protection/>
    </xf>
    <xf numFmtId="170" fontId="7" fillId="0" borderId="7" xfId="0" applyNumberFormat="1" applyFont="1" applyFill="1" applyBorder="1" applyAlignment="1" applyProtection="1">
      <alignment horizontal="center" vertical="center"/>
      <protection/>
    </xf>
    <xf numFmtId="17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0" fontId="7" fillId="6" borderId="3" xfId="0" applyNumberFormat="1" applyFont="1" applyFill="1" applyBorder="1" applyAlignment="1">
      <alignment/>
    </xf>
    <xf numFmtId="170" fontId="7" fillId="4" borderId="0" xfId="0" applyNumberFormat="1" applyFont="1" applyFill="1" applyAlignment="1" applyProtection="1">
      <alignment/>
      <protection/>
    </xf>
    <xf numFmtId="170" fontId="7" fillId="3" borderId="16" xfId="0" applyNumberFormat="1" applyFont="1" applyFill="1" applyBorder="1" applyAlignment="1" applyProtection="1">
      <alignment vertical="center"/>
      <protection/>
    </xf>
    <xf numFmtId="0" fontId="7" fillId="3" borderId="16" xfId="0" applyFont="1" applyFill="1" applyBorder="1" applyAlignment="1" applyProtection="1">
      <alignment vertical="center"/>
      <protection/>
    </xf>
    <xf numFmtId="1" fontId="7" fillId="0" borderId="0" xfId="0" applyNumberFormat="1" applyFont="1" applyAlignment="1">
      <alignment/>
    </xf>
    <xf numFmtId="170" fontId="7" fillId="4" borderId="9" xfId="0" applyNumberFormat="1" applyFont="1" applyFill="1" applyBorder="1" applyAlignment="1" applyProtection="1">
      <alignment/>
      <protection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41" fontId="7" fillId="0" borderId="3" xfId="16" applyFont="1" applyFill="1" applyBorder="1" applyAlignment="1">
      <alignment/>
    </xf>
    <xf numFmtId="0" fontId="7" fillId="0" borderId="7" xfId="0" applyFont="1" applyFill="1" applyBorder="1" applyAlignment="1">
      <alignment/>
    </xf>
    <xf numFmtId="170" fontId="7" fillId="0" borderId="3" xfId="0" applyNumberFormat="1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68" fontId="7" fillId="0" borderId="0" xfId="0" applyNumberFormat="1" applyFont="1" applyFill="1" applyAlignment="1">
      <alignment/>
    </xf>
    <xf numFmtId="10" fontId="9" fillId="0" borderId="0" xfId="16" applyNumberFormat="1" applyFont="1" applyFill="1" applyAlignment="1">
      <alignment/>
    </xf>
    <xf numFmtId="170" fontId="7" fillId="7" borderId="15" xfId="0" applyNumberFormat="1" applyFont="1" applyFill="1" applyBorder="1" applyAlignment="1">
      <alignment/>
    </xf>
    <xf numFmtId="0" fontId="7" fillId="7" borderId="0" xfId="0" applyFont="1" applyFill="1" applyAlignment="1">
      <alignment/>
    </xf>
    <xf numFmtId="170" fontId="10" fillId="6" borderId="15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76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2" borderId="1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70" fontId="12" fillId="3" borderId="4" xfId="0" applyNumberFormat="1" applyFont="1" applyFill="1" applyBorder="1" applyAlignment="1" applyProtection="1">
      <alignment horizontal="center" vertical="center"/>
      <protection/>
    </xf>
    <xf numFmtId="170" fontId="12" fillId="3" borderId="18" xfId="0" applyNumberFormat="1" applyFont="1" applyFill="1" applyBorder="1" applyAlignment="1" applyProtection="1">
      <alignment horizontal="center" vertical="center"/>
      <protection/>
    </xf>
    <xf numFmtId="170" fontId="12" fillId="3" borderId="17" xfId="0" applyNumberFormat="1" applyFont="1" applyFill="1" applyBorder="1" applyAlignment="1" applyProtection="1">
      <alignment horizontal="center" vertical="center"/>
      <protection/>
    </xf>
    <xf numFmtId="0" fontId="12" fillId="2" borderId="5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70" fontId="12" fillId="3" borderId="7" xfId="0" applyNumberFormat="1" applyFont="1" applyFill="1" applyBorder="1" applyAlignment="1" applyProtection="1">
      <alignment horizontal="center" vertical="center"/>
      <protection/>
    </xf>
    <xf numFmtId="0" fontId="12" fillId="2" borderId="7" xfId="0" applyFont="1" applyFill="1" applyBorder="1" applyAlignment="1">
      <alignment/>
    </xf>
    <xf numFmtId="170" fontId="12" fillId="0" borderId="15" xfId="0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/>
    </xf>
    <xf numFmtId="43" fontId="12" fillId="0" borderId="15" xfId="0" applyNumberFormat="1" applyFont="1" applyFill="1" applyBorder="1" applyAlignment="1" applyProtection="1">
      <alignment/>
      <protection/>
    </xf>
    <xf numFmtId="43" fontId="12" fillId="0" borderId="15" xfId="0" applyNumberFormat="1" applyFont="1" applyFill="1" applyBorder="1" applyAlignment="1">
      <alignment/>
    </xf>
    <xf numFmtId="43" fontId="12" fillId="0" borderId="15" xfId="0" applyNumberFormat="1" applyFont="1" applyFill="1" applyBorder="1" applyAlignment="1">
      <alignment horizontal="right"/>
    </xf>
    <xf numFmtId="43" fontId="12" fillId="0" borderId="15" xfId="16" applyNumberFormat="1" applyFont="1" applyFill="1" applyBorder="1" applyAlignment="1">
      <alignment/>
    </xf>
    <xf numFmtId="43" fontId="12" fillId="0" borderId="15" xfId="0" applyNumberFormat="1" applyFont="1" applyFill="1" applyBorder="1" applyAlignment="1" applyProtection="1">
      <alignment horizontal="right"/>
      <protection/>
    </xf>
    <xf numFmtId="175" fontId="12" fillId="0" borderId="15" xfId="0" applyNumberFormat="1" applyFont="1" applyFill="1" applyBorder="1" applyAlignment="1" applyProtection="1">
      <alignment/>
      <protection/>
    </xf>
    <xf numFmtId="175" fontId="12" fillId="0" borderId="15" xfId="0" applyNumberFormat="1" applyFont="1" applyFill="1" applyBorder="1" applyAlignment="1">
      <alignment/>
    </xf>
    <xf numFmtId="43" fontId="12" fillId="0" borderId="15" xfId="16" applyNumberFormat="1" applyFont="1" applyFill="1" applyBorder="1" applyAlignment="1">
      <alignment horizontal="right"/>
    </xf>
    <xf numFmtId="43" fontId="12" fillId="5" borderId="15" xfId="0" applyNumberFormat="1" applyFont="1" applyFill="1" applyBorder="1" applyAlignment="1" applyProtection="1">
      <alignment/>
      <protection/>
    </xf>
    <xf numFmtId="170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Fill="1" applyAlignment="1">
      <alignment/>
    </xf>
    <xf numFmtId="0" fontId="12" fillId="8" borderId="15" xfId="0" applyFont="1" applyFill="1" applyBorder="1" applyAlignment="1">
      <alignment/>
    </xf>
    <xf numFmtId="43" fontId="12" fillId="4" borderId="15" xfId="0" applyNumberFormat="1" applyFont="1" applyFill="1" applyBorder="1" applyAlignment="1" applyProtection="1">
      <alignment/>
      <protection/>
    </xf>
    <xf numFmtId="43" fontId="12" fillId="0" borderId="15" xfId="0" applyNumberFormat="1" applyFont="1" applyBorder="1" applyAlignment="1">
      <alignment/>
    </xf>
    <xf numFmtId="43" fontId="13" fillId="0" borderId="15" xfId="0" applyNumberFormat="1" applyFont="1" applyFill="1" applyBorder="1" applyAlignment="1" applyProtection="1">
      <alignment/>
      <protection/>
    </xf>
    <xf numFmtId="43" fontId="12" fillId="0" borderId="15" xfId="16" applyNumberFormat="1" applyFont="1" applyFill="1" applyBorder="1" applyAlignment="1" applyProtection="1">
      <alignment/>
      <protection/>
    </xf>
    <xf numFmtId="170" fontId="12" fillId="4" borderId="5" xfId="0" applyNumberFormat="1" applyFont="1" applyFill="1" applyBorder="1" applyAlignment="1" applyProtection="1">
      <alignment/>
      <protection/>
    </xf>
    <xf numFmtId="170" fontId="12" fillId="0" borderId="5" xfId="0" applyNumberFormat="1" applyFont="1" applyFill="1" applyBorder="1" applyAlignment="1" applyProtection="1">
      <alignment/>
      <protection/>
    </xf>
    <xf numFmtId="170" fontId="12" fillId="8" borderId="18" xfId="0" applyNumberFormat="1" applyFont="1" applyFill="1" applyBorder="1" applyAlignment="1">
      <alignment/>
    </xf>
    <xf numFmtId="170" fontId="12" fillId="4" borderId="10" xfId="0" applyNumberFormat="1" applyFont="1" applyFill="1" applyBorder="1" applyAlignment="1" applyProtection="1">
      <alignment/>
      <protection/>
    </xf>
    <xf numFmtId="0" fontId="12" fillId="2" borderId="0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170" fontId="12" fillId="3" borderId="19" xfId="0" applyNumberFormat="1" applyFont="1" applyFill="1" applyBorder="1" applyAlignment="1" applyProtection="1">
      <alignment horizontal="center" vertical="center"/>
      <protection/>
    </xf>
    <xf numFmtId="0" fontId="12" fillId="2" borderId="9" xfId="0" applyFont="1" applyFill="1" applyBorder="1" applyAlignment="1">
      <alignment horizontal="center"/>
    </xf>
    <xf numFmtId="0" fontId="12" fillId="2" borderId="19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170" fontId="12" fillId="3" borderId="9" xfId="0" applyNumberFormat="1" applyFont="1" applyFill="1" applyBorder="1" applyAlignment="1" applyProtection="1">
      <alignment horizontal="center" vertical="center"/>
      <protection/>
    </xf>
    <xf numFmtId="170" fontId="12" fillId="3" borderId="10" xfId="0" applyNumberFormat="1" applyFont="1" applyFill="1" applyBorder="1" applyAlignment="1" applyProtection="1">
      <alignment horizontal="center" vertical="center"/>
      <protection/>
    </xf>
    <xf numFmtId="43" fontId="12" fillId="0" borderId="0" xfId="0" applyNumberFormat="1" applyFont="1" applyAlignment="1">
      <alignment/>
    </xf>
    <xf numFmtId="43" fontId="12" fillId="0" borderId="15" xfId="16" applyNumberFormat="1" applyFont="1" applyFill="1" applyBorder="1" applyAlignment="1" applyProtection="1">
      <alignment horizontal="center"/>
      <protection/>
    </xf>
    <xf numFmtId="43" fontId="12" fillId="6" borderId="15" xfId="0" applyNumberFormat="1" applyFont="1" applyFill="1" applyBorder="1" applyAlignment="1" applyProtection="1">
      <alignment/>
      <protection/>
    </xf>
    <xf numFmtId="170" fontId="12" fillId="4" borderId="0" xfId="0" applyNumberFormat="1" applyFont="1" applyFill="1" applyBorder="1" applyAlignment="1" applyProtection="1">
      <alignment/>
      <protection/>
    </xf>
    <xf numFmtId="170" fontId="14" fillId="4" borderId="0" xfId="0" applyNumberFormat="1" applyFont="1" applyFill="1" applyBorder="1" applyAlignment="1" applyProtection="1">
      <alignment/>
      <protection/>
    </xf>
    <xf numFmtId="170" fontId="12" fillId="0" borderId="15" xfId="0" applyNumberFormat="1" applyFont="1" applyBorder="1" applyAlignment="1">
      <alignment/>
    </xf>
    <xf numFmtId="175" fontId="12" fillId="4" borderId="15" xfId="0" applyNumberFormat="1" applyFont="1" applyFill="1" applyBorder="1" applyAlignment="1" applyProtection="1">
      <alignment/>
      <protection/>
    </xf>
    <xf numFmtId="175" fontId="12" fillId="0" borderId="1" xfId="0" applyNumberFormat="1" applyFont="1" applyFill="1" applyBorder="1" applyAlignment="1" applyProtection="1">
      <alignment/>
      <protection/>
    </xf>
    <xf numFmtId="43" fontId="12" fillId="0" borderId="1" xfId="0" applyNumberFormat="1" applyFont="1" applyFill="1" applyBorder="1" applyAlignment="1" applyProtection="1">
      <alignment/>
      <protection/>
    </xf>
    <xf numFmtId="43" fontId="12" fillId="0" borderId="10" xfId="0" applyNumberFormat="1" applyFont="1" applyFill="1" applyBorder="1" applyAlignment="1" applyProtection="1">
      <alignment/>
      <protection/>
    </xf>
    <xf numFmtId="43" fontId="12" fillId="0" borderId="20" xfId="0" applyNumberFormat="1" applyFont="1" applyFill="1" applyBorder="1" applyAlignment="1" applyProtection="1">
      <alignment/>
      <protection/>
    </xf>
    <xf numFmtId="175" fontId="12" fillId="0" borderId="20" xfId="0" applyNumberFormat="1" applyFont="1" applyFill="1" applyBorder="1" applyAlignment="1" applyProtection="1">
      <alignment/>
      <protection/>
    </xf>
    <xf numFmtId="43" fontId="12" fillId="0" borderId="19" xfId="0" applyNumberFormat="1" applyFont="1" applyFill="1" applyBorder="1" applyAlignment="1" applyProtection="1">
      <alignment/>
      <protection/>
    </xf>
    <xf numFmtId="43" fontId="12" fillId="0" borderId="9" xfId="0" applyNumberFormat="1" applyFont="1" applyFill="1" applyBorder="1" applyAlignment="1" applyProtection="1">
      <alignment/>
      <protection/>
    </xf>
    <xf numFmtId="175" fontId="12" fillId="6" borderId="15" xfId="0" applyNumberFormat="1" applyFont="1" applyFill="1" applyBorder="1" applyAlignment="1" applyProtection="1">
      <alignment/>
      <protection/>
    </xf>
    <xf numFmtId="43" fontId="12" fillId="0" borderId="0" xfId="0" applyNumberFormat="1" applyFont="1" applyFill="1" applyBorder="1" applyAlignment="1" applyProtection="1">
      <alignment/>
      <protection/>
    </xf>
    <xf numFmtId="43" fontId="12" fillId="0" borderId="17" xfId="0" applyNumberFormat="1" applyFont="1" applyFill="1" applyBorder="1" applyAlignment="1" applyProtection="1">
      <alignment/>
      <protection/>
    </xf>
    <xf numFmtId="43" fontId="12" fillId="6" borderId="1" xfId="0" applyNumberFormat="1" applyFont="1" applyFill="1" applyBorder="1" applyAlignment="1" applyProtection="1">
      <alignment/>
      <protection/>
    </xf>
    <xf numFmtId="43" fontId="12" fillId="6" borderId="15" xfId="0" applyNumberFormat="1" applyFont="1" applyFill="1" applyBorder="1" applyAlignment="1">
      <alignment/>
    </xf>
    <xf numFmtId="175" fontId="12" fillId="0" borderId="21" xfId="0" applyNumberFormat="1" applyFont="1" applyFill="1" applyBorder="1" applyAlignment="1" applyProtection="1">
      <alignment/>
      <protection/>
    </xf>
    <xf numFmtId="175" fontId="12" fillId="0" borderId="15" xfId="0" applyNumberFormat="1" applyFont="1" applyBorder="1" applyAlignment="1">
      <alignment/>
    </xf>
    <xf numFmtId="43" fontId="12" fillId="0" borderId="5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43" fontId="12" fillId="6" borderId="15" xfId="0" applyNumberFormat="1" applyFont="1" applyFill="1" applyBorder="1" applyAlignment="1">
      <alignment horizontal="right"/>
    </xf>
    <xf numFmtId="43" fontId="12" fillId="6" borderId="1" xfId="0" applyNumberFormat="1" applyFont="1" applyFill="1" applyBorder="1" applyAlignment="1">
      <alignment horizontal="right"/>
    </xf>
    <xf numFmtId="175" fontId="12" fillId="6" borderId="15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10" fontId="13" fillId="0" borderId="0" xfId="16" applyNumberFormat="1" applyFont="1" applyFill="1" applyAlignment="1">
      <alignment/>
    </xf>
    <xf numFmtId="10" fontId="13" fillId="0" borderId="18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43" fontId="12" fillId="7" borderId="0" xfId="0" applyNumberFormat="1" applyFont="1" applyFill="1" applyAlignment="1">
      <alignment/>
    </xf>
    <xf numFmtId="176" fontId="12" fillId="6" borderId="0" xfId="0" applyNumberFormat="1" applyFont="1" applyFill="1" applyAlignment="1">
      <alignment/>
    </xf>
    <xf numFmtId="174" fontId="13" fillId="6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0" fontId="12" fillId="0" borderId="18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174" fontId="13" fillId="7" borderId="0" xfId="0" applyNumberFormat="1" applyFont="1" applyFill="1" applyAlignment="1">
      <alignment/>
    </xf>
    <xf numFmtId="174" fontId="12" fillId="7" borderId="0" xfId="0" applyNumberFormat="1" applyFont="1" applyFill="1" applyAlignment="1">
      <alignment/>
    </xf>
    <xf numFmtId="174" fontId="12" fillId="0" borderId="0" xfId="0" applyNumberFormat="1" applyFont="1" applyAlignment="1">
      <alignment/>
    </xf>
    <xf numFmtId="174" fontId="12" fillId="6" borderId="0" xfId="0" applyNumberFormat="1" applyFont="1" applyFill="1" applyAlignment="1">
      <alignment vertical="center"/>
    </xf>
    <xf numFmtId="43" fontId="13" fillId="0" borderId="0" xfId="0" applyNumberFormat="1" applyFont="1" applyAlignment="1">
      <alignment/>
    </xf>
    <xf numFmtId="176" fontId="12" fillId="0" borderId="0" xfId="16" applyNumberFormat="1" applyFont="1" applyAlignment="1">
      <alignment/>
    </xf>
    <xf numFmtId="176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7" borderId="0" xfId="0" applyFont="1" applyFill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5"/>
  <sheetViews>
    <sheetView tabSelected="1" zoomScaleSheetLayoutView="50" workbookViewId="0" topLeftCell="A1">
      <pane xSplit="3" ySplit="8" topLeftCell="T5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63" sqref="T63"/>
    </sheetView>
  </sheetViews>
  <sheetFormatPr defaultColWidth="9.140625" defaultRowHeight="12.75"/>
  <cols>
    <col min="1" max="1" width="5.28125" style="41" customWidth="1"/>
    <col min="2" max="2" width="6.8515625" style="41" customWidth="1"/>
    <col min="3" max="3" width="56.421875" style="41" customWidth="1"/>
    <col min="4" max="12" width="25.7109375" style="159" customWidth="1"/>
    <col min="13" max="14" width="25.7109375" style="159" hidden="1" customWidth="1"/>
    <col min="15" max="20" width="25.7109375" style="159" customWidth="1"/>
    <col min="21" max="21" width="13.8515625" style="41" hidden="1" customWidth="1"/>
    <col min="22" max="22" width="18.7109375" style="41" hidden="1" customWidth="1"/>
    <col min="23" max="23" width="16.8515625" style="41" hidden="1" customWidth="1"/>
    <col min="24" max="24" width="16.57421875" style="41" hidden="1" customWidth="1"/>
    <col min="25" max="25" width="12.00390625" style="41" customWidth="1"/>
    <col min="26" max="16384" width="9.140625" style="41" customWidth="1"/>
  </cols>
  <sheetData>
    <row r="1" spans="10:12" ht="23.25">
      <c r="J1" s="160"/>
      <c r="K1" s="161"/>
      <c r="L1" s="161"/>
    </row>
    <row r="2" spans="4:21" ht="20.25" customHeight="1">
      <c r="D2" s="162" t="s">
        <v>0</v>
      </c>
      <c r="E2" s="163" t="s">
        <v>0</v>
      </c>
      <c r="F2" s="163" t="s">
        <v>324</v>
      </c>
      <c r="G2" s="163"/>
      <c r="H2" s="164" t="s">
        <v>1</v>
      </c>
      <c r="I2" s="163" t="s">
        <v>2</v>
      </c>
      <c r="J2" s="165" t="s">
        <v>3</v>
      </c>
      <c r="K2" s="166" t="s">
        <v>228</v>
      </c>
      <c r="L2" s="166" t="s">
        <v>288</v>
      </c>
      <c r="M2" s="167" t="s">
        <v>4</v>
      </c>
      <c r="N2" s="163" t="s">
        <v>4</v>
      </c>
      <c r="O2" s="163" t="s">
        <v>1</v>
      </c>
      <c r="P2" s="163" t="s">
        <v>277</v>
      </c>
      <c r="Q2" s="163" t="s">
        <v>240</v>
      </c>
      <c r="R2" s="163"/>
      <c r="S2" s="163"/>
      <c r="T2" s="162" t="s">
        <v>6</v>
      </c>
      <c r="U2" s="44" t="s">
        <v>136</v>
      </c>
    </row>
    <row r="3" spans="4:22" ht="20.25" customHeight="1">
      <c r="D3" s="168" t="s">
        <v>7</v>
      </c>
      <c r="E3" s="169" t="s">
        <v>304</v>
      </c>
      <c r="F3" s="169" t="s">
        <v>325</v>
      </c>
      <c r="G3" s="169" t="s">
        <v>128</v>
      </c>
      <c r="H3" s="169" t="s">
        <v>8</v>
      </c>
      <c r="I3" s="169" t="s">
        <v>9</v>
      </c>
      <c r="J3" s="170" t="s">
        <v>279</v>
      </c>
      <c r="K3" s="170" t="s">
        <v>229</v>
      </c>
      <c r="L3" s="170" t="s">
        <v>137</v>
      </c>
      <c r="M3" s="170" t="s">
        <v>10</v>
      </c>
      <c r="N3" s="170" t="s">
        <v>11</v>
      </c>
      <c r="O3" s="170" t="s">
        <v>241</v>
      </c>
      <c r="P3" s="169" t="s">
        <v>244</v>
      </c>
      <c r="Q3" s="169" t="s">
        <v>242</v>
      </c>
      <c r="R3" s="169" t="s">
        <v>194</v>
      </c>
      <c r="S3" s="169" t="s">
        <v>298</v>
      </c>
      <c r="T3" s="168" t="s">
        <v>13</v>
      </c>
      <c r="U3" s="46" t="s">
        <v>137</v>
      </c>
      <c r="V3" s="47" t="s">
        <v>179</v>
      </c>
    </row>
    <row r="4" spans="4:21" ht="20.25" customHeight="1">
      <c r="D4" s="168" t="s">
        <v>15</v>
      </c>
      <c r="E4" s="169" t="s">
        <v>305</v>
      </c>
      <c r="F4" s="169"/>
      <c r="G4" s="169"/>
      <c r="H4" s="169" t="s">
        <v>16</v>
      </c>
      <c r="I4" s="170" t="s">
        <v>134</v>
      </c>
      <c r="J4" s="170" t="s">
        <v>135</v>
      </c>
      <c r="K4" s="169"/>
      <c r="L4" s="169" t="s">
        <v>289</v>
      </c>
      <c r="M4" s="171"/>
      <c r="N4" s="171"/>
      <c r="O4" s="169" t="s">
        <v>243</v>
      </c>
      <c r="P4" s="170"/>
      <c r="Q4" s="170"/>
      <c r="R4" s="170"/>
      <c r="S4" s="170"/>
      <c r="T4" s="168" t="s">
        <v>17</v>
      </c>
      <c r="U4" s="48" t="s">
        <v>138</v>
      </c>
    </row>
    <row r="5" spans="1:21" ht="20.25" customHeight="1">
      <c r="A5" s="49" t="s">
        <v>14</v>
      </c>
      <c r="B5" s="50" t="s">
        <v>18</v>
      </c>
      <c r="C5" s="5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  <c r="U5" s="52"/>
    </row>
    <row r="6" spans="1:22" ht="20.25" customHeight="1">
      <c r="A6" s="53" t="s">
        <v>19</v>
      </c>
      <c r="B6" s="54"/>
      <c r="C6" s="55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56"/>
      <c r="V6" s="57">
        <f>SUM(T7:T32)</f>
        <v>3198158.09</v>
      </c>
    </row>
    <row r="7" spans="1:22" ht="20.25" customHeight="1">
      <c r="A7" s="58" t="s">
        <v>20</v>
      </c>
      <c r="B7" s="54" t="s">
        <v>21</v>
      </c>
      <c r="C7" s="55"/>
      <c r="D7" s="174">
        <f>(119*36.15*365-256000)+(119*365*2.5)</f>
        <v>1422762.7499999998</v>
      </c>
      <c r="E7" s="174">
        <f>(50*36.15*365-14908.46)+(50*365*2.5)</f>
        <v>690454.04</v>
      </c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5">
        <f aca="true" t="shared" si="0" ref="T7:T14">SUM(D7:S7)</f>
        <v>2113216.79</v>
      </c>
      <c r="U7" s="59"/>
      <c r="V7" s="57"/>
    </row>
    <row r="8" spans="1:21" ht="20.25" customHeight="1">
      <c r="A8" s="58"/>
      <c r="B8" s="60" t="s">
        <v>217</v>
      </c>
      <c r="C8" s="42"/>
      <c r="D8" s="174"/>
      <c r="E8" s="174"/>
      <c r="F8" s="174"/>
      <c r="G8" s="174"/>
      <c r="H8" s="176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>
        <f t="shared" si="0"/>
        <v>0</v>
      </c>
      <c r="U8" s="59"/>
    </row>
    <row r="9" spans="1:21" ht="20.25" customHeight="1">
      <c r="A9" s="61" t="s">
        <v>22</v>
      </c>
      <c r="B9" s="62" t="s">
        <v>144</v>
      </c>
      <c r="C9" s="60"/>
      <c r="D9" s="174"/>
      <c r="E9" s="174"/>
      <c r="F9" s="174"/>
      <c r="G9" s="174"/>
      <c r="H9" s="174">
        <f>66507.44*2</f>
        <v>133014.88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5">
        <f t="shared" si="0"/>
        <v>133014.88</v>
      </c>
      <c r="U9" s="59"/>
    </row>
    <row r="10" spans="1:21" ht="20.25" customHeight="1">
      <c r="A10" s="58"/>
      <c r="B10" s="63" t="s">
        <v>145</v>
      </c>
      <c r="C10" s="60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5">
        <f t="shared" si="0"/>
        <v>0</v>
      </c>
      <c r="U10" s="59"/>
    </row>
    <row r="11" spans="1:21" ht="20.25" customHeight="1">
      <c r="A11" s="58"/>
      <c r="B11" s="63" t="s">
        <v>142</v>
      </c>
      <c r="C11" s="60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5">
        <f t="shared" si="0"/>
        <v>0</v>
      </c>
      <c r="U11" s="59"/>
    </row>
    <row r="12" spans="1:21" ht="20.25" customHeight="1">
      <c r="A12" s="58"/>
      <c r="B12" s="63" t="s">
        <v>166</v>
      </c>
      <c r="C12" s="60"/>
      <c r="D12" s="174"/>
      <c r="E12" s="174"/>
      <c r="F12" s="174"/>
      <c r="G12" s="174"/>
      <c r="H12" s="177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5">
        <f t="shared" si="0"/>
        <v>0</v>
      </c>
      <c r="U12" s="59"/>
    </row>
    <row r="13" spans="1:21" ht="20.25" customHeight="1">
      <c r="A13" s="58"/>
      <c r="B13" s="63" t="s">
        <v>143</v>
      </c>
      <c r="C13" s="60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5">
        <f t="shared" si="0"/>
        <v>0</v>
      </c>
      <c r="U13" s="59"/>
    </row>
    <row r="14" spans="1:21" ht="20.25" customHeight="1">
      <c r="A14" s="58"/>
      <c r="B14" s="60" t="s">
        <v>165</v>
      </c>
      <c r="C14" s="42"/>
      <c r="D14" s="174"/>
      <c r="E14" s="174"/>
      <c r="F14" s="174"/>
      <c r="G14" s="174"/>
      <c r="H14" s="176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5">
        <f t="shared" si="0"/>
        <v>0</v>
      </c>
      <c r="U14" s="59"/>
    </row>
    <row r="15" spans="1:21" ht="20.25" customHeight="1">
      <c r="A15" s="64" t="s">
        <v>193</v>
      </c>
      <c r="B15" s="65" t="s">
        <v>311</v>
      </c>
      <c r="C15" s="66"/>
      <c r="D15" s="175"/>
      <c r="E15" s="175"/>
      <c r="F15" s="175"/>
      <c r="G15" s="175"/>
      <c r="H15" s="175">
        <f>96910.92*2+50000</f>
        <v>243821.84</v>
      </c>
      <c r="I15" s="174"/>
      <c r="J15" s="174"/>
      <c r="K15" s="174"/>
      <c r="L15" s="174"/>
      <c r="M15" s="174"/>
      <c r="N15" s="174"/>
      <c r="O15" s="174"/>
      <c r="P15" s="178"/>
      <c r="Q15" s="174"/>
      <c r="R15" s="174"/>
      <c r="S15" s="174"/>
      <c r="T15" s="175">
        <f>SUM(H15:O15)</f>
        <v>243821.84</v>
      </c>
      <c r="U15" s="59"/>
    </row>
    <row r="16" spans="1:21" ht="20.25" customHeight="1">
      <c r="A16" s="58" t="s">
        <v>23</v>
      </c>
      <c r="B16" s="60" t="s">
        <v>146</v>
      </c>
      <c r="C16" s="42"/>
      <c r="D16" s="174"/>
      <c r="E16" s="174"/>
      <c r="F16" s="174"/>
      <c r="G16" s="174"/>
      <c r="H16" s="174"/>
      <c r="I16" s="174">
        <f>31734.5*2</f>
        <v>63469</v>
      </c>
      <c r="J16" s="174"/>
      <c r="K16" s="174"/>
      <c r="L16" s="174"/>
      <c r="M16" s="174"/>
      <c r="N16" s="174"/>
      <c r="O16" s="174"/>
      <c r="P16" s="175"/>
      <c r="Q16" s="174"/>
      <c r="R16" s="174"/>
      <c r="S16" s="174"/>
      <c r="T16" s="175">
        <f>SUM(D16:S16)</f>
        <v>63469</v>
      </c>
      <c r="U16" s="59"/>
    </row>
    <row r="17" spans="1:21" ht="20.25" customHeight="1">
      <c r="A17" s="58" t="s">
        <v>24</v>
      </c>
      <c r="B17" s="60" t="s">
        <v>239</v>
      </c>
      <c r="C17" s="42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174"/>
      <c r="R17" s="174"/>
      <c r="S17" s="174"/>
      <c r="T17" s="175">
        <f>SUM(D17:S17)</f>
        <v>0</v>
      </c>
      <c r="U17" s="59"/>
    </row>
    <row r="18" spans="1:21" ht="20.25" customHeight="1">
      <c r="A18" s="58" t="s">
        <v>25</v>
      </c>
      <c r="B18" s="60" t="s">
        <v>26</v>
      </c>
      <c r="C18" s="42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5">
        <f>5364*2</f>
        <v>10728</v>
      </c>
      <c r="P18" s="175"/>
      <c r="Q18" s="174"/>
      <c r="R18" s="174"/>
      <c r="S18" s="174"/>
      <c r="T18" s="175">
        <f>SUM(D18:S18)</f>
        <v>10728</v>
      </c>
      <c r="U18" s="59"/>
    </row>
    <row r="19" spans="1:21" ht="20.25" customHeight="1">
      <c r="A19" s="64" t="s">
        <v>193</v>
      </c>
      <c r="B19" s="60" t="s">
        <v>220</v>
      </c>
      <c r="C19" s="66"/>
      <c r="D19" s="175"/>
      <c r="E19" s="175"/>
      <c r="F19" s="175"/>
      <c r="G19" s="175"/>
      <c r="H19" s="175"/>
      <c r="I19" s="174"/>
      <c r="J19" s="174"/>
      <c r="K19" s="174"/>
      <c r="L19" s="174"/>
      <c r="M19" s="174"/>
      <c r="N19" s="174"/>
      <c r="O19" s="174"/>
      <c r="P19" s="178"/>
      <c r="Q19" s="174"/>
      <c r="R19" s="174"/>
      <c r="S19" s="174"/>
      <c r="T19" s="175">
        <f>SUM(H19:O19)</f>
        <v>0</v>
      </c>
      <c r="U19" s="59"/>
    </row>
    <row r="20" spans="1:21" ht="20.25" customHeight="1">
      <c r="A20" s="58"/>
      <c r="B20" s="60" t="s">
        <v>219</v>
      </c>
      <c r="C20" s="42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5"/>
      <c r="Q20" s="174"/>
      <c r="R20" s="174"/>
      <c r="S20" s="174"/>
      <c r="T20" s="175">
        <f aca="true" t="shared" si="1" ref="T20:T31">SUM(D20:S20)</f>
        <v>0</v>
      </c>
      <c r="U20" s="59"/>
    </row>
    <row r="21" spans="1:21" ht="20.25" customHeight="1">
      <c r="A21" s="58" t="s">
        <v>27</v>
      </c>
      <c r="B21" s="60" t="s">
        <v>238</v>
      </c>
      <c r="C21" s="42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>
        <f t="shared" si="1"/>
        <v>0</v>
      </c>
      <c r="U21" s="59"/>
    </row>
    <row r="22" spans="1:21" ht="20.25" customHeight="1">
      <c r="A22" s="58"/>
      <c r="B22" s="60" t="s">
        <v>287</v>
      </c>
      <c r="C22" s="42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>
        <f t="shared" si="1"/>
        <v>0</v>
      </c>
      <c r="U22" s="59"/>
    </row>
    <row r="23" spans="1:21" ht="20.25" customHeight="1">
      <c r="A23" s="58" t="s">
        <v>28</v>
      </c>
      <c r="B23" s="60" t="s">
        <v>29</v>
      </c>
      <c r="C23" s="42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6"/>
      <c r="Q23" s="174"/>
      <c r="R23" s="174"/>
      <c r="S23" s="174"/>
      <c r="T23" s="175">
        <f t="shared" si="1"/>
        <v>0</v>
      </c>
      <c r="U23" s="59"/>
    </row>
    <row r="24" spans="1:21" ht="20.25" customHeight="1">
      <c r="A24" s="58" t="s">
        <v>30</v>
      </c>
      <c r="B24" s="63" t="s">
        <v>31</v>
      </c>
      <c r="C24" s="60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>
        <f t="shared" si="1"/>
        <v>0</v>
      </c>
      <c r="U24" s="59"/>
    </row>
    <row r="25" spans="1:21" ht="20.25" customHeight="1">
      <c r="A25" s="64"/>
      <c r="B25" s="60" t="s">
        <v>159</v>
      </c>
      <c r="C25" s="42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>
        <f t="shared" si="1"/>
        <v>0</v>
      </c>
      <c r="U25" s="59"/>
    </row>
    <row r="26" spans="1:21" ht="20.25" customHeight="1">
      <c r="A26" s="58" t="s">
        <v>32</v>
      </c>
      <c r="B26" s="63" t="s">
        <v>323</v>
      </c>
      <c r="C26" s="60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5">
        <f t="shared" si="1"/>
        <v>0</v>
      </c>
      <c r="U26" s="59"/>
    </row>
    <row r="27" spans="1:21" ht="20.25" customHeight="1">
      <c r="A27" s="58" t="s">
        <v>141</v>
      </c>
      <c r="B27" s="63" t="s">
        <v>327</v>
      </c>
      <c r="C27" s="60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5">
        <f t="shared" si="1"/>
        <v>0</v>
      </c>
      <c r="U27" s="59"/>
    </row>
    <row r="28" spans="1:21" ht="20.25" customHeight="1">
      <c r="A28" s="58" t="s">
        <v>158</v>
      </c>
      <c r="B28" s="60" t="s">
        <v>290</v>
      </c>
      <c r="C28" s="42"/>
      <c r="D28" s="174"/>
      <c r="E28" s="174"/>
      <c r="F28" s="174"/>
      <c r="G28" s="174"/>
      <c r="H28" s="174"/>
      <c r="I28" s="174"/>
      <c r="J28" s="174"/>
      <c r="K28" s="174"/>
      <c r="L28" s="174">
        <f>7214.8*2</f>
        <v>14429.6</v>
      </c>
      <c r="M28" s="174"/>
      <c r="N28" s="174"/>
      <c r="O28" s="174"/>
      <c r="P28" s="174"/>
      <c r="Q28" s="174"/>
      <c r="R28" s="174"/>
      <c r="S28" s="174"/>
      <c r="T28" s="175">
        <f t="shared" si="1"/>
        <v>14429.6</v>
      </c>
      <c r="U28" s="59"/>
    </row>
    <row r="29" spans="1:21" ht="20.25" customHeight="1">
      <c r="A29" s="58" t="s">
        <v>233</v>
      </c>
      <c r="B29" s="60" t="s">
        <v>232</v>
      </c>
      <c r="C29" s="67"/>
      <c r="D29" s="174"/>
      <c r="E29" s="174"/>
      <c r="F29" s="174"/>
      <c r="G29" s="174"/>
      <c r="H29" s="174"/>
      <c r="I29" s="174"/>
      <c r="J29" s="174"/>
      <c r="K29" s="174">
        <f>19772.34*2</f>
        <v>39544.68</v>
      </c>
      <c r="L29" s="174"/>
      <c r="M29" s="174"/>
      <c r="N29" s="174"/>
      <c r="O29" s="174"/>
      <c r="P29" s="174"/>
      <c r="Q29" s="174"/>
      <c r="R29" s="174"/>
      <c r="S29" s="174"/>
      <c r="T29" s="175">
        <f t="shared" si="1"/>
        <v>39544.68</v>
      </c>
      <c r="U29" s="59"/>
    </row>
    <row r="30" spans="1:21" ht="20.25" customHeight="1">
      <c r="A30" s="58"/>
      <c r="B30" s="60" t="s">
        <v>236</v>
      </c>
      <c r="C30" s="67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5">
        <f t="shared" si="1"/>
        <v>0</v>
      </c>
      <c r="U30" s="59"/>
    </row>
    <row r="31" spans="1:22" ht="20.25" customHeight="1">
      <c r="A31" s="58" t="s">
        <v>234</v>
      </c>
      <c r="B31" s="60" t="s">
        <v>160</v>
      </c>
      <c r="C31" s="42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5">
        <f t="shared" si="1"/>
        <v>0</v>
      </c>
      <c r="U31" s="68"/>
      <c r="V31" s="57"/>
    </row>
    <row r="32" spans="1:22" ht="20.25" customHeight="1">
      <c r="A32" s="58" t="s">
        <v>328</v>
      </c>
      <c r="B32" s="60" t="s">
        <v>218</v>
      </c>
      <c r="C32" s="42"/>
      <c r="D32" s="175"/>
      <c r="E32" s="175"/>
      <c r="F32" s="175"/>
      <c r="G32" s="175">
        <f>(119*8.7*365)+(50*8.7*365)+(12*8.7*252)+(1950*8.7)</f>
        <v>579933.3</v>
      </c>
      <c r="H32" s="174"/>
      <c r="I32" s="174"/>
      <c r="J32" s="174"/>
      <c r="K32" s="174"/>
      <c r="L32" s="174"/>
      <c r="M32" s="174"/>
      <c r="N32" s="174"/>
      <c r="O32" s="174"/>
      <c r="P32" s="178"/>
      <c r="Q32" s="174"/>
      <c r="R32" s="174"/>
      <c r="S32" s="174"/>
      <c r="T32" s="175">
        <f>SUM(G32:S32)</f>
        <v>579933.3</v>
      </c>
      <c r="U32" s="59"/>
      <c r="V32" s="57"/>
    </row>
    <row r="33" spans="1:21" ht="20.25" customHeight="1">
      <c r="A33" s="69" t="s">
        <v>223</v>
      </c>
      <c r="B33" s="62"/>
      <c r="C33" s="60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5">
        <f>SUM(D33:S33)</f>
        <v>0</v>
      </c>
      <c r="U33" s="59"/>
    </row>
    <row r="34" spans="1:21" ht="20.25" customHeight="1">
      <c r="A34" s="69"/>
      <c r="B34" s="60" t="s">
        <v>221</v>
      </c>
      <c r="C34" s="42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5">
        <f>SUM(D34:S34)</f>
        <v>0</v>
      </c>
      <c r="U34" s="59"/>
    </row>
    <row r="35" spans="1:22" ht="20.25" customHeight="1">
      <c r="A35" s="69"/>
      <c r="B35" s="60" t="s">
        <v>222</v>
      </c>
      <c r="C35" s="42"/>
      <c r="D35" s="179"/>
      <c r="E35" s="179"/>
      <c r="F35" s="179"/>
      <c r="G35" s="179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80">
        <f>SUM(D35:S35)</f>
        <v>0</v>
      </c>
      <c r="U35" s="59"/>
      <c r="V35" s="70">
        <f>SUM(T34:T35)</f>
        <v>0</v>
      </c>
    </row>
    <row r="36" spans="1:21" ht="20.25" customHeight="1">
      <c r="A36" s="69" t="s">
        <v>151</v>
      </c>
      <c r="B36" s="62"/>
      <c r="C36" s="60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5">
        <f>SUM(D36:S36)</f>
        <v>0</v>
      </c>
      <c r="U36" s="59"/>
    </row>
    <row r="37" spans="1:21" ht="20.25" customHeight="1">
      <c r="A37" s="69" t="s">
        <v>152</v>
      </c>
      <c r="B37" s="62"/>
      <c r="C37" s="60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5">
        <f>SUM(D37:S37)</f>
        <v>0</v>
      </c>
      <c r="U37" s="59"/>
    </row>
    <row r="38" spans="1:22" ht="20.25" customHeight="1">
      <c r="A38" s="69" t="s">
        <v>33</v>
      </c>
      <c r="B38" s="62"/>
      <c r="C38" s="60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5"/>
      <c r="U38" s="59"/>
      <c r="V38" s="57">
        <f>SUM(T39:T55)</f>
        <v>3870739.42</v>
      </c>
    </row>
    <row r="39" spans="1:21" ht="20.25" customHeight="1">
      <c r="A39" s="61" t="s">
        <v>20</v>
      </c>
      <c r="B39" s="71" t="s">
        <v>34</v>
      </c>
      <c r="C39" s="72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5"/>
      <c r="U39" s="59"/>
    </row>
    <row r="40" spans="1:22" ht="20.25" customHeight="1">
      <c r="A40" s="58"/>
      <c r="B40" s="60" t="s">
        <v>265</v>
      </c>
      <c r="C40" s="42"/>
      <c r="D40" s="174">
        <v>256000</v>
      </c>
      <c r="E40" s="174">
        <f>7454.23*2</f>
        <v>14908.46</v>
      </c>
      <c r="F40" s="174"/>
      <c r="G40" s="174"/>
      <c r="H40" s="181">
        <f>47507.6*2</f>
        <v>95015.2</v>
      </c>
      <c r="I40" s="174">
        <f>11714.6*2</f>
        <v>23429.2</v>
      </c>
      <c r="J40" s="174">
        <f>3409*2+50000</f>
        <v>56818</v>
      </c>
      <c r="K40" s="174">
        <f>3409.09*2</f>
        <v>6818.18</v>
      </c>
      <c r="L40" s="174"/>
      <c r="M40" s="174"/>
      <c r="N40" s="174"/>
      <c r="O40" s="174"/>
      <c r="P40" s="174">
        <f>132500+113147.32</f>
        <v>245647.32</v>
      </c>
      <c r="Q40" s="177"/>
      <c r="R40" s="174"/>
      <c r="S40" s="174"/>
      <c r="T40" s="175">
        <f aca="true" t="shared" si="2" ref="T40:T45">SUM(D40:S40)</f>
        <v>698636.3600000001</v>
      </c>
      <c r="U40" s="59"/>
      <c r="V40" s="57"/>
    </row>
    <row r="41" spans="2:22" ht="20.25" customHeight="1">
      <c r="B41" s="60" t="s">
        <v>306</v>
      </c>
      <c r="C41" s="58"/>
      <c r="D41" s="174"/>
      <c r="E41" s="174"/>
      <c r="F41" s="174"/>
      <c r="G41" s="174"/>
      <c r="H41" s="176"/>
      <c r="I41" s="174"/>
      <c r="J41" s="174">
        <f>25822.84*2</f>
        <v>51645.68</v>
      </c>
      <c r="K41" s="174"/>
      <c r="L41" s="174"/>
      <c r="M41" s="174"/>
      <c r="N41" s="174"/>
      <c r="O41" s="174"/>
      <c r="P41" s="174"/>
      <c r="Q41" s="174">
        <v>72310</v>
      </c>
      <c r="R41" s="174">
        <v>252000</v>
      </c>
      <c r="S41" s="174"/>
      <c r="T41" s="175">
        <f t="shared" si="2"/>
        <v>375955.68</v>
      </c>
      <c r="U41" s="59"/>
      <c r="V41" s="57"/>
    </row>
    <row r="42" spans="1:21" ht="20.25" customHeight="1">
      <c r="A42" s="58"/>
      <c r="B42" s="60" t="s">
        <v>130</v>
      </c>
      <c r="C42" s="73"/>
      <c r="D42" s="174"/>
      <c r="E42" s="174"/>
      <c r="F42" s="174"/>
      <c r="G42" s="174"/>
      <c r="H42" s="174">
        <f>36937.61*2</f>
        <v>73875.22</v>
      </c>
      <c r="I42" s="174"/>
      <c r="J42" s="174"/>
      <c r="K42" s="174"/>
      <c r="L42" s="174"/>
      <c r="M42" s="174"/>
      <c r="N42" s="174"/>
      <c r="O42" s="174"/>
      <c r="P42" s="174">
        <f>29953.55+19856.59</f>
        <v>49810.14</v>
      </c>
      <c r="Q42" s="174"/>
      <c r="R42" s="174"/>
      <c r="S42" s="174"/>
      <c r="T42" s="175">
        <f t="shared" si="2"/>
        <v>123685.36</v>
      </c>
      <c r="U42" s="59"/>
    </row>
    <row r="43" spans="1:21" ht="20.25" customHeight="1">
      <c r="A43" s="58"/>
      <c r="B43" s="60" t="s">
        <v>131</v>
      </c>
      <c r="C43" s="42"/>
      <c r="D43" s="174">
        <f>119*37.5*365</f>
        <v>1628812.5</v>
      </c>
      <c r="E43" s="174">
        <f>50*37.5*365</f>
        <v>684375</v>
      </c>
      <c r="F43" s="174">
        <v>250000</v>
      </c>
      <c r="G43" s="174"/>
      <c r="H43" s="174"/>
      <c r="I43" s="174">
        <f>45137.26*2</f>
        <v>90274.52</v>
      </c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5">
        <f t="shared" si="2"/>
        <v>2653462.02</v>
      </c>
      <c r="U43" s="59"/>
    </row>
    <row r="44" spans="1:21" ht="20.25" customHeight="1">
      <c r="A44" s="58"/>
      <c r="B44" s="74" t="s">
        <v>300</v>
      </c>
      <c r="C44" s="75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5">
        <f t="shared" si="2"/>
        <v>0</v>
      </c>
      <c r="U44" s="59"/>
    </row>
    <row r="45" spans="1:21" s="80" customFormat="1" ht="20.25" customHeight="1">
      <c r="A45" s="76"/>
      <c r="B45" s="77" t="s">
        <v>140</v>
      </c>
      <c r="C45" s="78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>
        <v>12000</v>
      </c>
      <c r="Q45" s="174"/>
      <c r="R45" s="174">
        <v>7000</v>
      </c>
      <c r="S45" s="174"/>
      <c r="T45" s="175">
        <f t="shared" si="2"/>
        <v>19000</v>
      </c>
      <c r="U45" s="79"/>
    </row>
    <row r="46" spans="1:21" ht="20.25" customHeight="1">
      <c r="A46" s="61" t="s">
        <v>22</v>
      </c>
      <c r="B46" s="71" t="s">
        <v>35</v>
      </c>
      <c r="C46" s="72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5"/>
      <c r="U46" s="59"/>
    </row>
    <row r="47" spans="1:21" ht="20.25" customHeight="1">
      <c r="A47" s="64"/>
      <c r="B47" s="60" t="s">
        <v>159</v>
      </c>
      <c r="C47" s="42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5">
        <f aca="true" t="shared" si="3" ref="T47:T57">SUM(D47:S47)</f>
        <v>0</v>
      </c>
      <c r="U47" s="59"/>
    </row>
    <row r="48" spans="1:21" ht="20.25" customHeight="1">
      <c r="A48" s="58"/>
      <c r="B48" s="60" t="s">
        <v>273</v>
      </c>
      <c r="C48" s="42"/>
      <c r="D48" s="174"/>
      <c r="E48" s="174"/>
      <c r="F48" s="174"/>
      <c r="G48" s="175"/>
      <c r="H48" s="174"/>
      <c r="I48" s="174"/>
      <c r="J48" s="174"/>
      <c r="K48" s="174"/>
      <c r="L48" s="174"/>
      <c r="M48" s="174"/>
      <c r="N48" s="174"/>
      <c r="O48" s="174"/>
      <c r="P48" s="178"/>
      <c r="Q48" s="174"/>
      <c r="R48" s="174"/>
      <c r="S48" s="174"/>
      <c r="T48" s="175">
        <f t="shared" si="3"/>
        <v>0</v>
      </c>
      <c r="U48" s="59"/>
    </row>
    <row r="49" spans="1:21" ht="20.25" customHeight="1">
      <c r="A49" s="64"/>
      <c r="B49" s="60" t="s">
        <v>162</v>
      </c>
      <c r="C49" s="42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5">
        <f t="shared" si="3"/>
        <v>0</v>
      </c>
      <c r="U49" s="59"/>
    </row>
    <row r="50" spans="1:21" ht="20.25" customHeight="1">
      <c r="A50" s="64"/>
      <c r="B50" s="60" t="s">
        <v>163</v>
      </c>
      <c r="C50" s="42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5">
        <f t="shared" si="3"/>
        <v>0</v>
      </c>
      <c r="U50" s="59"/>
    </row>
    <row r="51" spans="1:21" ht="20.25" customHeight="1">
      <c r="A51" s="64"/>
      <c r="B51" s="60" t="s">
        <v>164</v>
      </c>
      <c r="C51" s="42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5">
        <f t="shared" si="3"/>
        <v>0</v>
      </c>
      <c r="U51" s="59"/>
    </row>
    <row r="52" spans="1:21" ht="20.25" customHeight="1">
      <c r="A52" s="64"/>
      <c r="B52" s="60" t="s">
        <v>119</v>
      </c>
      <c r="C52" s="42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5">
        <f t="shared" si="3"/>
        <v>0</v>
      </c>
      <c r="U52" s="59"/>
    </row>
    <row r="53" spans="1:21" ht="20.25" customHeight="1">
      <c r="A53" s="64"/>
      <c r="B53" s="60" t="s">
        <v>307</v>
      </c>
      <c r="C53" s="42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5">
        <f>SUM(D53:S53)</f>
        <v>0</v>
      </c>
      <c r="U53" s="59"/>
    </row>
    <row r="54" spans="1:21" ht="20.25" customHeight="1">
      <c r="A54" s="64"/>
      <c r="B54" s="60" t="s">
        <v>316</v>
      </c>
      <c r="C54" s="42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5">
        <f>SUM(D54:S54)</f>
        <v>0</v>
      </c>
      <c r="U54" s="59"/>
    </row>
    <row r="55" spans="1:21" ht="20.25" customHeight="1">
      <c r="A55" s="64"/>
      <c r="B55" s="60" t="s">
        <v>161</v>
      </c>
      <c r="C55" s="42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5">
        <f t="shared" si="3"/>
        <v>0</v>
      </c>
      <c r="U55" s="59"/>
    </row>
    <row r="56" spans="1:21" ht="20.25" customHeight="1">
      <c r="A56" s="64"/>
      <c r="B56" s="60" t="s">
        <v>245</v>
      </c>
      <c r="C56" s="42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5">
        <f t="shared" si="3"/>
        <v>0</v>
      </c>
      <c r="U56" s="59"/>
    </row>
    <row r="57" spans="1:21" ht="20.25" customHeight="1">
      <c r="A57" s="64"/>
      <c r="B57" s="60" t="s">
        <v>297</v>
      </c>
      <c r="C57" s="42"/>
      <c r="D57" s="174">
        <f>45282*2</f>
        <v>90564</v>
      </c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5">
        <f t="shared" si="3"/>
        <v>90564</v>
      </c>
      <c r="U57" s="59"/>
    </row>
    <row r="58" spans="1:21" ht="20.25" customHeight="1">
      <c r="A58" s="81"/>
      <c r="B58" s="75" t="s">
        <v>36</v>
      </c>
      <c r="C58" s="75"/>
      <c r="D58" s="182">
        <f aca="true" t="shared" si="4" ref="D58:R58">SUM(D7:D57)</f>
        <v>3398139.25</v>
      </c>
      <c r="E58" s="182">
        <f>SUM(E7:E57)</f>
        <v>1389737.5</v>
      </c>
      <c r="F58" s="182">
        <f>SUM(F7:F57)</f>
        <v>250000</v>
      </c>
      <c r="G58" s="182">
        <f t="shared" si="4"/>
        <v>579933.3</v>
      </c>
      <c r="H58" s="182">
        <f t="shared" si="4"/>
        <v>545727.14</v>
      </c>
      <c r="I58" s="182">
        <f t="shared" si="4"/>
        <v>177172.72</v>
      </c>
      <c r="J58" s="182">
        <f t="shared" si="4"/>
        <v>108463.68</v>
      </c>
      <c r="K58" s="182">
        <f t="shared" si="4"/>
        <v>46362.86</v>
      </c>
      <c r="L58" s="182">
        <f t="shared" si="4"/>
        <v>14429.6</v>
      </c>
      <c r="M58" s="182">
        <f t="shared" si="4"/>
        <v>0</v>
      </c>
      <c r="N58" s="182">
        <f t="shared" si="4"/>
        <v>0</v>
      </c>
      <c r="O58" s="182">
        <f t="shared" si="4"/>
        <v>10728</v>
      </c>
      <c r="P58" s="182">
        <f t="shared" si="4"/>
        <v>307457.46</v>
      </c>
      <c r="Q58" s="182">
        <f t="shared" si="4"/>
        <v>72310</v>
      </c>
      <c r="R58" s="182">
        <f t="shared" si="4"/>
        <v>259000</v>
      </c>
      <c r="S58" s="182">
        <f>SUM(S7:S57)</f>
        <v>0</v>
      </c>
      <c r="T58" s="174">
        <f>SUM(T7:T57)</f>
        <v>7159461.51</v>
      </c>
      <c r="U58" s="59"/>
    </row>
    <row r="59" spans="1:21" ht="20.25" customHeight="1">
      <c r="A59" s="82"/>
      <c r="B59" s="83"/>
      <c r="C59" s="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4"/>
      <c r="U59" s="84"/>
    </row>
    <row r="60" spans="1:21" ht="20.25" customHeight="1">
      <c r="A60" s="82"/>
      <c r="B60" s="83"/>
      <c r="C60" s="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4"/>
      <c r="U60" s="84"/>
    </row>
    <row r="61" spans="1:21" ht="20.25" customHeight="1">
      <c r="A61" s="82"/>
      <c r="B61" s="83"/>
      <c r="C61" s="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4"/>
      <c r="U61" s="84"/>
    </row>
    <row r="62" spans="1:21" ht="20.25" customHeight="1">
      <c r="A62" s="82"/>
      <c r="B62" s="83"/>
      <c r="C62" s="83"/>
      <c r="D62" s="162" t="s">
        <v>0</v>
      </c>
      <c r="E62" s="163" t="s">
        <v>0</v>
      </c>
      <c r="F62" s="163" t="s">
        <v>326</v>
      </c>
      <c r="G62" s="163"/>
      <c r="H62" s="164" t="s">
        <v>1</v>
      </c>
      <c r="I62" s="163" t="s">
        <v>2</v>
      </c>
      <c r="J62" s="166" t="s">
        <v>3</v>
      </c>
      <c r="K62" s="164" t="s">
        <v>228</v>
      </c>
      <c r="L62" s="164" t="s">
        <v>288</v>
      </c>
      <c r="M62" s="163" t="s">
        <v>4</v>
      </c>
      <c r="N62" s="163" t="s">
        <v>4</v>
      </c>
      <c r="O62" s="163" t="s">
        <v>1</v>
      </c>
      <c r="P62" s="163" t="s">
        <v>277</v>
      </c>
      <c r="Q62" s="163" t="s">
        <v>5</v>
      </c>
      <c r="R62" s="163"/>
      <c r="S62" s="163"/>
      <c r="T62" s="162" t="s">
        <v>6</v>
      </c>
      <c r="U62" s="45"/>
    </row>
    <row r="63" spans="1:21" ht="20.25" customHeight="1">
      <c r="A63" s="82"/>
      <c r="B63" s="83"/>
      <c r="C63" s="83"/>
      <c r="D63" s="168" t="s">
        <v>7</v>
      </c>
      <c r="E63" s="169" t="s">
        <v>304</v>
      </c>
      <c r="F63" s="169" t="s">
        <v>325</v>
      </c>
      <c r="G63" s="169" t="s">
        <v>128</v>
      </c>
      <c r="H63" s="169" t="s">
        <v>8</v>
      </c>
      <c r="I63" s="169" t="s">
        <v>9</v>
      </c>
      <c r="J63" s="170" t="s">
        <v>279</v>
      </c>
      <c r="K63" s="170" t="s">
        <v>229</v>
      </c>
      <c r="L63" s="170" t="s">
        <v>292</v>
      </c>
      <c r="M63" s="170" t="s">
        <v>10</v>
      </c>
      <c r="N63" s="170" t="s">
        <v>11</v>
      </c>
      <c r="O63" s="170" t="s">
        <v>12</v>
      </c>
      <c r="P63" s="169" t="s">
        <v>244</v>
      </c>
      <c r="Q63" s="169" t="s">
        <v>242</v>
      </c>
      <c r="R63" s="169" t="s">
        <v>194</v>
      </c>
      <c r="S63" s="169" t="s">
        <v>299</v>
      </c>
      <c r="T63" s="168" t="s">
        <v>13</v>
      </c>
      <c r="U63" s="85"/>
    </row>
    <row r="64" spans="1:21" ht="20.25" customHeight="1">
      <c r="A64" s="82"/>
      <c r="B64" s="83"/>
      <c r="C64" s="83"/>
      <c r="D64" s="168" t="s">
        <v>15</v>
      </c>
      <c r="E64" s="169" t="s">
        <v>305</v>
      </c>
      <c r="F64" s="169"/>
      <c r="G64" s="169"/>
      <c r="H64" s="169" t="s">
        <v>16</v>
      </c>
      <c r="I64" s="170" t="s">
        <v>134</v>
      </c>
      <c r="J64" s="170" t="s">
        <v>135</v>
      </c>
      <c r="K64" s="169"/>
      <c r="L64" s="169" t="s">
        <v>289</v>
      </c>
      <c r="M64" s="171"/>
      <c r="N64" s="171"/>
      <c r="O64" s="171"/>
      <c r="P64" s="170"/>
      <c r="Q64" s="170"/>
      <c r="R64" s="165"/>
      <c r="S64" s="170"/>
      <c r="T64" s="168" t="s">
        <v>17</v>
      </c>
      <c r="U64" s="86"/>
    </row>
    <row r="65" spans="1:21" ht="20.25" customHeight="1">
      <c r="A65" s="87" t="s">
        <v>37</v>
      </c>
      <c r="B65" s="88" t="s">
        <v>38</v>
      </c>
      <c r="C65" s="89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85"/>
      <c r="U65" s="43"/>
    </row>
    <row r="66" spans="1:24" ht="20.25" customHeight="1">
      <c r="A66" s="69" t="s">
        <v>39</v>
      </c>
      <c r="B66" s="71"/>
      <c r="C66" s="72"/>
      <c r="D66" s="186">
        <f aca="true" t="shared" si="5" ref="D66:S66">SUM(D67:D80)</f>
        <v>274602.65300000005</v>
      </c>
      <c r="E66" s="186">
        <f t="shared" si="5"/>
        <v>110737.89000000001</v>
      </c>
      <c r="F66" s="186">
        <f t="shared" si="5"/>
        <v>12000</v>
      </c>
      <c r="G66" s="186">
        <f t="shared" si="5"/>
        <v>248005.5198</v>
      </c>
      <c r="H66" s="186">
        <f t="shared" si="5"/>
        <v>28116.3952</v>
      </c>
      <c r="I66" s="186">
        <f t="shared" si="5"/>
        <v>6666.572</v>
      </c>
      <c r="J66" s="186">
        <f t="shared" si="5"/>
        <v>12796.8642</v>
      </c>
      <c r="K66" s="186">
        <f t="shared" si="5"/>
        <v>11330</v>
      </c>
      <c r="L66" s="186">
        <f t="shared" si="5"/>
        <v>2204.2</v>
      </c>
      <c r="M66" s="186">
        <f t="shared" si="5"/>
        <v>0</v>
      </c>
      <c r="N66" s="186">
        <f t="shared" si="5"/>
        <v>0</v>
      </c>
      <c r="O66" s="186">
        <f t="shared" si="5"/>
        <v>5459</v>
      </c>
      <c r="P66" s="186">
        <f t="shared" si="5"/>
        <v>9527.5</v>
      </c>
      <c r="Q66" s="186">
        <f t="shared" si="5"/>
        <v>1236</v>
      </c>
      <c r="R66" s="186">
        <f t="shared" si="5"/>
        <v>0</v>
      </c>
      <c r="S66" s="186">
        <f t="shared" si="5"/>
        <v>11828.6024</v>
      </c>
      <c r="T66" s="174">
        <f>SUM(D66:S66)</f>
        <v>734511.1966</v>
      </c>
      <c r="U66" s="90">
        <f>SUM(D66:T66)</f>
        <v>1469022.3932</v>
      </c>
      <c r="V66" s="91">
        <f>SUM(T67:T84)</f>
        <v>734511.1966000001</v>
      </c>
      <c r="W66" s="92">
        <v>2215000000</v>
      </c>
      <c r="X66" s="57">
        <f>V66-W66</f>
        <v>-2214265488.8034</v>
      </c>
    </row>
    <row r="67" spans="1:22" ht="20.25" customHeight="1">
      <c r="A67" s="64"/>
      <c r="B67" s="60" t="s">
        <v>246</v>
      </c>
      <c r="C67" s="42"/>
      <c r="D67" s="177">
        <f>(1588.72*2)+(3177.44*3/100)</f>
        <v>3272.7632</v>
      </c>
      <c r="E67" s="177">
        <f>(800*2)+(1600*3/100)</f>
        <v>1648</v>
      </c>
      <c r="F67" s="177"/>
      <c r="G67" s="174">
        <v>225767.14</v>
      </c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87">
        <f>SUM(D67:S67)</f>
        <v>230687.9032</v>
      </c>
      <c r="U67" s="93"/>
      <c r="V67" s="57"/>
    </row>
    <row r="68" spans="1:22" ht="20.25" customHeight="1">
      <c r="A68" s="64"/>
      <c r="B68" s="60" t="s">
        <v>40</v>
      </c>
      <c r="C68" s="42"/>
      <c r="D68" s="174">
        <f>(20945.01*2)+(41890.02*3/100)</f>
        <v>43146.72059999999</v>
      </c>
      <c r="E68" s="174">
        <f>(4357.7*2)+(8715.4*3/100)</f>
        <v>8976.862</v>
      </c>
      <c r="F68" s="174"/>
      <c r="G68" s="174"/>
      <c r="H68" s="174">
        <f>(410.78*2)+(821.56*3/100)+15600</f>
        <v>16446.2068</v>
      </c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87">
        <f>SUM(D68:S68)</f>
        <v>68569.7894</v>
      </c>
      <c r="U68" s="93"/>
      <c r="V68" s="57"/>
    </row>
    <row r="69" spans="1:22" ht="20.25" customHeight="1">
      <c r="A69" s="64"/>
      <c r="B69" s="60" t="s">
        <v>121</v>
      </c>
      <c r="C69" s="42"/>
      <c r="D69" s="174">
        <f>(19.96*2)+(39.92*3/100)</f>
        <v>41.1176</v>
      </c>
      <c r="E69" s="174"/>
      <c r="F69" s="174"/>
      <c r="G69" s="174"/>
      <c r="H69" s="174"/>
      <c r="I69" s="174">
        <f>(943.64*2)+(1887.28*3/100)</f>
        <v>1943.8984</v>
      </c>
      <c r="J69" s="174"/>
      <c r="K69" s="174"/>
      <c r="L69" s="174"/>
      <c r="M69" s="174"/>
      <c r="N69" s="174"/>
      <c r="O69" s="174"/>
      <c r="P69" s="174">
        <f>(300*2)+(600*3/100)</f>
        <v>618</v>
      </c>
      <c r="Q69" s="174"/>
      <c r="R69" s="174"/>
      <c r="S69" s="174"/>
      <c r="T69" s="187">
        <f aca="true" t="shared" si="6" ref="T69:T112">SUM(D69:S69)</f>
        <v>2603.016</v>
      </c>
      <c r="U69" s="93"/>
      <c r="V69" s="57"/>
    </row>
    <row r="70" spans="1:22" ht="20.25" customHeight="1">
      <c r="A70" s="64"/>
      <c r="B70" s="60" t="s">
        <v>122</v>
      </c>
      <c r="C70" s="42"/>
      <c r="D70" s="174">
        <f>(32103.61*2)+(64207.22*3/100)</f>
        <v>66133.4366</v>
      </c>
      <c r="E70" s="174">
        <f>(15838.34*2)+(31676.68*3/100)</f>
        <v>32626.9804</v>
      </c>
      <c r="F70" s="174"/>
      <c r="G70" s="174"/>
      <c r="H70" s="174"/>
      <c r="I70" s="174"/>
      <c r="J70" s="174">
        <f>(400*2)+(800*3/100)</f>
        <v>824</v>
      </c>
      <c r="K70" s="174">
        <f>(250*2)+(500*3/100)</f>
        <v>515</v>
      </c>
      <c r="L70" s="174"/>
      <c r="M70" s="174"/>
      <c r="N70" s="174"/>
      <c r="O70" s="174"/>
      <c r="P70" s="174"/>
      <c r="Q70" s="174"/>
      <c r="R70" s="174"/>
      <c r="S70" s="174"/>
      <c r="T70" s="187">
        <f t="shared" si="6"/>
        <v>100099.417</v>
      </c>
      <c r="U70" s="93"/>
      <c r="V70" s="57"/>
    </row>
    <row r="71" spans="1:22" ht="20.25" customHeight="1">
      <c r="A71" s="64"/>
      <c r="B71" s="60" t="s">
        <v>266</v>
      </c>
      <c r="C71" s="42"/>
      <c r="D71" s="174">
        <f>(27252.35*2)+(54504.7*3/100)-15000</f>
        <v>41139.841</v>
      </c>
      <c r="E71" s="174">
        <f>(6738.03*2)+(13476.06*3/100)</f>
        <v>13880.3418</v>
      </c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87">
        <f t="shared" si="6"/>
        <v>55020.1828</v>
      </c>
      <c r="U71" s="93"/>
      <c r="V71" s="57"/>
    </row>
    <row r="72" spans="1:22" ht="20.25" customHeight="1">
      <c r="A72" s="64"/>
      <c r="B72" s="60" t="s">
        <v>123</v>
      </c>
      <c r="C72" s="42"/>
      <c r="D72" s="174">
        <f>(14558.66*2)+(29117.32*3/100)-20000</f>
        <v>9990.8396</v>
      </c>
      <c r="E72" s="174">
        <f>(3972.33*2)+(7944.66*3/100)</f>
        <v>8182.9998</v>
      </c>
      <c r="F72" s="174"/>
      <c r="G72" s="174">
        <f>(2000*2)+(4000*3/100)</f>
        <v>4120</v>
      </c>
      <c r="H72" s="174">
        <f>(183.8*2)+(367.6*3/100)</f>
        <v>378.62800000000004</v>
      </c>
      <c r="I72" s="174">
        <f>(87.8*2)+(175.6*3/100)</f>
        <v>180.868</v>
      </c>
      <c r="J72" s="174">
        <f>(500*2)+(1000*3/100)</f>
        <v>1030</v>
      </c>
      <c r="K72" s="174">
        <f>(370*2)+(740*3/100)</f>
        <v>762.2</v>
      </c>
      <c r="L72" s="174">
        <f>(450*2)+(900*3/100)</f>
        <v>927</v>
      </c>
      <c r="M72" s="174"/>
      <c r="N72" s="174"/>
      <c r="O72" s="174">
        <f>(200*2)+(400*3/100)</f>
        <v>412</v>
      </c>
      <c r="P72" s="174">
        <f>(500*2)+(1000*3/100)</f>
        <v>1030</v>
      </c>
      <c r="Q72" s="174">
        <f>(320*2)+(640*3/100)</f>
        <v>659.2</v>
      </c>
      <c r="R72" s="174"/>
      <c r="S72" s="174"/>
      <c r="T72" s="187">
        <f t="shared" si="6"/>
        <v>27673.735399999998</v>
      </c>
      <c r="U72" s="93"/>
      <c r="V72" s="57"/>
    </row>
    <row r="73" spans="1:22" ht="20.25" customHeight="1">
      <c r="A73" s="64"/>
      <c r="B73" s="60" t="s">
        <v>41</v>
      </c>
      <c r="C73" s="42"/>
      <c r="D73" s="174">
        <f>(7146.83*2)+(14293.66*3/100)</f>
        <v>14722.469799999999</v>
      </c>
      <c r="E73" s="174">
        <f>(2500*2)+(5000*3/100)</f>
        <v>5150</v>
      </c>
      <c r="F73" s="174"/>
      <c r="G73" s="174">
        <f>(3000*2)+(6000*3/100)</f>
        <v>6180</v>
      </c>
      <c r="H73" s="174"/>
      <c r="I73" s="174">
        <f>(500*2)+(1000*3/100)</f>
        <v>1030</v>
      </c>
      <c r="J73" s="174">
        <f>(300*2)+(600*3/100)</f>
        <v>618</v>
      </c>
      <c r="K73" s="174">
        <f>(430*2)+(860*3/100)</f>
        <v>885.8</v>
      </c>
      <c r="L73" s="174">
        <f>(320*2)+(640*3/100)</f>
        <v>659.2</v>
      </c>
      <c r="M73" s="174"/>
      <c r="N73" s="174"/>
      <c r="O73" s="174"/>
      <c r="P73" s="174"/>
      <c r="Q73" s="174"/>
      <c r="R73" s="174"/>
      <c r="S73" s="174"/>
      <c r="T73" s="187">
        <f t="shared" si="6"/>
        <v>29245.4698</v>
      </c>
      <c r="U73" s="93"/>
      <c r="V73" s="57"/>
    </row>
    <row r="74" spans="1:22" ht="20.25" customHeight="1">
      <c r="A74" s="64"/>
      <c r="B74" s="60" t="s">
        <v>42</v>
      </c>
      <c r="C74" s="42"/>
      <c r="D74" s="174">
        <f>(201.79*2)+(403.58*3/100)</f>
        <v>415.68739999999997</v>
      </c>
      <c r="E74" s="174">
        <f>(337.39*2)+(674.78*3/100)</f>
        <v>695.0233999999999</v>
      </c>
      <c r="F74" s="174"/>
      <c r="G74" s="174"/>
      <c r="H74" s="174">
        <f>(100*2)+(200*3/100)</f>
        <v>206</v>
      </c>
      <c r="I74" s="174">
        <f>(250*2)+(500*3/100)</f>
        <v>515</v>
      </c>
      <c r="J74" s="174">
        <f>(200*2)+(400*3/100)</f>
        <v>412</v>
      </c>
      <c r="K74" s="174">
        <f>(150*2)+(300*3/100)</f>
        <v>309</v>
      </c>
      <c r="L74" s="174"/>
      <c r="M74" s="174"/>
      <c r="N74" s="174"/>
      <c r="O74" s="174">
        <f>(450*2)+(900*3/100)</f>
        <v>927</v>
      </c>
      <c r="P74" s="174"/>
      <c r="Q74" s="174">
        <f>(280*2)+(560*3/100)</f>
        <v>576.8</v>
      </c>
      <c r="R74" s="174"/>
      <c r="S74" s="174">
        <f>(2924.98*2)+(5849.96*3/100)</f>
        <v>6025.4588</v>
      </c>
      <c r="T74" s="187">
        <f t="shared" si="6"/>
        <v>10081.9696</v>
      </c>
      <c r="U74" s="93"/>
      <c r="V74" s="57"/>
    </row>
    <row r="75" spans="1:22" ht="20.25" customHeight="1">
      <c r="A75" s="64"/>
      <c r="B75" s="60" t="s">
        <v>43</v>
      </c>
      <c r="C75" s="42"/>
      <c r="D75" s="175"/>
      <c r="E75" s="175"/>
      <c r="F75" s="175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87">
        <f t="shared" si="6"/>
        <v>0</v>
      </c>
      <c r="U75" s="93"/>
      <c r="V75" s="57"/>
    </row>
    <row r="76" spans="1:22" ht="20.25" customHeight="1">
      <c r="A76" s="64"/>
      <c r="B76" s="60" t="s">
        <v>45</v>
      </c>
      <c r="C76" s="42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87">
        <f t="shared" si="6"/>
        <v>0</v>
      </c>
      <c r="U76" s="93"/>
      <c r="V76" s="57"/>
    </row>
    <row r="77" spans="1:22" ht="20.25" customHeight="1">
      <c r="A77" s="64"/>
      <c r="B77" s="60" t="s">
        <v>167</v>
      </c>
      <c r="C77" s="42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87">
        <f t="shared" si="6"/>
        <v>0</v>
      </c>
      <c r="U77" s="93"/>
      <c r="V77" s="57"/>
    </row>
    <row r="78" spans="1:22" ht="20.25" customHeight="1">
      <c r="A78" s="64"/>
      <c r="B78" s="60" t="s">
        <v>271</v>
      </c>
      <c r="C78" s="42"/>
      <c r="D78" s="175">
        <f>(741.9*2)+(1483.8*3/100)</f>
        <v>1528.3139999999999</v>
      </c>
      <c r="E78" s="175">
        <f>(1000.13*2)+(2000.26*3/100)</f>
        <v>2060.2678</v>
      </c>
      <c r="F78" s="175"/>
      <c r="G78" s="174">
        <f>(1000*2)+(2000*3/100)</f>
        <v>2060</v>
      </c>
      <c r="H78" s="174"/>
      <c r="I78" s="174"/>
      <c r="J78" s="174">
        <f>(350*2)+(700*3/100)</f>
        <v>721</v>
      </c>
      <c r="K78" s="174">
        <f>(200*2)+(400*3/100)</f>
        <v>412</v>
      </c>
      <c r="L78" s="174">
        <f>(300*2)+(600*3/100)</f>
        <v>618</v>
      </c>
      <c r="M78" s="174"/>
      <c r="N78" s="174"/>
      <c r="O78" s="174"/>
      <c r="P78" s="174"/>
      <c r="Q78" s="174"/>
      <c r="R78" s="174"/>
      <c r="S78" s="174"/>
      <c r="T78" s="187">
        <f t="shared" si="6"/>
        <v>7399.5818</v>
      </c>
      <c r="U78" s="93"/>
      <c r="V78" s="57"/>
    </row>
    <row r="79" spans="1:22" s="80" customFormat="1" ht="20.25" customHeight="1">
      <c r="A79" s="94"/>
      <c r="B79" s="95" t="s">
        <v>44</v>
      </c>
      <c r="C79" s="78"/>
      <c r="D79" s="174">
        <f>(97.28*2)+(194.56*3/100)</f>
        <v>200.3968</v>
      </c>
      <c r="E79" s="174"/>
      <c r="F79" s="174"/>
      <c r="G79" s="174"/>
      <c r="H79" s="174">
        <f>(4381.34*2)+(8762.68*3/100)</f>
        <v>9025.5604</v>
      </c>
      <c r="I79" s="174"/>
      <c r="J79" s="174"/>
      <c r="K79" s="174"/>
      <c r="L79" s="174"/>
      <c r="M79" s="174"/>
      <c r="N79" s="174"/>
      <c r="O79" s="174">
        <f>(2000*2)+(4000*3/100)</f>
        <v>4120</v>
      </c>
      <c r="P79" s="174"/>
      <c r="Q79" s="174"/>
      <c r="R79" s="174"/>
      <c r="S79" s="174">
        <f>(823.49*2)+(1646.98*3/100)</f>
        <v>1696.3894</v>
      </c>
      <c r="T79" s="187">
        <f t="shared" si="6"/>
        <v>15042.3466</v>
      </c>
      <c r="U79" s="96"/>
      <c r="V79" s="84"/>
    </row>
    <row r="80" spans="1:22" ht="20.25" customHeight="1">
      <c r="A80" s="64"/>
      <c r="B80" s="60" t="s">
        <v>46</v>
      </c>
      <c r="C80" s="42"/>
      <c r="D80" s="174">
        <f>(45636.44*2)+(91272.88*3/100)</f>
        <v>94011.06640000001</v>
      </c>
      <c r="E80" s="174">
        <f>(24037.58*2)+(48075.16*3/100)-12000</f>
        <v>37517.414800000006</v>
      </c>
      <c r="F80" s="174">
        <v>12000</v>
      </c>
      <c r="G80" s="174">
        <f>(4795.33*2)+(9590.66*3/100)</f>
        <v>9878.3798</v>
      </c>
      <c r="H80" s="174">
        <f>(1000*2)+(2000*3/100)</f>
        <v>2060</v>
      </c>
      <c r="I80" s="174">
        <f>(1454.76*2)+(2909.52*3/100)</f>
        <v>2996.8056</v>
      </c>
      <c r="J80" s="174">
        <f>(4462.07*2)+(8924.14*3/100)</f>
        <v>9191.8642</v>
      </c>
      <c r="K80" s="174">
        <f>(4100*2)+(8200*3/100)</f>
        <v>8446</v>
      </c>
      <c r="L80" s="174"/>
      <c r="M80" s="174"/>
      <c r="N80" s="174"/>
      <c r="O80" s="174"/>
      <c r="P80" s="174">
        <f>(3825*2)+(7650*3/100)</f>
        <v>7879.5</v>
      </c>
      <c r="Q80" s="174"/>
      <c r="R80" s="174"/>
      <c r="S80" s="174">
        <f>(1993.57*2)+(3987.14*3/100)</f>
        <v>4106.7542</v>
      </c>
      <c r="T80" s="187">
        <f>SUM(D80:S80)</f>
        <v>188087.785</v>
      </c>
      <c r="U80" s="93"/>
      <c r="V80" s="57"/>
    </row>
    <row r="81" spans="1:22" ht="20.25" customHeight="1">
      <c r="A81" s="64"/>
      <c r="B81" s="55"/>
      <c r="C81" s="43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87"/>
      <c r="U81" s="93"/>
      <c r="V81" s="57"/>
    </row>
    <row r="82" spans="1:22" s="99" customFormat="1" ht="20.25" customHeight="1">
      <c r="A82" s="97"/>
      <c r="B82" s="98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93"/>
      <c r="V82" s="100"/>
    </row>
    <row r="83" spans="1:22" s="43" customFormat="1" ht="20.25" customHeight="1" hidden="1">
      <c r="A83" s="64"/>
      <c r="B83" s="55" t="s">
        <v>286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87">
        <f>SUM(D83:S83)</f>
        <v>0</v>
      </c>
      <c r="U83" s="93"/>
      <c r="V83" s="57"/>
    </row>
    <row r="84" spans="1:22" s="43" customFormat="1" ht="20.25" customHeight="1" hidden="1">
      <c r="A84" s="64"/>
      <c r="B84" s="55" t="s">
        <v>247</v>
      </c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87">
        <f>SUM(D84:S84)</f>
        <v>0</v>
      </c>
      <c r="U84" s="93"/>
      <c r="V84" s="57"/>
    </row>
    <row r="85" spans="1:22" s="43" customFormat="1" ht="20.25" customHeight="1">
      <c r="A85" s="64"/>
      <c r="B85" s="55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87"/>
      <c r="U85" s="93"/>
      <c r="V85" s="57"/>
    </row>
    <row r="86" spans="1:24" ht="20.25" customHeight="1">
      <c r="A86" s="69" t="s">
        <v>47</v>
      </c>
      <c r="B86" s="71"/>
      <c r="C86" s="72"/>
      <c r="D86" s="174">
        <f aca="true" t="shared" si="7" ref="D86:S86">SUM(D87:D143)</f>
        <v>1665109.7199000001</v>
      </c>
      <c r="E86" s="174">
        <f>SUM(E87:E143)</f>
        <v>918885.3300000001</v>
      </c>
      <c r="F86" s="174">
        <f>SUM(F87:F143)</f>
        <v>84985.93</v>
      </c>
      <c r="G86" s="174">
        <f t="shared" si="7"/>
        <v>48275.13</v>
      </c>
      <c r="H86" s="174">
        <f t="shared" si="7"/>
        <v>345658.69999999995</v>
      </c>
      <c r="I86" s="174">
        <f t="shared" si="7"/>
        <v>51929.03999999999</v>
      </c>
      <c r="J86" s="174">
        <f t="shared" si="7"/>
        <v>87769.91</v>
      </c>
      <c r="K86" s="174">
        <f t="shared" si="7"/>
        <v>20791.710000000003</v>
      </c>
      <c r="L86" s="174">
        <f t="shared" si="7"/>
        <v>2983.3999999999996</v>
      </c>
      <c r="M86" s="174">
        <f t="shared" si="7"/>
        <v>0</v>
      </c>
      <c r="N86" s="174">
        <f t="shared" si="7"/>
        <v>0</v>
      </c>
      <c r="O86" s="174">
        <f t="shared" si="7"/>
        <v>8564.45</v>
      </c>
      <c r="P86" s="174">
        <f t="shared" si="7"/>
        <v>241780.14000000004</v>
      </c>
      <c r="Q86" s="174">
        <f t="shared" si="7"/>
        <v>72817.76</v>
      </c>
      <c r="R86" s="174">
        <f t="shared" si="7"/>
        <v>236009.86</v>
      </c>
      <c r="S86" s="174">
        <f t="shared" si="7"/>
        <v>219390.66</v>
      </c>
      <c r="T86" s="175">
        <f>SUM(D86:S86)</f>
        <v>4004951.7399</v>
      </c>
      <c r="U86" s="93"/>
      <c r="V86" s="91">
        <f>SUM(T87:T147)</f>
        <v>4105103.1399</v>
      </c>
      <c r="W86" s="92">
        <v>1705651704</v>
      </c>
      <c r="X86" s="57">
        <f>V86-W86</f>
        <v>-1701546600.8601</v>
      </c>
    </row>
    <row r="87" spans="1:22" ht="20.25" customHeight="1">
      <c r="A87" s="64"/>
      <c r="B87" s="60" t="s">
        <v>267</v>
      </c>
      <c r="C87" s="42"/>
      <c r="D87" s="174">
        <v>1875.94</v>
      </c>
      <c r="E87" s="174">
        <v>1030</v>
      </c>
      <c r="F87" s="174"/>
      <c r="G87" s="174"/>
      <c r="H87" s="177">
        <v>20093.24</v>
      </c>
      <c r="I87" s="175"/>
      <c r="J87" s="174"/>
      <c r="K87" s="174"/>
      <c r="L87" s="174"/>
      <c r="M87" s="174"/>
      <c r="N87" s="174"/>
      <c r="O87" s="188"/>
      <c r="P87" s="174"/>
      <c r="Q87" s="174"/>
      <c r="R87" s="174"/>
      <c r="S87" s="174"/>
      <c r="T87" s="187">
        <f t="shared" si="6"/>
        <v>22999.18</v>
      </c>
      <c r="U87" s="93"/>
      <c r="V87" s="57"/>
    </row>
    <row r="88" spans="1:22" ht="20.25" customHeight="1">
      <c r="A88" s="64"/>
      <c r="B88" s="60" t="s">
        <v>48</v>
      </c>
      <c r="C88" s="42"/>
      <c r="D88" s="174">
        <f>57509.68-20000</f>
        <v>37509.68</v>
      </c>
      <c r="E88" s="174">
        <v>20628.57</v>
      </c>
      <c r="F88" s="174"/>
      <c r="G88" s="174">
        <v>10567.51</v>
      </c>
      <c r="H88" s="174">
        <v>1500</v>
      </c>
      <c r="I88" s="174">
        <v>3090</v>
      </c>
      <c r="J88" s="174">
        <v>2896.36</v>
      </c>
      <c r="K88" s="174">
        <v>2369</v>
      </c>
      <c r="L88" s="174">
        <v>1174.2</v>
      </c>
      <c r="M88" s="174"/>
      <c r="N88" s="174"/>
      <c r="O88" s="174"/>
      <c r="P88" s="174">
        <v>927</v>
      </c>
      <c r="Q88" s="174"/>
      <c r="R88" s="174">
        <v>3048.06</v>
      </c>
      <c r="S88" s="174">
        <v>9287.14</v>
      </c>
      <c r="T88" s="187">
        <f>SUM(D88:S88)</f>
        <v>92997.51999999999</v>
      </c>
      <c r="U88" s="93"/>
      <c r="V88" s="57"/>
    </row>
    <row r="89" spans="1:22" ht="20.25" customHeight="1">
      <c r="A89" s="64"/>
      <c r="B89" s="60" t="s">
        <v>49</v>
      </c>
      <c r="C89" s="42"/>
      <c r="D89" s="174">
        <v>20645.53</v>
      </c>
      <c r="E89" s="174">
        <v>6379.7</v>
      </c>
      <c r="F89" s="174"/>
      <c r="G89" s="174">
        <v>4884.61</v>
      </c>
      <c r="H89" s="174">
        <v>412</v>
      </c>
      <c r="I89" s="174">
        <v>2678</v>
      </c>
      <c r="J89" s="174">
        <f>927+2000</f>
        <v>2927</v>
      </c>
      <c r="K89" s="174">
        <v>1153.6</v>
      </c>
      <c r="L89" s="174">
        <f>2575-2000</f>
        <v>575</v>
      </c>
      <c r="M89" s="174"/>
      <c r="N89" s="174"/>
      <c r="O89" s="174"/>
      <c r="P89" s="174"/>
      <c r="Q89" s="174"/>
      <c r="R89" s="174">
        <v>2487.04</v>
      </c>
      <c r="S89" s="174">
        <v>875.5</v>
      </c>
      <c r="T89" s="187">
        <f t="shared" si="6"/>
        <v>43017.979999999996</v>
      </c>
      <c r="U89" s="93"/>
      <c r="V89" s="57"/>
    </row>
    <row r="90" spans="1:24" ht="20.25" customHeight="1">
      <c r="A90" s="64"/>
      <c r="B90" s="74" t="s">
        <v>50</v>
      </c>
      <c r="C90" s="75"/>
      <c r="D90" s="174">
        <v>27391.43</v>
      </c>
      <c r="E90" s="174">
        <v>4101.93</v>
      </c>
      <c r="F90" s="174"/>
      <c r="G90" s="174">
        <v>7238.59</v>
      </c>
      <c r="H90" s="174"/>
      <c r="I90" s="174"/>
      <c r="J90" s="174">
        <f>3371.27+2000</f>
        <v>5371.27</v>
      </c>
      <c r="K90" s="174">
        <v>2595.6</v>
      </c>
      <c r="L90" s="174">
        <f>2822.2-2000</f>
        <v>822.1999999999998</v>
      </c>
      <c r="M90" s="174"/>
      <c r="N90" s="174"/>
      <c r="O90" s="174"/>
      <c r="P90" s="177">
        <v>1525.68</v>
      </c>
      <c r="Q90" s="174"/>
      <c r="R90" s="174">
        <v>721</v>
      </c>
      <c r="S90" s="174">
        <v>3000</v>
      </c>
      <c r="T90" s="187">
        <f t="shared" si="6"/>
        <v>52767.7</v>
      </c>
      <c r="U90" s="93"/>
      <c r="V90" s="57"/>
      <c r="W90" s="101"/>
      <c r="X90" s="102"/>
    </row>
    <row r="91" spans="1:24" s="80" customFormat="1" ht="20.25" customHeight="1">
      <c r="A91" s="94"/>
      <c r="B91" s="95" t="s">
        <v>120</v>
      </c>
      <c r="C91" s="78"/>
      <c r="D91" s="174">
        <v>23576.66</v>
      </c>
      <c r="E91" s="174">
        <v>6632.87</v>
      </c>
      <c r="F91" s="174"/>
      <c r="G91" s="174">
        <v>2401.42</v>
      </c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87">
        <f t="shared" si="6"/>
        <v>32610.949999999997</v>
      </c>
      <c r="U91" s="96"/>
      <c r="V91" s="84"/>
      <c r="W91" s="103"/>
      <c r="X91" s="103"/>
    </row>
    <row r="92" spans="1:24" ht="20.25" customHeight="1">
      <c r="A92" s="64"/>
      <c r="B92" s="60" t="s">
        <v>51</v>
      </c>
      <c r="C92" s="42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7">
        <v>85965.36</v>
      </c>
      <c r="T92" s="175">
        <f t="shared" si="6"/>
        <v>85965.36</v>
      </c>
      <c r="U92" s="93"/>
      <c r="V92" s="57"/>
      <c r="W92" s="101"/>
      <c r="X92" s="101"/>
    </row>
    <row r="93" spans="1:24" ht="20.25" customHeight="1">
      <c r="A93" s="64"/>
      <c r="B93" s="60" t="s">
        <v>248</v>
      </c>
      <c r="C93" s="42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7">
        <v>9512.88</v>
      </c>
      <c r="T93" s="175">
        <f t="shared" si="6"/>
        <v>9512.88</v>
      </c>
      <c r="U93" s="93"/>
      <c r="V93" s="57"/>
      <c r="W93" s="101"/>
      <c r="X93" s="101"/>
    </row>
    <row r="94" spans="1:24" ht="20.25" customHeight="1">
      <c r="A94" s="64"/>
      <c r="B94" s="60" t="s">
        <v>52</v>
      </c>
      <c r="C94" s="42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7">
        <v>31228</v>
      </c>
      <c r="T94" s="187">
        <f t="shared" si="6"/>
        <v>31228</v>
      </c>
      <c r="U94" s="93"/>
      <c r="V94" s="57"/>
      <c r="W94" s="101"/>
      <c r="X94" s="101"/>
    </row>
    <row r="95" spans="1:24" ht="20.25" customHeight="1">
      <c r="A95" s="64"/>
      <c r="B95" s="60" t="s">
        <v>169</v>
      </c>
      <c r="C95" s="42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87">
        <f t="shared" si="6"/>
        <v>0</v>
      </c>
      <c r="U95" s="93"/>
      <c r="V95" s="57"/>
      <c r="X95" s="102"/>
    </row>
    <row r="96" spans="1:22" ht="20.25" customHeight="1">
      <c r="A96" s="64"/>
      <c r="B96" s="60" t="s">
        <v>173</v>
      </c>
      <c r="C96" s="42"/>
      <c r="D96" s="174">
        <v>2060</v>
      </c>
      <c r="E96" s="174">
        <v>1030</v>
      </c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>
        <v>1231.88</v>
      </c>
      <c r="T96" s="187">
        <f t="shared" si="6"/>
        <v>4321.88</v>
      </c>
      <c r="U96" s="93"/>
      <c r="V96" s="57"/>
    </row>
    <row r="97" spans="1:22" ht="20.25" customHeight="1">
      <c r="A97" s="64"/>
      <c r="B97" s="60" t="s">
        <v>285</v>
      </c>
      <c r="C97" s="42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87">
        <f t="shared" si="6"/>
        <v>0</v>
      </c>
      <c r="U97" s="93"/>
      <c r="V97" s="57"/>
    </row>
    <row r="98" spans="1:22" ht="20.25" customHeight="1">
      <c r="A98" s="64"/>
      <c r="B98" s="60" t="s">
        <v>172</v>
      </c>
      <c r="C98" s="42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87">
        <f t="shared" si="6"/>
        <v>0</v>
      </c>
      <c r="U98" s="93"/>
      <c r="V98" s="57"/>
    </row>
    <row r="99" spans="1:22" s="80" customFormat="1" ht="20.25" customHeight="1">
      <c r="A99" s="94"/>
      <c r="B99" s="95" t="s">
        <v>56</v>
      </c>
      <c r="C99" s="78"/>
      <c r="D99" s="174"/>
      <c r="E99" s="174"/>
      <c r="F99" s="174"/>
      <c r="G99" s="174"/>
      <c r="H99" s="174">
        <v>12300.38</v>
      </c>
      <c r="I99" s="174"/>
      <c r="J99" s="174"/>
      <c r="K99" s="174"/>
      <c r="L99" s="174"/>
      <c r="M99" s="174"/>
      <c r="N99" s="174"/>
      <c r="O99" s="174">
        <v>4532</v>
      </c>
      <c r="P99" s="174"/>
      <c r="Q99" s="174"/>
      <c r="R99" s="174"/>
      <c r="S99" s="174">
        <v>4500</v>
      </c>
      <c r="T99" s="187">
        <f t="shared" si="6"/>
        <v>21332.379999999997</v>
      </c>
      <c r="U99" s="96"/>
      <c r="V99" s="84"/>
    </row>
    <row r="100" spans="1:23" s="80" customFormat="1" ht="20.25" customHeight="1">
      <c r="A100" s="94"/>
      <c r="B100" s="95" t="s">
        <v>57</v>
      </c>
      <c r="C100" s="78"/>
      <c r="D100" s="174"/>
      <c r="E100" s="174"/>
      <c r="F100" s="174"/>
      <c r="G100" s="174"/>
      <c r="H100" s="174">
        <v>2060</v>
      </c>
      <c r="I100" s="174"/>
      <c r="J100" s="174"/>
      <c r="K100" s="174"/>
      <c r="L100" s="174"/>
      <c r="M100" s="174"/>
      <c r="N100" s="174"/>
      <c r="O100" s="174">
        <v>875.5</v>
      </c>
      <c r="P100" s="174"/>
      <c r="Q100" s="174"/>
      <c r="R100" s="174"/>
      <c r="S100" s="174">
        <v>988.8</v>
      </c>
      <c r="T100" s="175">
        <f t="shared" si="6"/>
        <v>3924.3</v>
      </c>
      <c r="U100" s="96"/>
      <c r="V100" s="84"/>
      <c r="W100" s="104"/>
    </row>
    <row r="101" spans="1:23" s="80" customFormat="1" ht="20.25" customHeight="1">
      <c r="A101" s="94"/>
      <c r="B101" s="95" t="s">
        <v>124</v>
      </c>
      <c r="C101" s="78"/>
      <c r="D101" s="174"/>
      <c r="E101" s="174"/>
      <c r="F101" s="174"/>
      <c r="G101" s="174"/>
      <c r="H101" s="174">
        <v>1343.12</v>
      </c>
      <c r="I101" s="174"/>
      <c r="J101" s="174"/>
      <c r="K101" s="174"/>
      <c r="L101" s="174"/>
      <c r="M101" s="174"/>
      <c r="N101" s="174"/>
      <c r="O101" s="174">
        <v>309</v>
      </c>
      <c r="P101" s="174"/>
      <c r="Q101" s="174"/>
      <c r="R101" s="174"/>
      <c r="S101" s="177">
        <v>800</v>
      </c>
      <c r="T101" s="187">
        <f t="shared" si="6"/>
        <v>2452.12</v>
      </c>
      <c r="U101" s="96"/>
      <c r="V101" s="84"/>
      <c r="W101" s="104"/>
    </row>
    <row r="102" spans="1:23" s="80" customFormat="1" ht="20.25" customHeight="1">
      <c r="A102" s="94"/>
      <c r="B102" s="95" t="s">
        <v>198</v>
      </c>
      <c r="C102" s="78"/>
      <c r="D102" s="174">
        <v>5627.3</v>
      </c>
      <c r="E102" s="174">
        <v>3041.59</v>
      </c>
      <c r="F102" s="174"/>
      <c r="G102" s="177"/>
      <c r="H102" s="174">
        <v>5828.32</v>
      </c>
      <c r="I102" s="174">
        <v>1133</v>
      </c>
      <c r="J102" s="174">
        <v>1836.59</v>
      </c>
      <c r="K102" s="174"/>
      <c r="L102" s="174"/>
      <c r="M102" s="174"/>
      <c r="N102" s="174"/>
      <c r="O102" s="174">
        <v>2317.5</v>
      </c>
      <c r="P102" s="174">
        <v>1945.81</v>
      </c>
      <c r="Q102" s="174"/>
      <c r="R102" s="174">
        <v>1909.62</v>
      </c>
      <c r="S102" s="174">
        <f>11192.16-10000</f>
        <v>1192.1599999999999</v>
      </c>
      <c r="T102" s="187">
        <f t="shared" si="6"/>
        <v>24831.89</v>
      </c>
      <c r="U102" s="96"/>
      <c r="V102" s="84"/>
      <c r="W102" s="104"/>
    </row>
    <row r="103" spans="1:23" s="80" customFormat="1" ht="20.25" customHeight="1">
      <c r="A103" s="94"/>
      <c r="B103" s="95" t="s">
        <v>197</v>
      </c>
      <c r="C103" s="78"/>
      <c r="D103" s="174"/>
      <c r="E103" s="174"/>
      <c r="F103" s="174"/>
      <c r="G103" s="177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>
        <v>5423.01</v>
      </c>
      <c r="T103" s="187">
        <f t="shared" si="6"/>
        <v>5423.01</v>
      </c>
      <c r="U103" s="96"/>
      <c r="V103" s="84"/>
      <c r="W103" s="104"/>
    </row>
    <row r="104" spans="1:22" ht="20.25" customHeight="1">
      <c r="A104" s="64"/>
      <c r="B104" s="60" t="s">
        <v>58</v>
      </c>
      <c r="C104" s="42"/>
      <c r="D104" s="174">
        <v>1981.72</v>
      </c>
      <c r="E104" s="174">
        <v>800</v>
      </c>
      <c r="F104" s="174"/>
      <c r="G104" s="174"/>
      <c r="H104" s="174">
        <v>1979.66</v>
      </c>
      <c r="I104" s="174"/>
      <c r="J104" s="174">
        <v>309</v>
      </c>
      <c r="K104" s="174"/>
      <c r="L104" s="174">
        <v>412</v>
      </c>
      <c r="M104" s="174"/>
      <c r="N104" s="174"/>
      <c r="O104" s="174"/>
      <c r="P104" s="174"/>
      <c r="Q104" s="174"/>
      <c r="R104" s="174"/>
      <c r="S104" s="174">
        <v>1998.2</v>
      </c>
      <c r="T104" s="175">
        <f t="shared" si="6"/>
        <v>7480.58</v>
      </c>
      <c r="U104" s="93"/>
      <c r="V104" s="57"/>
    </row>
    <row r="105" spans="1:23" ht="20.25" customHeight="1">
      <c r="A105" s="64"/>
      <c r="B105" s="60" t="s">
        <v>268</v>
      </c>
      <c r="C105" s="42"/>
      <c r="D105" s="177">
        <f>3465.83+(3465.83*3/100)</f>
        <v>3569.8049</v>
      </c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>
        <v>530.45</v>
      </c>
      <c r="P105" s="177"/>
      <c r="Q105" s="177"/>
      <c r="R105" s="177"/>
      <c r="S105" s="174"/>
      <c r="T105" s="187">
        <f t="shared" si="6"/>
        <v>4100.2549</v>
      </c>
      <c r="U105" s="93"/>
      <c r="V105" s="57"/>
      <c r="W105" s="102"/>
    </row>
    <row r="106" spans="1:23" ht="20.25" customHeight="1">
      <c r="A106" s="64"/>
      <c r="B106" s="60" t="s">
        <v>269</v>
      </c>
      <c r="C106" s="42"/>
      <c r="D106" s="177">
        <f>3360+(3360*3/100)</f>
        <v>3460.8</v>
      </c>
      <c r="E106" s="177">
        <v>3460.8</v>
      </c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4"/>
      <c r="T106" s="187">
        <f>SUM(D106:S106)</f>
        <v>6921.6</v>
      </c>
      <c r="U106" s="93"/>
      <c r="V106" s="57"/>
      <c r="W106" s="102"/>
    </row>
    <row r="107" spans="1:23" ht="20.25" customHeight="1">
      <c r="A107" s="64"/>
      <c r="B107" s="60" t="s">
        <v>272</v>
      </c>
      <c r="C107" s="42"/>
      <c r="D107" s="177">
        <f>3212.5+(3212.5*3/100)</f>
        <v>3308.875</v>
      </c>
      <c r="E107" s="177">
        <v>3308.88</v>
      </c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4">
        <v>6968.06</v>
      </c>
      <c r="T107" s="187">
        <f t="shared" si="6"/>
        <v>13585.815</v>
      </c>
      <c r="U107" s="93"/>
      <c r="V107" s="57"/>
      <c r="W107" s="102"/>
    </row>
    <row r="108" spans="1:22" ht="20.25" customHeight="1">
      <c r="A108" s="64"/>
      <c r="B108" s="60" t="s">
        <v>59</v>
      </c>
      <c r="C108" s="42"/>
      <c r="D108" s="174">
        <v>1000</v>
      </c>
      <c r="E108" s="174">
        <v>1000</v>
      </c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7">
        <v>1599.61</v>
      </c>
      <c r="T108" s="187">
        <f t="shared" si="6"/>
        <v>3599.6099999999997</v>
      </c>
      <c r="U108" s="93"/>
      <c r="V108" s="57"/>
    </row>
    <row r="109" spans="1:22" ht="20.25" customHeight="1">
      <c r="A109" s="64"/>
      <c r="B109" s="60" t="s">
        <v>283</v>
      </c>
      <c r="C109" s="42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7"/>
      <c r="T109" s="187">
        <f t="shared" si="6"/>
        <v>0</v>
      </c>
      <c r="U109" s="93"/>
      <c r="V109" s="57"/>
    </row>
    <row r="110" spans="1:22" ht="20.25" customHeight="1">
      <c r="A110" s="64"/>
      <c r="B110" s="60" t="s">
        <v>284</v>
      </c>
      <c r="C110" s="42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7"/>
      <c r="T110" s="187">
        <f t="shared" si="6"/>
        <v>0</v>
      </c>
      <c r="U110" s="93"/>
      <c r="V110" s="57"/>
    </row>
    <row r="111" spans="1:22" ht="20.25" customHeight="1">
      <c r="A111" s="64"/>
      <c r="B111" s="60" t="s">
        <v>170</v>
      </c>
      <c r="C111" s="42"/>
      <c r="D111" s="174">
        <v>515</v>
      </c>
      <c r="E111" s="174">
        <v>646.43</v>
      </c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7">
        <v>1091.8</v>
      </c>
      <c r="T111" s="187">
        <f t="shared" si="6"/>
        <v>2253.2299999999996</v>
      </c>
      <c r="U111" s="93"/>
      <c r="V111" s="57"/>
    </row>
    <row r="112" spans="1:22" ht="20.25" customHeight="1">
      <c r="A112" s="64"/>
      <c r="B112" s="95" t="s">
        <v>319</v>
      </c>
      <c r="C112" s="42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87">
        <f t="shared" si="6"/>
        <v>0</v>
      </c>
      <c r="U112" s="93"/>
      <c r="V112" s="57"/>
    </row>
    <row r="113" spans="1:22" s="80" customFormat="1" ht="20.25" customHeight="1">
      <c r="A113" s="94"/>
      <c r="B113" s="95" t="s">
        <v>226</v>
      </c>
      <c r="C113" s="78"/>
      <c r="D113" s="174">
        <v>700</v>
      </c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5">
        <f>SUM(D113:S113)</f>
        <v>700</v>
      </c>
      <c r="U113" s="96"/>
      <c r="V113" s="84"/>
    </row>
    <row r="114" spans="1:22" s="80" customFormat="1" ht="20.25" customHeight="1">
      <c r="A114" s="94"/>
      <c r="B114" s="95" t="s">
        <v>254</v>
      </c>
      <c r="C114" s="78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5">
        <f>SUM(D114:S114)</f>
        <v>0</v>
      </c>
      <c r="U114" s="96"/>
      <c r="V114" s="84"/>
    </row>
    <row r="115" spans="1:22" s="80" customFormat="1" ht="20.25" customHeight="1">
      <c r="A115" s="94"/>
      <c r="B115" s="95" t="s">
        <v>270</v>
      </c>
      <c r="C115" s="78"/>
      <c r="D115" s="174"/>
      <c r="E115" s="174"/>
      <c r="F115" s="174"/>
      <c r="G115" s="174"/>
      <c r="H115" s="174"/>
      <c r="I115" s="174">
        <v>4532</v>
      </c>
      <c r="J115" s="174"/>
      <c r="K115" s="174"/>
      <c r="L115" s="174"/>
      <c r="M115" s="174"/>
      <c r="N115" s="174"/>
      <c r="O115" s="174"/>
      <c r="P115" s="174">
        <v>1536.55</v>
      </c>
      <c r="Q115" s="174"/>
      <c r="R115" s="174">
        <v>1943.3</v>
      </c>
      <c r="S115" s="174"/>
      <c r="T115" s="175">
        <f>SUM(D115:S115)</f>
        <v>8011.85</v>
      </c>
      <c r="U115" s="96"/>
      <c r="V115" s="84"/>
    </row>
    <row r="116" spans="1:22" ht="20.25" customHeight="1">
      <c r="A116" s="64"/>
      <c r="B116" s="60" t="s">
        <v>253</v>
      </c>
      <c r="C116" s="42"/>
      <c r="D116" s="174">
        <v>927</v>
      </c>
      <c r="E116" s="174">
        <v>927</v>
      </c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87">
        <f aca="true" t="shared" si="8" ref="T116:T153">SUM(D116:S116)</f>
        <v>1854</v>
      </c>
      <c r="U116" s="93"/>
      <c r="V116" s="57"/>
    </row>
    <row r="117" spans="1:22" ht="20.25" customHeight="1">
      <c r="A117" s="64"/>
      <c r="B117" s="60" t="s">
        <v>127</v>
      </c>
      <c r="C117" s="42"/>
      <c r="D117" s="174">
        <v>500</v>
      </c>
      <c r="E117" s="174">
        <v>400</v>
      </c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>
        <v>1000</v>
      </c>
      <c r="T117" s="187">
        <f t="shared" si="8"/>
        <v>1900</v>
      </c>
      <c r="U117" s="93"/>
      <c r="V117" s="57"/>
    </row>
    <row r="118" spans="1:22" ht="20.25" customHeight="1" hidden="1">
      <c r="A118" s="64"/>
      <c r="B118" s="60" t="s">
        <v>132</v>
      </c>
      <c r="C118" s="42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87">
        <f t="shared" si="8"/>
        <v>0</v>
      </c>
      <c r="U118" s="93"/>
      <c r="V118" s="57"/>
    </row>
    <row r="119" spans="1:22" ht="20.25" customHeight="1" hidden="1">
      <c r="A119" s="64"/>
      <c r="B119" s="74" t="s">
        <v>195</v>
      </c>
      <c r="C119" s="75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87">
        <f t="shared" si="8"/>
        <v>0</v>
      </c>
      <c r="U119" s="93"/>
      <c r="V119" s="57"/>
    </row>
    <row r="120" spans="1:22" ht="20.25" customHeight="1">
      <c r="A120" s="64"/>
      <c r="B120" s="55" t="s">
        <v>60</v>
      </c>
      <c r="C120" s="43"/>
      <c r="D120" s="174">
        <v>6831</v>
      </c>
      <c r="E120" s="174">
        <v>2488.48</v>
      </c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>
        <v>1078</v>
      </c>
      <c r="Q120" s="174"/>
      <c r="R120" s="174"/>
      <c r="S120" s="174"/>
      <c r="T120" s="187">
        <f t="shared" si="8"/>
        <v>10397.48</v>
      </c>
      <c r="U120" s="93"/>
      <c r="V120" s="57"/>
    </row>
    <row r="121" spans="1:24" s="80" customFormat="1" ht="20.25" customHeight="1" hidden="1">
      <c r="A121" s="94"/>
      <c r="B121" s="95" t="s">
        <v>53</v>
      </c>
      <c r="C121" s="78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5">
        <f t="shared" si="8"/>
        <v>0</v>
      </c>
      <c r="U121" s="96"/>
      <c r="V121" s="84"/>
      <c r="W121" s="103"/>
      <c r="X121" s="104"/>
    </row>
    <row r="122" spans="1:24" s="80" customFormat="1" ht="20.25" customHeight="1">
      <c r="A122" s="94"/>
      <c r="B122" s="95" t="s">
        <v>54</v>
      </c>
      <c r="C122" s="78"/>
      <c r="D122" s="174">
        <v>25125.7</v>
      </c>
      <c r="E122" s="174">
        <v>12921.68</v>
      </c>
      <c r="F122" s="174"/>
      <c r="G122" s="174"/>
      <c r="H122" s="174"/>
      <c r="I122" s="174"/>
      <c r="J122" s="174">
        <v>1503.8</v>
      </c>
      <c r="K122" s="174">
        <v>1030</v>
      </c>
      <c r="L122" s="174"/>
      <c r="M122" s="174"/>
      <c r="N122" s="174"/>
      <c r="O122" s="174"/>
      <c r="P122" s="174"/>
      <c r="Q122" s="174"/>
      <c r="R122" s="174"/>
      <c r="S122" s="174"/>
      <c r="T122" s="175">
        <f t="shared" si="8"/>
        <v>40581.18000000001</v>
      </c>
      <c r="U122" s="96"/>
      <c r="V122" s="84"/>
      <c r="X122" s="104"/>
    </row>
    <row r="123" spans="1:22" s="80" customFormat="1" ht="20.25" customHeight="1">
      <c r="A123" s="94"/>
      <c r="B123" s="95" t="s">
        <v>55</v>
      </c>
      <c r="C123" s="78"/>
      <c r="D123" s="174">
        <v>158000</v>
      </c>
      <c r="E123" s="174">
        <f>67000-23183</f>
        <v>43817</v>
      </c>
      <c r="F123" s="174"/>
      <c r="G123" s="174">
        <v>23183</v>
      </c>
      <c r="H123" s="174"/>
      <c r="I123" s="174"/>
      <c r="J123" s="174">
        <v>2266</v>
      </c>
      <c r="K123" s="174">
        <v>1277.2</v>
      </c>
      <c r="L123" s="174"/>
      <c r="M123" s="174"/>
      <c r="N123" s="174"/>
      <c r="O123" s="174"/>
      <c r="P123" s="174">
        <v>1534.7</v>
      </c>
      <c r="Q123" s="174"/>
      <c r="R123" s="174"/>
      <c r="S123" s="174"/>
      <c r="T123" s="175">
        <f t="shared" si="8"/>
        <v>230077.90000000002</v>
      </c>
      <c r="U123" s="96"/>
      <c r="V123" s="84"/>
    </row>
    <row r="124" spans="1:22" s="80" customFormat="1" ht="20.25" customHeight="1" hidden="1">
      <c r="A124" s="94"/>
      <c r="B124" s="95" t="s">
        <v>249</v>
      </c>
      <c r="C124" s="78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5">
        <f t="shared" si="8"/>
        <v>0</v>
      </c>
      <c r="U124" s="96"/>
      <c r="V124" s="84"/>
    </row>
    <row r="125" spans="1:22" s="80" customFormat="1" ht="20.25" customHeight="1">
      <c r="A125" s="94"/>
      <c r="B125" s="95" t="s">
        <v>129</v>
      </c>
      <c r="C125" s="78"/>
      <c r="D125" s="175">
        <v>116403.84</v>
      </c>
      <c r="E125" s="175">
        <f>45237.45-21631.73</f>
        <v>23605.719999999998</v>
      </c>
      <c r="F125" s="175">
        <v>21631.73</v>
      </c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5">
        <f t="shared" si="8"/>
        <v>161641.29</v>
      </c>
      <c r="U125" s="96"/>
      <c r="V125" s="84"/>
    </row>
    <row r="126" spans="1:22" s="80" customFormat="1" ht="20.25" customHeight="1">
      <c r="A126" s="94"/>
      <c r="B126" s="95" t="s">
        <v>231</v>
      </c>
      <c r="C126" s="78"/>
      <c r="D126" s="175">
        <v>5000</v>
      </c>
      <c r="E126" s="175">
        <v>2000</v>
      </c>
      <c r="F126" s="175"/>
      <c r="G126" s="174"/>
      <c r="H126" s="174"/>
      <c r="I126" s="174">
        <v>2772.76</v>
      </c>
      <c r="J126" s="174"/>
      <c r="K126" s="174"/>
      <c r="L126" s="174"/>
      <c r="M126" s="174"/>
      <c r="N126" s="174"/>
      <c r="O126" s="174"/>
      <c r="P126" s="174"/>
      <c r="Q126" s="174"/>
      <c r="R126" s="174"/>
      <c r="S126" s="175"/>
      <c r="T126" s="175">
        <f t="shared" si="8"/>
        <v>9772.76</v>
      </c>
      <c r="U126" s="96"/>
      <c r="V126" s="84"/>
    </row>
    <row r="127" spans="1:22" s="80" customFormat="1" ht="20.25" customHeight="1">
      <c r="A127" s="94"/>
      <c r="B127" s="95" t="s">
        <v>281</v>
      </c>
      <c r="C127" s="78"/>
      <c r="D127" s="175"/>
      <c r="E127" s="175"/>
      <c r="F127" s="175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5"/>
      <c r="T127" s="175">
        <f t="shared" si="8"/>
        <v>0</v>
      </c>
      <c r="U127" s="96"/>
      <c r="V127" s="84"/>
    </row>
    <row r="128" spans="1:22" s="80" customFormat="1" ht="20.25" customHeight="1">
      <c r="A128" s="94"/>
      <c r="B128" s="95" t="s">
        <v>114</v>
      </c>
      <c r="C128" s="78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5">
        <f t="shared" si="8"/>
        <v>0</v>
      </c>
      <c r="U128" s="96"/>
      <c r="V128" s="84"/>
    </row>
    <row r="129" spans="1:22" s="80" customFormat="1" ht="20.25" customHeight="1">
      <c r="A129" s="94"/>
      <c r="B129" s="95" t="s">
        <v>113</v>
      </c>
      <c r="C129" s="78"/>
      <c r="D129" s="174">
        <v>17400</v>
      </c>
      <c r="E129" s="174">
        <v>17400</v>
      </c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5">
        <f t="shared" si="8"/>
        <v>34800</v>
      </c>
      <c r="U129" s="96"/>
      <c r="V129" s="84"/>
    </row>
    <row r="130" spans="1:22" s="80" customFormat="1" ht="20.25" customHeight="1">
      <c r="A130" s="94"/>
      <c r="B130" s="95" t="s">
        <v>282</v>
      </c>
      <c r="C130" s="78"/>
      <c r="D130" s="174">
        <v>6000</v>
      </c>
      <c r="E130" s="174"/>
      <c r="F130" s="174"/>
      <c r="G130" s="174"/>
      <c r="H130" s="174"/>
      <c r="I130" s="174"/>
      <c r="J130" s="174">
        <v>1000</v>
      </c>
      <c r="K130" s="174"/>
      <c r="L130" s="174"/>
      <c r="M130" s="174"/>
      <c r="N130" s="174"/>
      <c r="O130" s="174"/>
      <c r="P130" s="174">
        <v>1500</v>
      </c>
      <c r="Q130" s="174"/>
      <c r="R130" s="174"/>
      <c r="S130" s="174"/>
      <c r="T130" s="175">
        <f t="shared" si="8"/>
        <v>8500</v>
      </c>
      <c r="U130" s="96"/>
      <c r="V130" s="84"/>
    </row>
    <row r="131" spans="1:22" s="80" customFormat="1" ht="20.25" customHeight="1">
      <c r="A131" s="94"/>
      <c r="B131" s="95" t="s">
        <v>318</v>
      </c>
      <c r="C131" s="78"/>
      <c r="D131" s="175"/>
      <c r="E131" s="175"/>
      <c r="F131" s="175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5">
        <f t="shared" si="8"/>
        <v>0</v>
      </c>
      <c r="U131" s="96"/>
      <c r="V131" s="84"/>
    </row>
    <row r="132" spans="1:22" s="80" customFormat="1" ht="20.25" customHeight="1">
      <c r="A132" s="94"/>
      <c r="B132" s="95" t="s">
        <v>147</v>
      </c>
      <c r="C132" s="78"/>
      <c r="D132" s="174">
        <f>119*8.7*365</f>
        <v>377884.5</v>
      </c>
      <c r="E132" s="174">
        <v>158775</v>
      </c>
      <c r="F132" s="174"/>
      <c r="G132" s="174"/>
      <c r="H132" s="174">
        <v>16965</v>
      </c>
      <c r="I132" s="174">
        <v>26308.8</v>
      </c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5">
        <f t="shared" si="8"/>
        <v>579933.3</v>
      </c>
      <c r="U132" s="96"/>
      <c r="V132" s="84"/>
    </row>
    <row r="133" spans="1:22" s="80" customFormat="1" ht="20.25" customHeight="1">
      <c r="A133" s="94"/>
      <c r="B133" s="95" t="s">
        <v>235</v>
      </c>
      <c r="C133" s="78"/>
      <c r="D133" s="174"/>
      <c r="E133" s="174"/>
      <c r="F133" s="174"/>
      <c r="G133" s="174"/>
      <c r="H133" s="174">
        <v>66709.86</v>
      </c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5">
        <f t="shared" si="8"/>
        <v>66709.86</v>
      </c>
      <c r="U133" s="96"/>
      <c r="V133" s="84"/>
    </row>
    <row r="134" spans="1:22" s="80" customFormat="1" ht="20.25" customHeight="1">
      <c r="A134" s="94"/>
      <c r="B134" s="95" t="s">
        <v>321</v>
      </c>
      <c r="C134" s="78"/>
      <c r="D134" s="174">
        <v>14324.35</v>
      </c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5">
        <f t="shared" si="8"/>
        <v>14324.35</v>
      </c>
      <c r="U134" s="96"/>
      <c r="V134" s="84"/>
    </row>
    <row r="135" spans="1:22" s="80" customFormat="1" ht="20.25" customHeight="1">
      <c r="A135" s="94"/>
      <c r="B135" s="95" t="s">
        <v>322</v>
      </c>
      <c r="C135" s="78"/>
      <c r="D135" s="174">
        <v>3000</v>
      </c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5">
        <f t="shared" si="8"/>
        <v>3000</v>
      </c>
      <c r="U135" s="96"/>
      <c r="V135" s="84"/>
    </row>
    <row r="136" spans="1:23" s="80" customFormat="1" ht="20.25" customHeight="1">
      <c r="A136" s="94"/>
      <c r="B136" s="95" t="s">
        <v>250</v>
      </c>
      <c r="C136" s="78"/>
      <c r="D136" s="174">
        <f>668650.27+50000</f>
        <v>718650.27</v>
      </c>
      <c r="E136" s="174">
        <f>280605.08+375000-51115.4</f>
        <v>604489.68</v>
      </c>
      <c r="F136" s="174"/>
      <c r="G136" s="174"/>
      <c r="H136" s="174">
        <v>16472.42</v>
      </c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5">
        <f t="shared" si="8"/>
        <v>1339612.37</v>
      </c>
      <c r="U136" s="96"/>
      <c r="V136" s="84"/>
      <c r="W136" s="84"/>
    </row>
    <row r="137" spans="1:22" s="80" customFormat="1" ht="20.25" customHeight="1">
      <c r="A137" s="94"/>
      <c r="B137" s="95" t="s">
        <v>310</v>
      </c>
      <c r="C137" s="78"/>
      <c r="D137" s="174"/>
      <c r="E137" s="174"/>
      <c r="F137" s="174"/>
      <c r="G137" s="174"/>
      <c r="H137" s="174">
        <v>60265.71</v>
      </c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5">
        <f t="shared" si="8"/>
        <v>60265.71</v>
      </c>
      <c r="U137" s="96"/>
      <c r="V137" s="84"/>
    </row>
    <row r="138" spans="1:22" s="80" customFormat="1" ht="20.25" customHeight="1">
      <c r="A138" s="94"/>
      <c r="B138" s="95" t="s">
        <v>251</v>
      </c>
      <c r="C138" s="78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>
        <v>87673.6</v>
      </c>
      <c r="Q138" s="175"/>
      <c r="R138" s="174"/>
      <c r="S138" s="174"/>
      <c r="T138" s="175">
        <f t="shared" si="8"/>
        <v>87673.6</v>
      </c>
      <c r="U138" s="96"/>
      <c r="V138" s="84"/>
    </row>
    <row r="139" spans="1:22" s="80" customFormat="1" ht="20.25" customHeight="1">
      <c r="A139" s="94"/>
      <c r="B139" s="95" t="s">
        <v>171</v>
      </c>
      <c r="C139" s="78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>
        <v>225900.84</v>
      </c>
      <c r="S139" s="174"/>
      <c r="T139" s="175">
        <f t="shared" si="8"/>
        <v>225900.84</v>
      </c>
      <c r="U139" s="96"/>
      <c r="V139" s="84"/>
    </row>
    <row r="140" spans="1:22" s="80" customFormat="1" ht="20.25" customHeight="1">
      <c r="A140" s="94"/>
      <c r="B140" s="95" t="s">
        <v>252</v>
      </c>
      <c r="C140" s="78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>
        <v>93524</v>
      </c>
      <c r="Q140" s="174"/>
      <c r="R140" s="174"/>
      <c r="S140" s="174"/>
      <c r="T140" s="175">
        <f t="shared" si="8"/>
        <v>93524</v>
      </c>
      <c r="U140" s="96"/>
      <c r="V140" s="84"/>
    </row>
    <row r="141" spans="1:22" s="80" customFormat="1" ht="20.25" customHeight="1">
      <c r="A141" s="94"/>
      <c r="B141" s="95" t="s">
        <v>148</v>
      </c>
      <c r="C141" s="78"/>
      <c r="D141" s="174">
        <v>3000</v>
      </c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5">
        <f>SUM(D141:S141)</f>
        <v>3000</v>
      </c>
      <c r="U141" s="96"/>
      <c r="V141" s="84"/>
    </row>
    <row r="142" spans="1:22" s="80" customFormat="1" ht="20.25" customHeight="1">
      <c r="A142" s="94"/>
      <c r="B142" s="95" t="s">
        <v>255</v>
      </c>
      <c r="C142" s="78"/>
      <c r="D142" s="189">
        <f>67756+2500</f>
        <v>70256</v>
      </c>
      <c r="E142" s="189"/>
      <c r="F142" s="189">
        <f>11150+44000</f>
        <v>55150</v>
      </c>
      <c r="G142" s="189"/>
      <c r="H142" s="174">
        <f>100963.85+23746.4</f>
        <v>124710.25</v>
      </c>
      <c r="I142" s="174">
        <v>10700.59</v>
      </c>
      <c r="J142" s="174">
        <f>41024.9+16737.5+6000</f>
        <v>63762.4</v>
      </c>
      <c r="K142" s="174">
        <f>17328-6000</f>
        <v>11328</v>
      </c>
      <c r="L142" s="174">
        <f>16737.5-16737.5</f>
        <v>0</v>
      </c>
      <c r="M142" s="174"/>
      <c r="N142" s="174"/>
      <c r="O142" s="174"/>
      <c r="P142" s="174">
        <f>20956.38+23000</f>
        <v>43956.380000000005</v>
      </c>
      <c r="Q142" s="174">
        <v>65092.5</v>
      </c>
      <c r="R142" s="174"/>
      <c r="S142" s="189">
        <f>72423.91-23000</f>
        <v>49423.91</v>
      </c>
      <c r="T142" s="175">
        <f>SUM(D142:S142)</f>
        <v>494380.03</v>
      </c>
      <c r="U142" s="96"/>
      <c r="V142" s="84"/>
    </row>
    <row r="143" spans="1:22" s="80" customFormat="1" ht="20.25" customHeight="1">
      <c r="A143" s="94"/>
      <c r="B143" s="95" t="s">
        <v>256</v>
      </c>
      <c r="C143" s="78"/>
      <c r="D143" s="189">
        <f>8050+534.32</f>
        <v>8584.32</v>
      </c>
      <c r="E143" s="189"/>
      <c r="F143" s="189">
        <f>1088.8+7115.4</f>
        <v>8204.199999999999</v>
      </c>
      <c r="G143" s="189"/>
      <c r="H143" s="174">
        <f>11962+3056.74</f>
        <v>15018.74</v>
      </c>
      <c r="I143" s="174">
        <v>713.89</v>
      </c>
      <c r="J143" s="174">
        <f>3893.07+1504.42+500</f>
        <v>5897.49</v>
      </c>
      <c r="K143" s="174">
        <f>1538.31-500</f>
        <v>1038.31</v>
      </c>
      <c r="L143" s="174">
        <f>1504.42-1504.42</f>
        <v>0</v>
      </c>
      <c r="M143" s="174"/>
      <c r="N143" s="174"/>
      <c r="O143" s="174"/>
      <c r="P143" s="174">
        <f>2578.42+4000</f>
        <v>6578.42</v>
      </c>
      <c r="Q143" s="174">
        <v>7725.26</v>
      </c>
      <c r="R143" s="174"/>
      <c r="S143" s="189">
        <f>7304.35-4000</f>
        <v>3304.3500000000004</v>
      </c>
      <c r="T143" s="175">
        <f>SUM(D143:S143)</f>
        <v>57064.97999999999</v>
      </c>
      <c r="U143" s="96"/>
      <c r="V143" s="84"/>
    </row>
    <row r="144" spans="1:22" s="80" customFormat="1" ht="20.25" customHeight="1">
      <c r="A144" s="94"/>
      <c r="B144" s="105"/>
      <c r="C144" s="83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5"/>
      <c r="U144" s="96"/>
      <c r="V144" s="84"/>
    </row>
    <row r="145" spans="1:22" s="80" customFormat="1" ht="20.25" customHeight="1">
      <c r="A145" s="94"/>
      <c r="B145" s="105"/>
      <c r="C145" s="83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5"/>
      <c r="U145" s="96"/>
      <c r="V145" s="84"/>
    </row>
    <row r="146" spans="1:22" s="80" customFormat="1" ht="20.25" customHeight="1">
      <c r="A146" s="94"/>
      <c r="B146" s="105"/>
      <c r="C146" s="83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5"/>
      <c r="U146" s="96"/>
      <c r="V146" s="84"/>
    </row>
    <row r="147" spans="1:22" s="108" customFormat="1" ht="20.25" customHeight="1">
      <c r="A147" s="106"/>
      <c r="B147" s="107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>
        <f>SUM(S148:S153)</f>
        <v>100151.40000000001</v>
      </c>
      <c r="T147" s="175">
        <f>SUM(D147:S147)</f>
        <v>100151.40000000001</v>
      </c>
      <c r="U147" s="96"/>
      <c r="V147" s="109"/>
    </row>
    <row r="148" spans="1:22" s="83" customFormat="1" ht="20.25" customHeight="1">
      <c r="A148" s="94"/>
      <c r="B148" s="105" t="s">
        <v>168</v>
      </c>
      <c r="D148" s="177"/>
      <c r="E148" s="177"/>
      <c r="F148" s="177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>
        <v>1972.45</v>
      </c>
      <c r="T148" s="175">
        <f t="shared" si="8"/>
        <v>1972.45</v>
      </c>
      <c r="U148" s="96"/>
      <c r="V148" s="84"/>
    </row>
    <row r="149" spans="1:22" s="83" customFormat="1" ht="20.25" customHeight="1">
      <c r="A149" s="94"/>
      <c r="B149" s="105" t="s">
        <v>174</v>
      </c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>
        <v>3079.91</v>
      </c>
      <c r="T149" s="175">
        <f t="shared" si="8"/>
        <v>3079.91</v>
      </c>
      <c r="U149" s="96"/>
      <c r="V149" s="84"/>
    </row>
    <row r="150" spans="1:22" s="83" customFormat="1" ht="20.25" customHeight="1">
      <c r="A150" s="94"/>
      <c r="B150" s="105" t="s">
        <v>320</v>
      </c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>
        <f>41433.44+18311.04+5610</f>
        <v>65354.48</v>
      </c>
      <c r="T150" s="175">
        <f t="shared" si="8"/>
        <v>65354.48</v>
      </c>
      <c r="U150" s="96"/>
      <c r="V150" s="84"/>
    </row>
    <row r="151" spans="1:22" s="83" customFormat="1" ht="20.25" customHeight="1">
      <c r="A151" s="94"/>
      <c r="B151" s="105" t="s">
        <v>139</v>
      </c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>
        <v>18580.32</v>
      </c>
      <c r="T151" s="175">
        <f t="shared" si="8"/>
        <v>18580.32</v>
      </c>
      <c r="U151" s="96"/>
      <c r="V151" s="84"/>
    </row>
    <row r="152" spans="1:22" s="83" customFormat="1" ht="20.25" customHeight="1">
      <c r="A152" s="94"/>
      <c r="B152" s="105" t="s">
        <v>115</v>
      </c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>
        <v>9000</v>
      </c>
      <c r="T152" s="175">
        <f t="shared" si="8"/>
        <v>9000</v>
      </c>
      <c r="U152" s="96"/>
      <c r="V152" s="84"/>
    </row>
    <row r="153" spans="1:22" s="83" customFormat="1" ht="20.25" customHeight="1">
      <c r="A153" s="94"/>
      <c r="B153" s="105" t="s">
        <v>257</v>
      </c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>
        <v>2164.24</v>
      </c>
      <c r="T153" s="175">
        <f t="shared" si="8"/>
        <v>2164.24</v>
      </c>
      <c r="U153" s="96"/>
      <c r="V153" s="84"/>
    </row>
    <row r="154" spans="1:21" s="43" customFormat="1" ht="20.25" customHeight="1">
      <c r="A154" s="110"/>
      <c r="B154" s="55"/>
      <c r="D154" s="190"/>
      <c r="E154" s="190"/>
      <c r="F154" s="190"/>
      <c r="G154" s="190"/>
      <c r="H154" s="190"/>
      <c r="I154" s="190"/>
      <c r="J154" s="190"/>
      <c r="K154" s="190"/>
      <c r="L154" s="190"/>
      <c r="M154" s="191"/>
      <c r="N154" s="190"/>
      <c r="O154" s="190"/>
      <c r="P154" s="190"/>
      <c r="Q154" s="190"/>
      <c r="R154" s="190"/>
      <c r="S154" s="190"/>
      <c r="T154" s="192"/>
      <c r="U154" s="93"/>
    </row>
    <row r="155" spans="1:21" ht="20.25" customHeight="1">
      <c r="A155" s="110"/>
      <c r="B155" s="55"/>
      <c r="C155" s="4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2"/>
      <c r="U155" s="111"/>
    </row>
    <row r="156" spans="4:21" ht="20.25" customHeight="1">
      <c r="D156" s="162" t="s">
        <v>0</v>
      </c>
      <c r="E156" s="162" t="s">
        <v>0</v>
      </c>
      <c r="F156" s="162" t="s">
        <v>326</v>
      </c>
      <c r="G156" s="162"/>
      <c r="H156" s="166" t="s">
        <v>1</v>
      </c>
      <c r="I156" s="162" t="s">
        <v>2</v>
      </c>
      <c r="J156" s="170" t="s">
        <v>3</v>
      </c>
      <c r="K156" s="166" t="s">
        <v>230</v>
      </c>
      <c r="L156" s="166" t="s">
        <v>291</v>
      </c>
      <c r="M156" s="162" t="s">
        <v>4</v>
      </c>
      <c r="N156" s="163" t="s">
        <v>4</v>
      </c>
      <c r="O156" s="162" t="s">
        <v>1</v>
      </c>
      <c r="P156" s="162" t="s">
        <v>237</v>
      </c>
      <c r="Q156" s="163" t="s">
        <v>5</v>
      </c>
      <c r="R156" s="162"/>
      <c r="S156" s="167"/>
      <c r="T156" s="162" t="s">
        <v>6</v>
      </c>
      <c r="U156" s="45"/>
    </row>
    <row r="157" spans="4:21" ht="20.25" customHeight="1">
      <c r="D157" s="168" t="s">
        <v>7</v>
      </c>
      <c r="E157" s="169" t="s">
        <v>304</v>
      </c>
      <c r="F157" s="169" t="s">
        <v>325</v>
      </c>
      <c r="G157" s="169" t="s">
        <v>128</v>
      </c>
      <c r="H157" s="168" t="s">
        <v>8</v>
      </c>
      <c r="I157" s="168" t="s">
        <v>9</v>
      </c>
      <c r="J157" s="170" t="s">
        <v>279</v>
      </c>
      <c r="K157" s="170" t="s">
        <v>229</v>
      </c>
      <c r="L157" s="170" t="s">
        <v>292</v>
      </c>
      <c r="M157" s="165" t="s">
        <v>10</v>
      </c>
      <c r="N157" s="170" t="s">
        <v>11</v>
      </c>
      <c r="O157" s="165" t="s">
        <v>12</v>
      </c>
      <c r="P157" s="168" t="s">
        <v>244</v>
      </c>
      <c r="Q157" s="169" t="s">
        <v>242</v>
      </c>
      <c r="R157" s="168" t="s">
        <v>194</v>
      </c>
      <c r="S157" s="194" t="s">
        <v>299</v>
      </c>
      <c r="T157" s="168" t="s">
        <v>13</v>
      </c>
      <c r="U157" s="85"/>
    </row>
    <row r="158" spans="1:21" ht="20.25" customHeight="1">
      <c r="A158" s="42"/>
      <c r="B158" s="42"/>
      <c r="C158" s="42"/>
      <c r="D158" s="195" t="s">
        <v>15</v>
      </c>
      <c r="E158" s="195" t="s">
        <v>305</v>
      </c>
      <c r="F158" s="195"/>
      <c r="G158" s="195"/>
      <c r="H158" s="195" t="s">
        <v>16</v>
      </c>
      <c r="I158" s="196" t="s">
        <v>134</v>
      </c>
      <c r="J158" s="197" t="s">
        <v>135</v>
      </c>
      <c r="K158" s="197"/>
      <c r="L158" s="197" t="s">
        <v>289</v>
      </c>
      <c r="M158" s="198"/>
      <c r="N158" s="199"/>
      <c r="O158" s="198"/>
      <c r="P158" s="196"/>
      <c r="Q158" s="200"/>
      <c r="R158" s="196"/>
      <c r="S158" s="201"/>
      <c r="T158" s="195" t="s">
        <v>17</v>
      </c>
      <c r="U158" s="86"/>
    </row>
    <row r="159" spans="1:22" ht="20.25" customHeight="1">
      <c r="A159" s="112" t="s">
        <v>61</v>
      </c>
      <c r="B159" s="71"/>
      <c r="C159" s="72"/>
      <c r="D159" s="174">
        <f aca="true" t="shared" si="9" ref="D159:R159">D160+D161+D162+D163+D164</f>
        <v>18611.32</v>
      </c>
      <c r="E159" s="174">
        <f t="shared" si="9"/>
        <v>3914</v>
      </c>
      <c r="F159" s="174">
        <f t="shared" si="9"/>
        <v>0</v>
      </c>
      <c r="G159" s="174">
        <f t="shared" si="9"/>
        <v>0</v>
      </c>
      <c r="H159" s="174">
        <f>H160+H161+H162+H163+H164</f>
        <v>2266</v>
      </c>
      <c r="I159" s="174">
        <f t="shared" si="9"/>
        <v>0</v>
      </c>
      <c r="J159" s="174">
        <f t="shared" si="9"/>
        <v>0</v>
      </c>
      <c r="K159" s="174">
        <f t="shared" si="9"/>
        <v>0</v>
      </c>
      <c r="L159" s="174">
        <f t="shared" si="9"/>
        <v>11350.6</v>
      </c>
      <c r="M159" s="174">
        <f t="shared" si="9"/>
        <v>0</v>
      </c>
      <c r="N159" s="174">
        <f t="shared" si="9"/>
        <v>0</v>
      </c>
      <c r="O159" s="174">
        <f t="shared" si="9"/>
        <v>0</v>
      </c>
      <c r="P159" s="174">
        <f t="shared" si="9"/>
        <v>4120</v>
      </c>
      <c r="Q159" s="174">
        <f t="shared" si="9"/>
        <v>0</v>
      </c>
      <c r="R159" s="174">
        <f t="shared" si="9"/>
        <v>2039.4</v>
      </c>
      <c r="S159" s="174">
        <f>S160+S161+S162+S163+S164+S165</f>
        <v>0</v>
      </c>
      <c r="T159" s="175">
        <f>SUM(D159:S159)</f>
        <v>42301.32</v>
      </c>
      <c r="U159" s="113"/>
      <c r="V159" s="57">
        <f>SUM(T160:T164)</f>
        <v>42301.32</v>
      </c>
    </row>
    <row r="160" spans="1:22" ht="20.25" customHeight="1">
      <c r="A160" s="64"/>
      <c r="B160" s="60" t="s">
        <v>62</v>
      </c>
      <c r="C160" s="42"/>
      <c r="D160" s="174">
        <v>10000</v>
      </c>
      <c r="E160" s="174"/>
      <c r="F160" s="174"/>
      <c r="G160" s="174"/>
      <c r="H160" s="174"/>
      <c r="I160" s="174"/>
      <c r="J160" s="174"/>
      <c r="K160" s="174"/>
      <c r="L160" s="174">
        <v>8878.6</v>
      </c>
      <c r="M160" s="174"/>
      <c r="N160" s="174"/>
      <c r="O160" s="174"/>
      <c r="P160" s="174"/>
      <c r="Q160" s="174"/>
      <c r="R160" s="174"/>
      <c r="S160" s="174"/>
      <c r="T160" s="187">
        <f aca="true" t="shared" si="10" ref="T160:T211">SUM(D160:S160)</f>
        <v>18878.6</v>
      </c>
      <c r="U160" s="93"/>
      <c r="V160" s="57"/>
    </row>
    <row r="161" spans="1:22" ht="20.25" customHeight="1">
      <c r="A161" s="64"/>
      <c r="B161" s="60" t="s">
        <v>63</v>
      </c>
      <c r="C161" s="42"/>
      <c r="D161" s="174"/>
      <c r="E161" s="174"/>
      <c r="F161" s="174"/>
      <c r="G161" s="174"/>
      <c r="H161" s="174"/>
      <c r="I161" s="174"/>
      <c r="J161" s="174"/>
      <c r="K161" s="174"/>
      <c r="L161" s="174">
        <v>2472</v>
      </c>
      <c r="M161" s="174"/>
      <c r="N161" s="174"/>
      <c r="O161" s="174"/>
      <c r="P161" s="174">
        <v>1339</v>
      </c>
      <c r="Q161" s="174"/>
      <c r="R161" s="174">
        <v>2039.4</v>
      </c>
      <c r="S161" s="174"/>
      <c r="T161" s="175">
        <f t="shared" si="10"/>
        <v>5850.4</v>
      </c>
      <c r="U161" s="93"/>
      <c r="V161" s="57"/>
    </row>
    <row r="162" spans="1:22" ht="20.25" customHeight="1">
      <c r="A162" s="64"/>
      <c r="B162" s="60" t="s">
        <v>125</v>
      </c>
      <c r="C162" s="42"/>
      <c r="D162" s="177"/>
      <c r="E162" s="177"/>
      <c r="F162" s="177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>
        <v>2781</v>
      </c>
      <c r="Q162" s="174"/>
      <c r="R162" s="174"/>
      <c r="S162" s="174"/>
      <c r="T162" s="187">
        <f t="shared" si="10"/>
        <v>2781</v>
      </c>
      <c r="U162" s="93"/>
      <c r="V162" s="57"/>
    </row>
    <row r="163" spans="1:22" ht="20.25" customHeight="1">
      <c r="A163" s="64"/>
      <c r="B163" s="60" t="s">
        <v>180</v>
      </c>
      <c r="C163" s="42"/>
      <c r="D163" s="174">
        <v>8611.32</v>
      </c>
      <c r="E163" s="174">
        <v>3914</v>
      </c>
      <c r="F163" s="174"/>
      <c r="G163" s="175"/>
      <c r="H163" s="174">
        <v>2266</v>
      </c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87">
        <f t="shared" si="10"/>
        <v>14791.32</v>
      </c>
      <c r="U163" s="93"/>
      <c r="V163" s="57"/>
    </row>
    <row r="164" spans="1:22" ht="20.25" customHeight="1">
      <c r="A164" s="64"/>
      <c r="B164" s="60" t="s">
        <v>216</v>
      </c>
      <c r="C164" s="42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87">
        <f t="shared" si="10"/>
        <v>0</v>
      </c>
      <c r="U164" s="93"/>
      <c r="V164" s="57"/>
    </row>
    <row r="165" spans="1:22" ht="20.25" customHeight="1">
      <c r="A165" s="64"/>
      <c r="B165" s="74" t="s">
        <v>258</v>
      </c>
      <c r="C165" s="75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87">
        <f t="shared" si="10"/>
        <v>0</v>
      </c>
      <c r="U165" s="93"/>
      <c r="V165" s="57"/>
    </row>
    <row r="166" spans="1:21" ht="20.25" customHeight="1">
      <c r="A166" s="64"/>
      <c r="B166" s="55"/>
      <c r="C166" s="11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87"/>
      <c r="U166" s="93"/>
    </row>
    <row r="167" spans="1:22" s="80" customFormat="1" ht="20.25" customHeight="1">
      <c r="A167" s="115" t="s">
        <v>64</v>
      </c>
      <c r="B167" s="116"/>
      <c r="C167" s="117"/>
      <c r="D167" s="178">
        <f>SUM(D168:D179)</f>
        <v>904228.24</v>
      </c>
      <c r="E167" s="178">
        <f aca="true" t="shared" si="11" ref="E167:R167">SUM(E168:E179)</f>
        <v>144999.14</v>
      </c>
      <c r="F167" s="178">
        <f t="shared" si="11"/>
        <v>115605.95000000001</v>
      </c>
      <c r="G167" s="178">
        <f t="shared" si="11"/>
        <v>219567.46999999997</v>
      </c>
      <c r="H167" s="178">
        <f t="shared" si="11"/>
        <v>176660.27000000002</v>
      </c>
      <c r="I167" s="178">
        <f t="shared" si="11"/>
        <v>88509.56999999999</v>
      </c>
      <c r="J167" s="178">
        <f t="shared" si="11"/>
        <v>13710.450000000004</v>
      </c>
      <c r="K167" s="178">
        <f t="shared" si="11"/>
        <v>0</v>
      </c>
      <c r="L167" s="178">
        <f t="shared" si="11"/>
        <v>0</v>
      </c>
      <c r="M167" s="178">
        <f t="shared" si="11"/>
        <v>0</v>
      </c>
      <c r="N167" s="178">
        <f t="shared" si="11"/>
        <v>0</v>
      </c>
      <c r="O167" s="178">
        <f t="shared" si="11"/>
        <v>0</v>
      </c>
      <c r="P167" s="178">
        <f t="shared" si="11"/>
        <v>0</v>
      </c>
      <c r="Q167" s="178">
        <f t="shared" si="11"/>
        <v>27415.839999999997</v>
      </c>
      <c r="R167" s="178">
        <f t="shared" si="11"/>
        <v>0</v>
      </c>
      <c r="S167" s="178">
        <f>SUM(S168:S179)</f>
        <v>502902.31000000006</v>
      </c>
      <c r="T167" s="175">
        <f>SUM(D167:S167)</f>
        <v>2193599.24</v>
      </c>
      <c r="U167" s="96"/>
      <c r="V167" s="84">
        <f>SUM(T168:T179)</f>
        <v>2193599.24</v>
      </c>
    </row>
    <row r="168" spans="1:22" ht="20.25" customHeight="1">
      <c r="A168" s="64"/>
      <c r="B168" s="60" t="s">
        <v>303</v>
      </c>
      <c r="C168" s="42"/>
      <c r="D168" s="189">
        <f>588508.96+11000+5000+3500</f>
        <v>608008.96</v>
      </c>
      <c r="E168" s="189">
        <f>194129.88+82870.68+10000-86255.3-14185-76222+5600+2000</f>
        <v>117938.26000000001</v>
      </c>
      <c r="F168" s="189">
        <f>86255.3+1056-2000</f>
        <v>85311.3</v>
      </c>
      <c r="G168" s="189">
        <f>125829.8+14185+1280-3500</f>
        <v>137794.8</v>
      </c>
      <c r="H168" s="174">
        <f>87014.21+76222-1056-1280-11000-5600</f>
        <v>144300.21000000002</v>
      </c>
      <c r="I168" s="174">
        <f>72864.92-5000</f>
        <v>67864.92</v>
      </c>
      <c r="J168" s="174">
        <f>45207.98-38000</f>
        <v>7207.980000000003</v>
      </c>
      <c r="K168" s="174"/>
      <c r="L168" s="174"/>
      <c r="M168" s="174"/>
      <c r="N168" s="174"/>
      <c r="O168" s="174"/>
      <c r="P168" s="174"/>
      <c r="Q168" s="174">
        <v>19804.78</v>
      </c>
      <c r="R168" s="174"/>
      <c r="S168" s="202">
        <f>261343.64-9454.08+38000</f>
        <v>289889.56000000006</v>
      </c>
      <c r="T168" s="187">
        <f aca="true" t="shared" si="12" ref="T168:T179">SUM(D168:S168)</f>
        <v>1478120.77</v>
      </c>
      <c r="U168" s="93"/>
      <c r="V168" s="57"/>
    </row>
    <row r="169" spans="1:22" ht="20.25" customHeight="1">
      <c r="A169" s="64"/>
      <c r="B169" s="60" t="s">
        <v>188</v>
      </c>
      <c r="C169" s="42"/>
      <c r="D169" s="203">
        <v>148202.86</v>
      </c>
      <c r="E169" s="203">
        <f>35700+8185.33+5000-23154.4-10000-6061</f>
        <v>9669.93</v>
      </c>
      <c r="F169" s="203">
        <v>23154.4</v>
      </c>
      <c r="G169" s="189">
        <f>37530.65+10000</f>
        <v>47530.65</v>
      </c>
      <c r="H169" s="189">
        <f>8594.6+6061</f>
        <v>14655.6</v>
      </c>
      <c r="I169" s="189">
        <v>10211.54</v>
      </c>
      <c r="J169" s="174">
        <f>9941.95-7000</f>
        <v>2941.9500000000007</v>
      </c>
      <c r="K169" s="174"/>
      <c r="L169" s="174"/>
      <c r="M169" s="189"/>
      <c r="N169" s="189"/>
      <c r="O169" s="189"/>
      <c r="P169" s="189"/>
      <c r="Q169" s="189">
        <v>4414.2</v>
      </c>
      <c r="R169" s="189"/>
      <c r="S169" s="189">
        <f>57301.34+7000</f>
        <v>64301.34</v>
      </c>
      <c r="T169" s="187">
        <f t="shared" si="12"/>
        <v>325082.47</v>
      </c>
      <c r="U169" s="93"/>
      <c r="V169" s="57"/>
    </row>
    <row r="170" spans="1:22" s="80" customFormat="1" ht="20.25" customHeight="1">
      <c r="A170" s="94"/>
      <c r="B170" s="95" t="s">
        <v>126</v>
      </c>
      <c r="C170" s="78"/>
      <c r="D170" s="189">
        <v>10766.28</v>
      </c>
      <c r="E170" s="189">
        <f>2050.71+549.3-123.5</f>
        <v>2476.51</v>
      </c>
      <c r="F170" s="189">
        <v>123.5</v>
      </c>
      <c r="G170" s="189">
        <v>2563.41</v>
      </c>
      <c r="H170" s="189">
        <v>576.77</v>
      </c>
      <c r="I170" s="189">
        <v>1409.88</v>
      </c>
      <c r="J170" s="189">
        <v>640.86</v>
      </c>
      <c r="K170" s="189"/>
      <c r="L170" s="189"/>
      <c r="M170" s="189"/>
      <c r="N170" s="189"/>
      <c r="O170" s="189"/>
      <c r="P170" s="189"/>
      <c r="Q170" s="189">
        <v>256.35</v>
      </c>
      <c r="R170" s="189"/>
      <c r="S170" s="189">
        <v>4357.77</v>
      </c>
      <c r="T170" s="187">
        <f>SUM(D170:S170)</f>
        <v>23171.33</v>
      </c>
      <c r="U170" s="96"/>
      <c r="V170" s="84"/>
    </row>
    <row r="171" spans="1:22" ht="20.25" customHeight="1">
      <c r="A171" s="64"/>
      <c r="B171" s="95" t="s">
        <v>65</v>
      </c>
      <c r="C171" s="78"/>
      <c r="D171" s="189">
        <v>54243</v>
      </c>
      <c r="E171" s="189">
        <f>10332+2767.5+2000-3028.9-7000</f>
        <v>5070.6</v>
      </c>
      <c r="F171" s="189">
        <v>3028.9</v>
      </c>
      <c r="G171" s="189">
        <v>12915</v>
      </c>
      <c r="H171" s="189">
        <f>2905.87+7000</f>
        <v>9905.869999999999</v>
      </c>
      <c r="I171" s="189">
        <v>2903.25</v>
      </c>
      <c r="J171" s="189">
        <f>3228.75-2000</f>
        <v>1228.75</v>
      </c>
      <c r="K171" s="189"/>
      <c r="L171" s="189"/>
      <c r="M171" s="189"/>
      <c r="N171" s="189"/>
      <c r="O171" s="174"/>
      <c r="P171" s="174"/>
      <c r="Q171" s="189">
        <v>1291.5</v>
      </c>
      <c r="R171" s="174"/>
      <c r="S171" s="189">
        <f>21955.5+2000</f>
        <v>23955.5</v>
      </c>
      <c r="T171" s="187">
        <f t="shared" si="12"/>
        <v>114542.37</v>
      </c>
      <c r="U171" s="93"/>
      <c r="V171" s="57"/>
    </row>
    <row r="172" spans="1:22" ht="20.25" customHeight="1">
      <c r="A172" s="64"/>
      <c r="B172" s="60" t="s">
        <v>293</v>
      </c>
      <c r="C172" s="42"/>
      <c r="D172" s="189">
        <v>19098.39</v>
      </c>
      <c r="E172" s="189">
        <f>3637.79+974.41-1315.6</f>
        <v>3296.6</v>
      </c>
      <c r="F172" s="189">
        <v>1315.6</v>
      </c>
      <c r="G172" s="189">
        <v>4547.24</v>
      </c>
      <c r="H172" s="189">
        <v>1023.13</v>
      </c>
      <c r="I172" s="189">
        <v>2500.97</v>
      </c>
      <c r="J172" s="189">
        <f>1136.81-1000</f>
        <v>136.80999999999995</v>
      </c>
      <c r="K172" s="174"/>
      <c r="L172" s="174"/>
      <c r="M172" s="189"/>
      <c r="N172" s="189"/>
      <c r="O172" s="174"/>
      <c r="P172" s="174"/>
      <c r="Q172" s="189">
        <v>227.37</v>
      </c>
      <c r="R172" s="174"/>
      <c r="S172" s="189">
        <f>7730.31+1000</f>
        <v>8730.310000000001</v>
      </c>
      <c r="T172" s="187">
        <f t="shared" si="12"/>
        <v>40876.42</v>
      </c>
      <c r="U172" s="93"/>
      <c r="V172" s="57"/>
    </row>
    <row r="173" spans="1:22" ht="20.25" customHeight="1">
      <c r="A173" s="64"/>
      <c r="B173" s="60" t="s">
        <v>296</v>
      </c>
      <c r="C173" s="42"/>
      <c r="D173" s="189">
        <v>4583.75</v>
      </c>
      <c r="E173" s="189">
        <f>873.12+233.87-233.7</f>
        <v>873.29</v>
      </c>
      <c r="F173" s="189">
        <v>233.7</v>
      </c>
      <c r="G173" s="189">
        <v>1091.37</v>
      </c>
      <c r="H173" s="189">
        <v>245.56</v>
      </c>
      <c r="I173" s="189">
        <v>600.26</v>
      </c>
      <c r="J173" s="189">
        <v>272.85</v>
      </c>
      <c r="K173" s="174"/>
      <c r="L173" s="174"/>
      <c r="M173" s="189"/>
      <c r="N173" s="189"/>
      <c r="O173" s="174"/>
      <c r="P173" s="174"/>
      <c r="Q173" s="189">
        <v>109.14</v>
      </c>
      <c r="R173" s="174"/>
      <c r="S173" s="189">
        <v>1855.33</v>
      </c>
      <c r="T173" s="187">
        <f t="shared" si="12"/>
        <v>9865.25</v>
      </c>
      <c r="U173" s="93"/>
      <c r="V173" s="57"/>
    </row>
    <row r="174" spans="1:22" ht="20.25" customHeight="1">
      <c r="A174" s="64"/>
      <c r="B174" s="60" t="s">
        <v>294</v>
      </c>
      <c r="C174" s="42"/>
      <c r="D174" s="189">
        <v>48300</v>
      </c>
      <c r="E174" s="189">
        <f>4200+2250+2000-2023.55-3000</f>
        <v>3426.45</v>
      </c>
      <c r="F174" s="189">
        <v>2023.55</v>
      </c>
      <c r="G174" s="189">
        <v>10500</v>
      </c>
      <c r="H174" s="189">
        <f>2362.5+3000</f>
        <v>5362.5</v>
      </c>
      <c r="I174" s="189">
        <v>1575</v>
      </c>
      <c r="J174" s="189">
        <f>2625-2000</f>
        <v>625</v>
      </c>
      <c r="K174" s="174"/>
      <c r="L174" s="174"/>
      <c r="M174" s="189"/>
      <c r="N174" s="189"/>
      <c r="O174" s="174"/>
      <c r="P174" s="174"/>
      <c r="Q174" s="189">
        <v>1050</v>
      </c>
      <c r="R174" s="174"/>
      <c r="S174" s="189">
        <f>17850+2000</f>
        <v>19850</v>
      </c>
      <c r="T174" s="187">
        <f t="shared" si="12"/>
        <v>92712.5</v>
      </c>
      <c r="U174" s="93"/>
      <c r="V174" s="57"/>
    </row>
    <row r="175" spans="1:22" ht="20.25" customHeight="1">
      <c r="A175" s="64"/>
      <c r="B175" s="60" t="s">
        <v>295</v>
      </c>
      <c r="C175" s="42"/>
      <c r="D175" s="189">
        <v>11025</v>
      </c>
      <c r="E175" s="189">
        <f>2100+562.5-415</f>
        <v>2247.5</v>
      </c>
      <c r="F175" s="189">
        <v>415</v>
      </c>
      <c r="G175" s="189">
        <v>2625</v>
      </c>
      <c r="H175" s="189">
        <v>590.63</v>
      </c>
      <c r="I175" s="189">
        <v>1443.75</v>
      </c>
      <c r="J175" s="189">
        <v>656.25</v>
      </c>
      <c r="K175" s="174"/>
      <c r="L175" s="174"/>
      <c r="M175" s="189"/>
      <c r="N175" s="189"/>
      <c r="O175" s="174"/>
      <c r="P175" s="174"/>
      <c r="Q175" s="189">
        <v>262.5</v>
      </c>
      <c r="R175" s="174"/>
      <c r="S175" s="189">
        <v>4462.5</v>
      </c>
      <c r="T175" s="187">
        <f t="shared" si="12"/>
        <v>23728.13</v>
      </c>
      <c r="U175" s="93"/>
      <c r="V175" s="57"/>
    </row>
    <row r="176" spans="1:22" ht="20.25" customHeight="1">
      <c r="A176" s="64"/>
      <c r="B176" s="60" t="s">
        <v>313</v>
      </c>
      <c r="C176" s="42"/>
      <c r="D176" s="189"/>
      <c r="E176" s="189"/>
      <c r="F176" s="189"/>
      <c r="G176" s="189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89">
        <v>64259.64</v>
      </c>
      <c r="T176" s="187">
        <f t="shared" si="12"/>
        <v>64259.64</v>
      </c>
      <c r="U176" s="93"/>
      <c r="V176" s="57"/>
    </row>
    <row r="177" spans="1:22" ht="20.25" customHeight="1">
      <c r="A177" s="64"/>
      <c r="B177" s="60" t="s">
        <v>312</v>
      </c>
      <c r="C177" s="42"/>
      <c r="D177" s="189"/>
      <c r="E177" s="189"/>
      <c r="F177" s="189"/>
      <c r="G177" s="189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89">
        <v>16351.2</v>
      </c>
      <c r="T177" s="187">
        <f t="shared" si="12"/>
        <v>16351.2</v>
      </c>
      <c r="U177" s="93"/>
      <c r="V177" s="57"/>
    </row>
    <row r="178" spans="1:22" ht="20.25" customHeight="1">
      <c r="A178" s="64"/>
      <c r="B178" s="60" t="s">
        <v>314</v>
      </c>
      <c r="C178" s="42"/>
      <c r="D178" s="189"/>
      <c r="E178" s="189"/>
      <c r="F178" s="189"/>
      <c r="G178" s="189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89">
        <v>4889.16</v>
      </c>
      <c r="T178" s="187">
        <f t="shared" si="12"/>
        <v>4889.16</v>
      </c>
      <c r="U178" s="93"/>
      <c r="V178" s="57"/>
    </row>
    <row r="179" spans="1:22" ht="20.25" customHeight="1">
      <c r="A179" s="64"/>
      <c r="B179" s="60" t="s">
        <v>259</v>
      </c>
      <c r="C179" s="42"/>
      <c r="D179" s="189"/>
      <c r="E179" s="189"/>
      <c r="F179" s="189"/>
      <c r="G179" s="189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89"/>
      <c r="T179" s="187">
        <f t="shared" si="12"/>
        <v>0</v>
      </c>
      <c r="U179" s="93"/>
      <c r="V179" s="57"/>
    </row>
    <row r="180" spans="1:21" ht="20.25" customHeight="1">
      <c r="A180" s="64"/>
      <c r="B180" s="55"/>
      <c r="C180" s="43"/>
      <c r="D180" s="189"/>
      <c r="E180" s="189"/>
      <c r="F180" s="189"/>
      <c r="G180" s="189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87"/>
      <c r="U180" s="93"/>
    </row>
    <row r="181" spans="1:21" ht="20.25" customHeight="1">
      <c r="A181" s="69" t="s">
        <v>66</v>
      </c>
      <c r="B181" s="71"/>
      <c r="C181" s="72"/>
      <c r="D181" s="174">
        <f aca="true" t="shared" si="13" ref="D181:S181">SUM(D182:D185)</f>
        <v>89740</v>
      </c>
      <c r="E181" s="174">
        <f t="shared" si="13"/>
        <v>22540</v>
      </c>
      <c r="F181" s="174">
        <f t="shared" si="13"/>
        <v>0</v>
      </c>
      <c r="G181" s="174">
        <f t="shared" si="13"/>
        <v>5000</v>
      </c>
      <c r="H181" s="174">
        <f t="shared" si="13"/>
        <v>8890</v>
      </c>
      <c r="I181" s="174">
        <f t="shared" si="13"/>
        <v>1900</v>
      </c>
      <c r="J181" s="174">
        <f t="shared" si="13"/>
        <v>12800</v>
      </c>
      <c r="K181" s="174">
        <f t="shared" si="13"/>
        <v>11190</v>
      </c>
      <c r="L181" s="174">
        <f t="shared" si="13"/>
        <v>0</v>
      </c>
      <c r="M181" s="174">
        <f t="shared" si="13"/>
        <v>0</v>
      </c>
      <c r="N181" s="174">
        <f t="shared" si="13"/>
        <v>0</v>
      </c>
      <c r="O181" s="174">
        <f t="shared" si="13"/>
        <v>0</v>
      </c>
      <c r="P181" s="174">
        <f t="shared" si="13"/>
        <v>12720</v>
      </c>
      <c r="Q181" s="174">
        <f t="shared" si="13"/>
        <v>0</v>
      </c>
      <c r="R181" s="174">
        <f t="shared" si="13"/>
        <v>3400</v>
      </c>
      <c r="S181" s="174">
        <f t="shared" si="13"/>
        <v>7000</v>
      </c>
      <c r="T181" s="187">
        <f t="shared" si="10"/>
        <v>175180</v>
      </c>
      <c r="U181" s="93"/>
    </row>
    <row r="182" spans="1:21" ht="20.25" customHeight="1">
      <c r="A182" s="69"/>
      <c r="B182" s="60" t="s">
        <v>153</v>
      </c>
      <c r="C182" s="42"/>
      <c r="D182" s="174">
        <v>4500</v>
      </c>
      <c r="E182" s="174">
        <v>7540</v>
      </c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>
        <v>3700</v>
      </c>
      <c r="T182" s="187">
        <f t="shared" si="10"/>
        <v>15740</v>
      </c>
      <c r="U182" s="93"/>
    </row>
    <row r="183" spans="1:21" ht="20.25" customHeight="1">
      <c r="A183" s="69"/>
      <c r="B183" s="60" t="s">
        <v>154</v>
      </c>
      <c r="C183" s="42"/>
      <c r="D183" s="174">
        <f>120240-35000</f>
        <v>85240</v>
      </c>
      <c r="E183" s="174">
        <v>15000</v>
      </c>
      <c r="F183" s="174"/>
      <c r="G183" s="174">
        <v>5000</v>
      </c>
      <c r="H183" s="174">
        <v>8890</v>
      </c>
      <c r="I183" s="174">
        <v>1900</v>
      </c>
      <c r="J183" s="174">
        <v>12800</v>
      </c>
      <c r="K183" s="174">
        <v>11190</v>
      </c>
      <c r="L183" s="174"/>
      <c r="M183" s="174"/>
      <c r="N183" s="174"/>
      <c r="O183" s="174"/>
      <c r="P183" s="174">
        <v>12720</v>
      </c>
      <c r="Q183" s="174"/>
      <c r="R183" s="174">
        <v>3400</v>
      </c>
      <c r="S183" s="174">
        <v>3300</v>
      </c>
      <c r="T183" s="187">
        <f t="shared" si="10"/>
        <v>159440</v>
      </c>
      <c r="U183" s="93"/>
    </row>
    <row r="184" spans="1:21" ht="20.25" customHeight="1">
      <c r="A184" s="69"/>
      <c r="B184" s="60" t="s">
        <v>155</v>
      </c>
      <c r="C184" s="42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87">
        <f t="shared" si="10"/>
        <v>0</v>
      </c>
      <c r="U184" s="93"/>
    </row>
    <row r="185" spans="1:21" ht="20.25" customHeight="1">
      <c r="A185" s="69"/>
      <c r="B185" s="60" t="s">
        <v>156</v>
      </c>
      <c r="C185" s="42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87">
        <f t="shared" si="10"/>
        <v>0</v>
      </c>
      <c r="U185" s="93"/>
    </row>
    <row r="186" spans="1:21" ht="20.25" customHeight="1">
      <c r="A186" s="69"/>
      <c r="B186" s="60"/>
      <c r="C186" s="42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87"/>
      <c r="U186" s="93"/>
    </row>
    <row r="187" spans="1:21" ht="20.25" customHeight="1">
      <c r="A187" s="69" t="s">
        <v>67</v>
      </c>
      <c r="B187" s="71" t="s">
        <v>224</v>
      </c>
      <c r="C187" s="72"/>
      <c r="D187" s="174">
        <f aca="true" t="shared" si="14" ref="D187:S187">SUM(D188:D189)</f>
        <v>0</v>
      </c>
      <c r="E187" s="174"/>
      <c r="F187" s="174"/>
      <c r="G187" s="174">
        <f t="shared" si="14"/>
        <v>0</v>
      </c>
      <c r="H187" s="174">
        <f t="shared" si="14"/>
        <v>0</v>
      </c>
      <c r="I187" s="174">
        <f t="shared" si="14"/>
        <v>0</v>
      </c>
      <c r="J187" s="174">
        <f t="shared" si="14"/>
        <v>0</v>
      </c>
      <c r="K187" s="174">
        <f t="shared" si="14"/>
        <v>0</v>
      </c>
      <c r="L187" s="174"/>
      <c r="M187" s="179">
        <f t="shared" si="14"/>
        <v>0</v>
      </c>
      <c r="N187" s="179">
        <f t="shared" si="14"/>
        <v>0</v>
      </c>
      <c r="O187" s="174">
        <f t="shared" si="14"/>
        <v>0</v>
      </c>
      <c r="P187" s="174">
        <f t="shared" si="14"/>
        <v>0</v>
      </c>
      <c r="Q187" s="174">
        <f t="shared" si="14"/>
        <v>0</v>
      </c>
      <c r="R187" s="174">
        <f t="shared" si="14"/>
        <v>0</v>
      </c>
      <c r="S187" s="174">
        <f t="shared" si="14"/>
        <v>0</v>
      </c>
      <c r="T187" s="180">
        <f t="shared" si="10"/>
        <v>0</v>
      </c>
      <c r="U187" s="93"/>
    </row>
    <row r="188" spans="1:21" ht="20.25" customHeight="1">
      <c r="A188" s="69"/>
      <c r="B188" s="60" t="s">
        <v>68</v>
      </c>
      <c r="C188" s="42"/>
      <c r="D188" s="174"/>
      <c r="E188" s="174"/>
      <c r="F188" s="174"/>
      <c r="G188" s="174"/>
      <c r="H188" s="174"/>
      <c r="I188" s="174"/>
      <c r="J188" s="174"/>
      <c r="K188" s="174"/>
      <c r="L188" s="174"/>
      <c r="M188" s="179"/>
      <c r="N188" s="179"/>
      <c r="O188" s="174"/>
      <c r="P188" s="174"/>
      <c r="Q188" s="174"/>
      <c r="R188" s="174"/>
      <c r="S188" s="174"/>
      <c r="T188" s="175">
        <f t="shared" si="10"/>
        <v>0</v>
      </c>
      <c r="U188" s="93"/>
    </row>
    <row r="189" spans="1:21" ht="20.25" customHeight="1">
      <c r="A189" s="69"/>
      <c r="B189" s="60" t="s">
        <v>69</v>
      </c>
      <c r="C189" s="42"/>
      <c r="D189" s="175"/>
      <c r="E189" s="175"/>
      <c r="F189" s="175"/>
      <c r="G189" s="174"/>
      <c r="H189" s="174"/>
      <c r="I189" s="174"/>
      <c r="J189" s="174"/>
      <c r="K189" s="174"/>
      <c r="L189" s="174"/>
      <c r="M189" s="179"/>
      <c r="N189" s="179"/>
      <c r="O189" s="174"/>
      <c r="P189" s="174"/>
      <c r="Q189" s="174"/>
      <c r="R189" s="174"/>
      <c r="S189" s="174"/>
      <c r="T189" s="180">
        <f t="shared" si="10"/>
        <v>0</v>
      </c>
      <c r="U189" s="93"/>
    </row>
    <row r="190" spans="1:21" ht="20.25" customHeight="1">
      <c r="A190" s="69"/>
      <c r="B190" s="55"/>
      <c r="C190" s="43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87">
        <f t="shared" si="10"/>
        <v>0</v>
      </c>
      <c r="U190" s="93"/>
    </row>
    <row r="191" spans="1:21" ht="20.25" customHeight="1">
      <c r="A191" s="69" t="s">
        <v>70</v>
      </c>
      <c r="B191" s="71" t="s">
        <v>71</v>
      </c>
      <c r="C191" s="72"/>
      <c r="D191" s="174">
        <f aca="true" t="shared" si="15" ref="D191:S191">SUM(D192)</f>
        <v>15000</v>
      </c>
      <c r="E191" s="174"/>
      <c r="F191" s="174"/>
      <c r="G191" s="174">
        <f t="shared" si="15"/>
        <v>0</v>
      </c>
      <c r="H191" s="174">
        <f t="shared" si="15"/>
        <v>0</v>
      </c>
      <c r="I191" s="174">
        <f t="shared" si="15"/>
        <v>0</v>
      </c>
      <c r="J191" s="174">
        <f t="shared" si="15"/>
        <v>0</v>
      </c>
      <c r="K191" s="174">
        <f t="shared" si="15"/>
        <v>0</v>
      </c>
      <c r="L191" s="174"/>
      <c r="M191" s="174">
        <f t="shared" si="15"/>
        <v>0</v>
      </c>
      <c r="N191" s="174">
        <f t="shared" si="15"/>
        <v>0</v>
      </c>
      <c r="O191" s="174">
        <f t="shared" si="15"/>
        <v>0</v>
      </c>
      <c r="P191" s="174">
        <f t="shared" si="15"/>
        <v>0</v>
      </c>
      <c r="Q191" s="174">
        <f t="shared" si="15"/>
        <v>0</v>
      </c>
      <c r="R191" s="174">
        <f t="shared" si="15"/>
        <v>0</v>
      </c>
      <c r="S191" s="174">
        <f t="shared" si="15"/>
        <v>0</v>
      </c>
      <c r="T191" s="187">
        <f t="shared" si="10"/>
        <v>15000</v>
      </c>
      <c r="U191" s="93"/>
    </row>
    <row r="192" spans="1:21" ht="20.25" customHeight="1">
      <c r="A192" s="69"/>
      <c r="B192" s="60" t="s">
        <v>72</v>
      </c>
      <c r="C192" s="42"/>
      <c r="D192" s="174">
        <v>15000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87">
        <f t="shared" si="10"/>
        <v>15000</v>
      </c>
      <c r="U192" s="93"/>
    </row>
    <row r="193" spans="1:21" ht="20.25" customHeight="1">
      <c r="A193" s="69"/>
      <c r="B193" s="72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87">
        <f t="shared" si="10"/>
        <v>0</v>
      </c>
      <c r="U193" s="93"/>
    </row>
    <row r="194" spans="1:21" ht="20.25" customHeight="1">
      <c r="A194" s="69" t="s">
        <v>73</v>
      </c>
      <c r="B194" s="71" t="s">
        <v>74</v>
      </c>
      <c r="C194" s="72"/>
      <c r="D194" s="174">
        <f aca="true" t="shared" si="16" ref="D194:S194">SUM(D195)</f>
        <v>0</v>
      </c>
      <c r="E194" s="174"/>
      <c r="F194" s="174"/>
      <c r="G194" s="174">
        <f t="shared" si="16"/>
        <v>0</v>
      </c>
      <c r="H194" s="174">
        <f t="shared" si="16"/>
        <v>0</v>
      </c>
      <c r="I194" s="174">
        <f t="shared" si="16"/>
        <v>0</v>
      </c>
      <c r="J194" s="174">
        <f t="shared" si="16"/>
        <v>0</v>
      </c>
      <c r="K194" s="174">
        <f t="shared" si="16"/>
        <v>0</v>
      </c>
      <c r="L194" s="174"/>
      <c r="M194" s="174">
        <f t="shared" si="16"/>
        <v>0</v>
      </c>
      <c r="N194" s="174">
        <f t="shared" si="16"/>
        <v>0</v>
      </c>
      <c r="O194" s="174">
        <f t="shared" si="16"/>
        <v>0</v>
      </c>
      <c r="P194" s="174">
        <f t="shared" si="16"/>
        <v>0</v>
      </c>
      <c r="Q194" s="174">
        <f t="shared" si="16"/>
        <v>0</v>
      </c>
      <c r="R194" s="174">
        <f t="shared" si="16"/>
        <v>0</v>
      </c>
      <c r="S194" s="174">
        <f t="shared" si="16"/>
        <v>0</v>
      </c>
      <c r="T194" s="187">
        <f t="shared" si="10"/>
        <v>0</v>
      </c>
      <c r="U194" s="93"/>
    </row>
    <row r="195" spans="1:21" ht="20.25" customHeight="1">
      <c r="A195" s="69"/>
      <c r="B195" s="60" t="s">
        <v>75</v>
      </c>
      <c r="C195" s="42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>
        <v>0</v>
      </c>
      <c r="T195" s="187">
        <f t="shared" si="10"/>
        <v>0</v>
      </c>
      <c r="U195" s="93"/>
    </row>
    <row r="196" spans="1:21" ht="20.25" customHeight="1">
      <c r="A196" s="69"/>
      <c r="B196" s="72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87">
        <f t="shared" si="10"/>
        <v>0</v>
      </c>
      <c r="U196" s="93"/>
    </row>
    <row r="197" spans="1:22" ht="20.25" customHeight="1">
      <c r="A197" s="69" t="s">
        <v>76</v>
      </c>
      <c r="B197" s="71" t="s">
        <v>77</v>
      </c>
      <c r="C197" s="72"/>
      <c r="D197" s="174">
        <f aca="true" t="shared" si="17" ref="D197:L197">SUM(D198:D211)</f>
        <v>46797.020000000004</v>
      </c>
      <c r="E197" s="174">
        <f t="shared" si="17"/>
        <v>28237.45</v>
      </c>
      <c r="F197" s="174">
        <f t="shared" si="17"/>
        <v>0</v>
      </c>
      <c r="G197" s="174">
        <f t="shared" si="17"/>
        <v>4944</v>
      </c>
      <c r="H197" s="174">
        <f t="shared" si="17"/>
        <v>1118</v>
      </c>
      <c r="I197" s="174">
        <f t="shared" si="17"/>
        <v>0</v>
      </c>
      <c r="J197" s="174">
        <f t="shared" si="17"/>
        <v>2369.6</v>
      </c>
      <c r="K197" s="174">
        <f t="shared" si="17"/>
        <v>450</v>
      </c>
      <c r="L197" s="174">
        <f t="shared" si="17"/>
        <v>968</v>
      </c>
      <c r="M197" s="174">
        <f aca="true" t="shared" si="18" ref="M197:S197">SUM(M198:M211)</f>
        <v>0</v>
      </c>
      <c r="N197" s="174">
        <f t="shared" si="18"/>
        <v>0</v>
      </c>
      <c r="O197" s="174">
        <f t="shared" si="18"/>
        <v>138</v>
      </c>
      <c r="P197" s="174">
        <f t="shared" si="18"/>
        <v>721</v>
      </c>
      <c r="Q197" s="174">
        <f t="shared" si="18"/>
        <v>0</v>
      </c>
      <c r="R197" s="174">
        <f t="shared" si="18"/>
        <v>406</v>
      </c>
      <c r="S197" s="174">
        <f t="shared" si="18"/>
        <v>5501</v>
      </c>
      <c r="T197" s="175">
        <f t="shared" si="10"/>
        <v>91650.07</v>
      </c>
      <c r="U197" s="93"/>
      <c r="V197" s="57">
        <f>SUM(T198:T210)</f>
        <v>91650.06999999999</v>
      </c>
    </row>
    <row r="198" spans="1:22" ht="20.25" customHeight="1">
      <c r="A198" s="69"/>
      <c r="B198" s="60" t="s">
        <v>78</v>
      </c>
      <c r="C198" s="42"/>
      <c r="D198" s="174">
        <v>412</v>
      </c>
      <c r="E198" s="174">
        <v>247.2</v>
      </c>
      <c r="F198" s="174"/>
      <c r="G198" s="174"/>
      <c r="H198" s="174">
        <v>268</v>
      </c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>
        <v>1800</v>
      </c>
      <c r="T198" s="187">
        <f t="shared" si="10"/>
        <v>2727.2</v>
      </c>
      <c r="U198" s="93"/>
      <c r="V198" s="57"/>
    </row>
    <row r="199" spans="1:22" ht="20.25" customHeight="1">
      <c r="A199" s="69"/>
      <c r="B199" s="60" t="s">
        <v>79</v>
      </c>
      <c r="C199" s="42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87">
        <f t="shared" si="10"/>
        <v>0</v>
      </c>
      <c r="U199" s="93"/>
      <c r="V199" s="57"/>
    </row>
    <row r="200" spans="1:22" ht="20.25" customHeight="1">
      <c r="A200" s="69"/>
      <c r="B200" s="60" t="s">
        <v>227</v>
      </c>
      <c r="C200" s="42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>
        <v>570</v>
      </c>
      <c r="T200" s="187">
        <f t="shared" si="10"/>
        <v>570</v>
      </c>
      <c r="U200" s="93"/>
      <c r="V200" s="57"/>
    </row>
    <row r="201" spans="1:22" ht="20.25" customHeight="1">
      <c r="A201" s="69"/>
      <c r="B201" s="60" t="s">
        <v>176</v>
      </c>
      <c r="C201" s="42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87">
        <f t="shared" si="10"/>
        <v>0</v>
      </c>
      <c r="U201" s="93"/>
      <c r="V201" s="57"/>
    </row>
    <row r="202" spans="1:22" ht="20.25" customHeight="1">
      <c r="A202" s="69"/>
      <c r="B202" s="60" t="s">
        <v>260</v>
      </c>
      <c r="C202" s="42"/>
      <c r="D202" s="174"/>
      <c r="E202" s="174"/>
      <c r="F202" s="174"/>
      <c r="G202" s="174"/>
      <c r="H202" s="174"/>
      <c r="I202" s="174"/>
      <c r="J202" s="174"/>
      <c r="K202" s="174"/>
      <c r="L202" s="174">
        <v>443</v>
      </c>
      <c r="M202" s="174"/>
      <c r="N202" s="174"/>
      <c r="O202" s="174"/>
      <c r="P202" s="174"/>
      <c r="Q202" s="174"/>
      <c r="R202" s="174"/>
      <c r="S202" s="174"/>
      <c r="T202" s="187">
        <f t="shared" si="10"/>
        <v>443</v>
      </c>
      <c r="U202" s="93"/>
      <c r="V202" s="57"/>
    </row>
    <row r="203" spans="1:22" ht="20.25" customHeight="1">
      <c r="A203" s="69"/>
      <c r="B203" s="60" t="s">
        <v>80</v>
      </c>
      <c r="C203" s="42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87">
        <f t="shared" si="10"/>
        <v>0</v>
      </c>
      <c r="U203" s="93"/>
      <c r="V203" s="57"/>
    </row>
    <row r="204" spans="1:22" ht="20.25" customHeight="1">
      <c r="A204" s="69"/>
      <c r="B204" s="60" t="s">
        <v>149</v>
      </c>
      <c r="C204" s="42"/>
      <c r="D204" s="174">
        <v>31209</v>
      </c>
      <c r="E204" s="174">
        <v>15347</v>
      </c>
      <c r="F204" s="174"/>
      <c r="G204" s="174"/>
      <c r="H204" s="174"/>
      <c r="I204" s="174"/>
      <c r="J204" s="174">
        <v>2183.6</v>
      </c>
      <c r="K204" s="174">
        <v>450</v>
      </c>
      <c r="L204" s="174">
        <v>525</v>
      </c>
      <c r="M204" s="174"/>
      <c r="N204" s="174"/>
      <c r="O204" s="174"/>
      <c r="P204" s="174">
        <v>309</v>
      </c>
      <c r="Q204" s="174"/>
      <c r="R204" s="174">
        <v>220</v>
      </c>
      <c r="S204" s="174"/>
      <c r="T204" s="187">
        <f t="shared" si="10"/>
        <v>50243.6</v>
      </c>
      <c r="U204" s="93"/>
      <c r="V204" s="57"/>
    </row>
    <row r="205" spans="1:22" ht="20.25" customHeight="1">
      <c r="A205" s="69"/>
      <c r="B205" s="60" t="s">
        <v>261</v>
      </c>
      <c r="C205" s="42"/>
      <c r="D205" s="174">
        <v>1184.5</v>
      </c>
      <c r="E205" s="174">
        <v>283.25</v>
      </c>
      <c r="F205" s="174"/>
      <c r="G205" s="174"/>
      <c r="H205" s="174"/>
      <c r="I205" s="174"/>
      <c r="J205" s="174">
        <v>186</v>
      </c>
      <c r="K205" s="174"/>
      <c r="L205" s="174"/>
      <c r="M205" s="174"/>
      <c r="N205" s="174"/>
      <c r="O205" s="174"/>
      <c r="P205" s="174">
        <v>412</v>
      </c>
      <c r="Q205" s="174"/>
      <c r="R205" s="174">
        <v>186</v>
      </c>
      <c r="S205" s="174">
        <v>1442</v>
      </c>
      <c r="T205" s="187">
        <f t="shared" si="10"/>
        <v>3693.75</v>
      </c>
      <c r="U205" s="93"/>
      <c r="V205" s="57"/>
    </row>
    <row r="206" spans="1:22" ht="20.25" customHeight="1">
      <c r="A206" s="69"/>
      <c r="B206" s="60" t="s">
        <v>81</v>
      </c>
      <c r="C206" s="42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5"/>
      <c r="T206" s="187">
        <f t="shared" si="10"/>
        <v>0</v>
      </c>
      <c r="U206" s="93"/>
      <c r="V206" s="57"/>
    </row>
    <row r="207" spans="1:23" s="80" customFormat="1" ht="20.25" customHeight="1">
      <c r="A207" s="115"/>
      <c r="B207" s="95" t="s">
        <v>150</v>
      </c>
      <c r="C207" s="78"/>
      <c r="D207" s="174">
        <v>13991.52</v>
      </c>
      <c r="E207" s="174">
        <v>12360</v>
      </c>
      <c r="F207" s="174"/>
      <c r="G207" s="174">
        <v>4944</v>
      </c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87">
        <f t="shared" si="10"/>
        <v>31295.52</v>
      </c>
      <c r="U207" s="96"/>
      <c r="V207" s="84"/>
      <c r="W207" s="84"/>
    </row>
    <row r="208" spans="1:22" ht="20.25" customHeight="1">
      <c r="A208" s="69"/>
      <c r="B208" s="55" t="s">
        <v>175</v>
      </c>
      <c r="C208" s="42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>
        <v>1339</v>
      </c>
      <c r="T208" s="187">
        <f t="shared" si="10"/>
        <v>1339</v>
      </c>
      <c r="U208" s="93"/>
      <c r="V208" s="57"/>
    </row>
    <row r="209" spans="1:22" s="80" customFormat="1" ht="20.25" customHeight="1">
      <c r="A209" s="115"/>
      <c r="B209" s="118" t="s">
        <v>82</v>
      </c>
      <c r="C209" s="119"/>
      <c r="D209" s="174"/>
      <c r="E209" s="174"/>
      <c r="F209" s="174"/>
      <c r="G209" s="174"/>
      <c r="H209" s="174">
        <v>850</v>
      </c>
      <c r="I209" s="174"/>
      <c r="J209" s="174"/>
      <c r="K209" s="174"/>
      <c r="L209" s="174"/>
      <c r="M209" s="174"/>
      <c r="N209" s="174"/>
      <c r="O209" s="174">
        <v>138</v>
      </c>
      <c r="P209" s="174"/>
      <c r="Q209" s="174"/>
      <c r="R209" s="174"/>
      <c r="S209" s="174">
        <v>350</v>
      </c>
      <c r="T209" s="187">
        <f t="shared" si="10"/>
        <v>1338</v>
      </c>
      <c r="U209" s="96"/>
      <c r="V209" s="84"/>
    </row>
    <row r="210" spans="1:22" s="80" customFormat="1" ht="20.25" customHeight="1">
      <c r="A210" s="115"/>
      <c r="B210" s="118" t="s">
        <v>262</v>
      </c>
      <c r="C210" s="119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87">
        <f t="shared" si="10"/>
        <v>0</v>
      </c>
      <c r="U210" s="96"/>
      <c r="V210" s="84"/>
    </row>
    <row r="211" spans="1:22" s="80" customFormat="1" ht="20.25" customHeight="1">
      <c r="A211" s="115"/>
      <c r="B211" s="95" t="s">
        <v>263</v>
      </c>
      <c r="C211" s="119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87">
        <f t="shared" si="10"/>
        <v>0</v>
      </c>
      <c r="U211" s="96"/>
      <c r="V211" s="84"/>
    </row>
    <row r="212" spans="1:21" ht="20.25" customHeight="1">
      <c r="A212" s="81"/>
      <c r="B212" s="42" t="s">
        <v>36</v>
      </c>
      <c r="C212" s="75"/>
      <c r="D212" s="182">
        <f aca="true" t="shared" si="19" ref="D212:T212">D66+D82+D86+D147+D159+D167+D181+D187+D191+D194+D197</f>
        <v>3014088.9529000004</v>
      </c>
      <c r="E212" s="182">
        <f t="shared" si="19"/>
        <v>1229313.81</v>
      </c>
      <c r="F212" s="182">
        <f t="shared" si="19"/>
        <v>212591.88</v>
      </c>
      <c r="G212" s="182">
        <f t="shared" si="19"/>
        <v>525792.1198</v>
      </c>
      <c r="H212" s="182">
        <f t="shared" si="19"/>
        <v>562709.3652</v>
      </c>
      <c r="I212" s="182">
        <f t="shared" si="19"/>
        <v>149005.18199999997</v>
      </c>
      <c r="J212" s="182">
        <f t="shared" si="19"/>
        <v>129446.8242</v>
      </c>
      <c r="K212" s="182">
        <f t="shared" si="19"/>
        <v>43761.71000000001</v>
      </c>
      <c r="L212" s="182">
        <f t="shared" si="19"/>
        <v>17506.2</v>
      </c>
      <c r="M212" s="182">
        <f t="shared" si="19"/>
        <v>0</v>
      </c>
      <c r="N212" s="182">
        <f t="shared" si="19"/>
        <v>0</v>
      </c>
      <c r="O212" s="182">
        <f t="shared" si="19"/>
        <v>14161.45</v>
      </c>
      <c r="P212" s="182">
        <f t="shared" si="19"/>
        <v>268868.64</v>
      </c>
      <c r="Q212" s="182">
        <f t="shared" si="19"/>
        <v>101469.59999999999</v>
      </c>
      <c r="R212" s="182">
        <f t="shared" si="19"/>
        <v>241855.25999999998</v>
      </c>
      <c r="S212" s="182">
        <f t="shared" si="19"/>
        <v>846773.9724000001</v>
      </c>
      <c r="T212" s="204">
        <f t="shared" si="19"/>
        <v>7357344.966500001</v>
      </c>
      <c r="U212" s="120"/>
    </row>
    <row r="213" spans="1:20" ht="20.25" customHeight="1">
      <c r="A213" s="71"/>
      <c r="B213" s="72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192"/>
    </row>
    <row r="214" spans="1:20" s="122" customFormat="1" ht="20.25" customHeight="1">
      <c r="A214" s="71"/>
      <c r="B214" s="121"/>
      <c r="D214" s="205"/>
      <c r="E214" s="205"/>
      <c r="F214" s="205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192"/>
    </row>
    <row r="215" spans="4:21" ht="20.25" customHeight="1">
      <c r="D215" s="162" t="s">
        <v>0</v>
      </c>
      <c r="E215" s="163" t="s">
        <v>0</v>
      </c>
      <c r="F215" s="163" t="s">
        <v>324</v>
      </c>
      <c r="G215" s="163"/>
      <c r="H215" s="164" t="s">
        <v>1</v>
      </c>
      <c r="I215" s="163" t="s">
        <v>2</v>
      </c>
      <c r="J215" s="166" t="s">
        <v>3</v>
      </c>
      <c r="K215" s="164" t="s">
        <v>230</v>
      </c>
      <c r="L215" s="164" t="s">
        <v>288</v>
      </c>
      <c r="M215" s="163" t="s">
        <v>4</v>
      </c>
      <c r="N215" s="163" t="s">
        <v>4</v>
      </c>
      <c r="O215" s="163" t="s">
        <v>1</v>
      </c>
      <c r="P215" s="163" t="s">
        <v>277</v>
      </c>
      <c r="Q215" s="163" t="s">
        <v>5</v>
      </c>
      <c r="R215" s="163"/>
      <c r="S215" s="163"/>
      <c r="T215" s="162" t="s">
        <v>6</v>
      </c>
      <c r="U215" s="45"/>
    </row>
    <row r="216" spans="4:21" ht="20.25" customHeight="1">
      <c r="D216" s="168" t="s">
        <v>7</v>
      </c>
      <c r="E216" s="169" t="s">
        <v>304</v>
      </c>
      <c r="F216" s="169" t="s">
        <v>325</v>
      </c>
      <c r="G216" s="169" t="s">
        <v>128</v>
      </c>
      <c r="H216" s="169" t="s">
        <v>8</v>
      </c>
      <c r="I216" s="169" t="s">
        <v>9</v>
      </c>
      <c r="J216" s="168" t="s">
        <v>279</v>
      </c>
      <c r="K216" s="170" t="s">
        <v>229</v>
      </c>
      <c r="L216" s="170" t="s">
        <v>137</v>
      </c>
      <c r="M216" s="170" t="s">
        <v>10</v>
      </c>
      <c r="N216" s="170" t="s">
        <v>11</v>
      </c>
      <c r="O216" s="170" t="s">
        <v>12</v>
      </c>
      <c r="P216" s="169" t="s">
        <v>244</v>
      </c>
      <c r="Q216" s="169" t="s">
        <v>242</v>
      </c>
      <c r="R216" s="169" t="s">
        <v>194</v>
      </c>
      <c r="S216" s="169" t="s">
        <v>299</v>
      </c>
      <c r="T216" s="168" t="s">
        <v>13</v>
      </c>
      <c r="U216" s="85"/>
    </row>
    <row r="217" spans="4:21" ht="20.25" customHeight="1">
      <c r="D217" s="195" t="s">
        <v>15</v>
      </c>
      <c r="E217" s="197" t="s">
        <v>305</v>
      </c>
      <c r="F217" s="197"/>
      <c r="G217" s="197"/>
      <c r="H217" s="197" t="s">
        <v>16</v>
      </c>
      <c r="I217" s="200" t="s">
        <v>134</v>
      </c>
      <c r="J217" s="168" t="s">
        <v>135</v>
      </c>
      <c r="K217" s="197"/>
      <c r="L217" s="197" t="s">
        <v>289</v>
      </c>
      <c r="M217" s="199"/>
      <c r="N217" s="199"/>
      <c r="O217" s="199"/>
      <c r="P217" s="200"/>
      <c r="Q217" s="200"/>
      <c r="R217" s="200"/>
      <c r="S217" s="200"/>
      <c r="T217" s="195" t="s">
        <v>17</v>
      </c>
      <c r="U217" s="86"/>
    </row>
    <row r="218" spans="1:21" ht="20.25" customHeight="1">
      <c r="A218" s="49" t="s">
        <v>83</v>
      </c>
      <c r="B218" s="123" t="s">
        <v>84</v>
      </c>
      <c r="C218" s="89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207"/>
      <c r="U218" s="124"/>
    </row>
    <row r="219" spans="1:21" ht="20.25" customHeight="1">
      <c r="A219" s="69" t="s">
        <v>85</v>
      </c>
      <c r="B219" s="62" t="s">
        <v>86</v>
      </c>
      <c r="C219" s="60"/>
      <c r="D219" s="186">
        <v>0</v>
      </c>
      <c r="E219" s="186">
        <v>0</v>
      </c>
      <c r="F219" s="186">
        <v>0</v>
      </c>
      <c r="G219" s="186">
        <v>0</v>
      </c>
      <c r="H219" s="186">
        <v>0</v>
      </c>
      <c r="I219" s="186">
        <v>0</v>
      </c>
      <c r="J219" s="186">
        <v>0</v>
      </c>
      <c r="K219" s="186">
        <v>0</v>
      </c>
      <c r="L219" s="186"/>
      <c r="M219" s="186">
        <v>0</v>
      </c>
      <c r="N219" s="186">
        <v>0</v>
      </c>
      <c r="O219" s="186">
        <v>0</v>
      </c>
      <c r="P219" s="186">
        <v>0</v>
      </c>
      <c r="Q219" s="186">
        <v>0</v>
      </c>
      <c r="R219" s="186">
        <v>0</v>
      </c>
      <c r="S219" s="186">
        <v>0</v>
      </c>
      <c r="T219" s="187">
        <f aca="true" t="shared" si="20" ref="T219:T259">SUM(D219:S219)</f>
        <v>0</v>
      </c>
      <c r="U219" s="125"/>
    </row>
    <row r="220" spans="1:21" ht="20.25" customHeight="1">
      <c r="A220" s="69" t="s">
        <v>87</v>
      </c>
      <c r="B220" s="71" t="s">
        <v>88</v>
      </c>
      <c r="C220" s="72"/>
      <c r="D220" s="208">
        <f aca="true" t="shared" si="21" ref="D220:S220">SUM(D221:D223)</f>
        <v>0</v>
      </c>
      <c r="E220" s="208">
        <f t="shared" si="21"/>
        <v>0</v>
      </c>
      <c r="F220" s="208"/>
      <c r="G220" s="208">
        <f t="shared" si="21"/>
        <v>0</v>
      </c>
      <c r="H220" s="208">
        <f t="shared" si="21"/>
        <v>0</v>
      </c>
      <c r="I220" s="208">
        <f t="shared" si="21"/>
        <v>0</v>
      </c>
      <c r="J220" s="208">
        <f t="shared" si="21"/>
        <v>0</v>
      </c>
      <c r="K220" s="208">
        <f t="shared" si="21"/>
        <v>0</v>
      </c>
      <c r="L220" s="208">
        <f t="shared" si="21"/>
        <v>0</v>
      </c>
      <c r="M220" s="208">
        <f t="shared" si="21"/>
        <v>0</v>
      </c>
      <c r="N220" s="208">
        <f t="shared" si="21"/>
        <v>0</v>
      </c>
      <c r="O220" s="208">
        <f t="shared" si="21"/>
        <v>0</v>
      </c>
      <c r="P220" s="208">
        <f t="shared" si="21"/>
        <v>0</v>
      </c>
      <c r="Q220" s="208">
        <f t="shared" si="21"/>
        <v>0</v>
      </c>
      <c r="R220" s="208">
        <f t="shared" si="21"/>
        <v>0</v>
      </c>
      <c r="S220" s="208">
        <f t="shared" si="21"/>
        <v>-10216</v>
      </c>
      <c r="T220" s="180">
        <f t="shared" si="20"/>
        <v>-10216</v>
      </c>
      <c r="U220" s="125"/>
    </row>
    <row r="221" spans="1:21" ht="20.25" customHeight="1">
      <c r="A221" s="69"/>
      <c r="B221" s="60" t="s">
        <v>89</v>
      </c>
      <c r="C221" s="42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4"/>
      <c r="R221" s="174"/>
      <c r="S221" s="209">
        <v>-10216</v>
      </c>
      <c r="T221" s="180">
        <f t="shared" si="20"/>
        <v>-10216</v>
      </c>
      <c r="U221" s="125"/>
    </row>
    <row r="222" spans="1:21" ht="20.25" customHeight="1">
      <c r="A222" s="69"/>
      <c r="B222" s="60" t="s">
        <v>90</v>
      </c>
      <c r="C222" s="42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209"/>
      <c r="T222" s="180">
        <f t="shared" si="20"/>
        <v>0</v>
      </c>
      <c r="U222" s="125"/>
    </row>
    <row r="223" spans="1:21" ht="20.25" customHeight="1">
      <c r="A223" s="69"/>
      <c r="B223" s="60" t="s">
        <v>91</v>
      </c>
      <c r="C223" s="42"/>
      <c r="D223" s="174"/>
      <c r="E223" s="211"/>
      <c r="F223" s="211"/>
      <c r="G223" s="211"/>
      <c r="H223" s="212"/>
      <c r="I223" s="212"/>
      <c r="J223" s="212"/>
      <c r="K223" s="213"/>
      <c r="L223" s="212"/>
      <c r="M223" s="212"/>
      <c r="N223" s="212"/>
      <c r="O223" s="212"/>
      <c r="P223" s="212"/>
      <c r="Q223" s="214"/>
      <c r="R223" s="214"/>
      <c r="S223" s="215"/>
      <c r="T223" s="180">
        <f t="shared" si="20"/>
        <v>0</v>
      </c>
      <c r="U223" s="125"/>
    </row>
    <row r="224" spans="1:21" ht="20.25" customHeight="1">
      <c r="A224" s="69" t="s">
        <v>92</v>
      </c>
      <c r="B224" s="71" t="s">
        <v>93</v>
      </c>
      <c r="C224" s="72"/>
      <c r="D224" s="174">
        <f>SUM(D225:D229)</f>
        <v>0</v>
      </c>
      <c r="E224" s="174">
        <f aca="true" t="shared" si="22" ref="E224:T224">SUM(E225:E229)</f>
        <v>0</v>
      </c>
      <c r="F224" s="174">
        <f t="shared" si="22"/>
        <v>0</v>
      </c>
      <c r="G224" s="174">
        <f t="shared" si="22"/>
        <v>0</v>
      </c>
      <c r="H224" s="174">
        <f t="shared" si="22"/>
        <v>0</v>
      </c>
      <c r="I224" s="174">
        <f t="shared" si="22"/>
        <v>0</v>
      </c>
      <c r="J224" s="174">
        <f t="shared" si="22"/>
        <v>0</v>
      </c>
      <c r="K224" s="174">
        <f t="shared" si="22"/>
        <v>0</v>
      </c>
      <c r="L224" s="174">
        <f t="shared" si="22"/>
        <v>0</v>
      </c>
      <c r="M224" s="174">
        <f t="shared" si="22"/>
        <v>0</v>
      </c>
      <c r="N224" s="174">
        <f t="shared" si="22"/>
        <v>0</v>
      </c>
      <c r="O224" s="174">
        <f t="shared" si="22"/>
        <v>0</v>
      </c>
      <c r="P224" s="174">
        <f t="shared" si="22"/>
        <v>0</v>
      </c>
      <c r="Q224" s="174">
        <f t="shared" si="22"/>
        <v>0</v>
      </c>
      <c r="R224" s="174">
        <f t="shared" si="22"/>
        <v>0</v>
      </c>
      <c r="S224" s="174">
        <f t="shared" si="22"/>
        <v>30000</v>
      </c>
      <c r="T224" s="174">
        <f t="shared" si="22"/>
        <v>30000</v>
      </c>
      <c r="U224" s="125"/>
    </row>
    <row r="225" spans="1:21" ht="20.25" customHeight="1">
      <c r="A225" s="69"/>
      <c r="B225" s="60" t="s">
        <v>94</v>
      </c>
      <c r="C225" s="42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215">
        <v>30000</v>
      </c>
      <c r="T225" s="187">
        <f t="shared" si="20"/>
        <v>30000</v>
      </c>
      <c r="U225" s="125"/>
    </row>
    <row r="226" spans="1:21" ht="20.25" customHeight="1">
      <c r="A226" s="69"/>
      <c r="B226" s="60" t="s">
        <v>95</v>
      </c>
      <c r="C226" s="42"/>
      <c r="D226" s="174"/>
      <c r="E226" s="211"/>
      <c r="F226" s="211"/>
      <c r="G226" s="211"/>
      <c r="H226" s="212"/>
      <c r="I226" s="212"/>
      <c r="J226" s="212"/>
      <c r="K226" s="212"/>
      <c r="L226" s="212"/>
      <c r="M226" s="212"/>
      <c r="N226" s="212"/>
      <c r="O226" s="212"/>
      <c r="P226" s="212"/>
      <c r="Q226" s="214"/>
      <c r="R226" s="214"/>
      <c r="S226" s="215"/>
      <c r="T226" s="187">
        <f t="shared" si="20"/>
        <v>0</v>
      </c>
      <c r="U226" s="125"/>
    </row>
    <row r="227" spans="1:21" ht="20.25" customHeight="1">
      <c r="A227" s="69"/>
      <c r="B227" s="60" t="s">
        <v>96</v>
      </c>
      <c r="C227" s="42"/>
      <c r="D227" s="174"/>
      <c r="E227" s="211"/>
      <c r="F227" s="211"/>
      <c r="G227" s="211"/>
      <c r="H227" s="212"/>
      <c r="I227" s="212"/>
      <c r="J227" s="212"/>
      <c r="K227" s="212"/>
      <c r="L227" s="212"/>
      <c r="M227" s="212"/>
      <c r="N227" s="212"/>
      <c r="O227" s="212"/>
      <c r="P227" s="212"/>
      <c r="Q227" s="214"/>
      <c r="R227" s="214"/>
      <c r="S227" s="215"/>
      <c r="T227" s="187">
        <f t="shared" si="20"/>
        <v>0</v>
      </c>
      <c r="U227" s="125"/>
    </row>
    <row r="228" spans="1:21" ht="20.25" customHeight="1">
      <c r="A228" s="69"/>
      <c r="B228" s="60" t="s">
        <v>301</v>
      </c>
      <c r="C228" s="42"/>
      <c r="D228" s="174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4"/>
      <c r="R228" s="214"/>
      <c r="S228" s="215"/>
      <c r="T228" s="187">
        <f t="shared" si="20"/>
        <v>0</v>
      </c>
      <c r="U228" s="125"/>
    </row>
    <row r="229" spans="1:21" ht="20.25" customHeight="1">
      <c r="A229" s="69"/>
      <c r="B229" s="60" t="s">
        <v>302</v>
      </c>
      <c r="C229" s="42"/>
      <c r="D229" s="174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4"/>
      <c r="R229" s="214"/>
      <c r="S229" s="215"/>
      <c r="T229" s="187">
        <f t="shared" si="20"/>
        <v>0</v>
      </c>
      <c r="U229" s="125"/>
    </row>
    <row r="230" spans="1:21" ht="20.25" customHeight="1">
      <c r="A230" s="81"/>
      <c r="B230" s="75" t="s">
        <v>36</v>
      </c>
      <c r="C230" s="75"/>
      <c r="D230" s="216">
        <f aca="true" t="shared" si="23" ref="D230:S230">D219+D220+D224</f>
        <v>0</v>
      </c>
      <c r="E230" s="216">
        <f t="shared" si="23"/>
        <v>0</v>
      </c>
      <c r="F230" s="216">
        <f t="shared" si="23"/>
        <v>0</v>
      </c>
      <c r="G230" s="216">
        <f t="shared" si="23"/>
        <v>0</v>
      </c>
      <c r="H230" s="216">
        <f t="shared" si="23"/>
        <v>0</v>
      </c>
      <c r="I230" s="216">
        <f t="shared" si="23"/>
        <v>0</v>
      </c>
      <c r="J230" s="216">
        <f t="shared" si="23"/>
        <v>0</v>
      </c>
      <c r="K230" s="216">
        <f t="shared" si="23"/>
        <v>0</v>
      </c>
      <c r="L230" s="216">
        <f t="shared" si="23"/>
        <v>0</v>
      </c>
      <c r="M230" s="216">
        <f t="shared" si="23"/>
        <v>0</v>
      </c>
      <c r="N230" s="216">
        <f t="shared" si="23"/>
        <v>0</v>
      </c>
      <c r="O230" s="216">
        <f t="shared" si="23"/>
        <v>0</v>
      </c>
      <c r="P230" s="216">
        <f t="shared" si="23"/>
        <v>0</v>
      </c>
      <c r="Q230" s="216">
        <f t="shared" si="23"/>
        <v>0</v>
      </c>
      <c r="R230" s="216">
        <f t="shared" si="23"/>
        <v>0</v>
      </c>
      <c r="S230" s="216">
        <f t="shared" si="23"/>
        <v>19784</v>
      </c>
      <c r="T230" s="216">
        <f>T219+T220+T224</f>
        <v>19784</v>
      </c>
      <c r="U230" s="120"/>
    </row>
    <row r="231" spans="1:21" ht="20.25" customHeight="1">
      <c r="A231" s="69"/>
      <c r="B231" s="55"/>
      <c r="C231" s="43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174"/>
      <c r="R231" s="174"/>
      <c r="S231" s="210"/>
      <c r="T231" s="187">
        <f t="shared" si="20"/>
        <v>0</v>
      </c>
      <c r="U231" s="126"/>
    </row>
    <row r="232" spans="1:21" ht="20.25" customHeight="1">
      <c r="A232" s="87" t="s">
        <v>97</v>
      </c>
      <c r="B232" s="88" t="s">
        <v>98</v>
      </c>
      <c r="C232" s="89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210"/>
      <c r="T232" s="187">
        <f t="shared" si="20"/>
        <v>0</v>
      </c>
      <c r="U232" s="127"/>
    </row>
    <row r="233" spans="1:21" ht="20.25" customHeight="1">
      <c r="A233" s="128"/>
      <c r="B233" s="129"/>
      <c r="C233" s="130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174"/>
      <c r="R233" s="174"/>
      <c r="S233" s="210"/>
      <c r="T233" s="187">
        <f t="shared" si="20"/>
        <v>0</v>
      </c>
      <c r="U233" s="125"/>
    </row>
    <row r="234" spans="1:21" ht="20.25" customHeight="1">
      <c r="A234" s="81"/>
      <c r="B234" s="75" t="s">
        <v>36</v>
      </c>
      <c r="C234" s="75"/>
      <c r="D234" s="204">
        <v>0</v>
      </c>
      <c r="E234" s="204">
        <v>0</v>
      </c>
      <c r="F234" s="204">
        <v>0</v>
      </c>
      <c r="G234" s="204">
        <v>0</v>
      </c>
      <c r="H234" s="204">
        <v>0</v>
      </c>
      <c r="I234" s="204">
        <v>0</v>
      </c>
      <c r="J234" s="204">
        <v>0</v>
      </c>
      <c r="K234" s="204">
        <v>0</v>
      </c>
      <c r="L234" s="204"/>
      <c r="M234" s="204">
        <v>0</v>
      </c>
      <c r="N234" s="204">
        <v>0</v>
      </c>
      <c r="O234" s="204">
        <v>0</v>
      </c>
      <c r="P234" s="204">
        <v>0</v>
      </c>
      <c r="Q234" s="204">
        <v>0</v>
      </c>
      <c r="R234" s="204">
        <v>0</v>
      </c>
      <c r="S234" s="219">
        <v>0</v>
      </c>
      <c r="T234" s="220">
        <v>0</v>
      </c>
      <c r="U234" s="131"/>
    </row>
    <row r="235" spans="1:21" ht="20.25" customHeight="1">
      <c r="A235" s="64"/>
      <c r="B235" s="132"/>
      <c r="C235" s="72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174"/>
      <c r="R235" s="174"/>
      <c r="S235" s="210"/>
      <c r="T235" s="187">
        <f t="shared" si="20"/>
        <v>0</v>
      </c>
      <c r="U235" s="126"/>
    </row>
    <row r="236" spans="1:21" ht="20.25" customHeight="1">
      <c r="A236" s="49" t="s">
        <v>99</v>
      </c>
      <c r="B236" s="133" t="s">
        <v>100</v>
      </c>
      <c r="C236" s="13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210"/>
      <c r="T236" s="187">
        <f t="shared" si="20"/>
        <v>0</v>
      </c>
      <c r="U236" s="127"/>
    </row>
    <row r="237" spans="1:22" ht="20.25" customHeight="1">
      <c r="A237" s="69" t="s">
        <v>101</v>
      </c>
      <c r="B237" s="71" t="s">
        <v>102</v>
      </c>
      <c r="C237" s="72"/>
      <c r="D237" s="221">
        <f aca="true" t="shared" si="24" ref="D237:L237">SUM(D238:D245)</f>
        <v>-123789.75</v>
      </c>
      <c r="E237" s="221">
        <f t="shared" si="24"/>
        <v>-52012.5</v>
      </c>
      <c r="F237" s="221">
        <f t="shared" si="24"/>
        <v>0</v>
      </c>
      <c r="G237" s="221">
        <f t="shared" si="24"/>
        <v>0</v>
      </c>
      <c r="H237" s="221">
        <f t="shared" si="24"/>
        <v>-103615</v>
      </c>
      <c r="I237" s="221">
        <f t="shared" si="24"/>
        <v>0</v>
      </c>
      <c r="J237" s="221">
        <f t="shared" si="24"/>
        <v>-51000</v>
      </c>
      <c r="K237" s="221">
        <f t="shared" si="24"/>
        <v>0</v>
      </c>
      <c r="L237" s="221">
        <f t="shared" si="24"/>
        <v>0</v>
      </c>
      <c r="M237" s="221">
        <f>SUM(M238:M244)</f>
        <v>0</v>
      </c>
      <c r="N237" s="221">
        <f>SUM(N238:N244)</f>
        <v>0</v>
      </c>
      <c r="O237" s="221">
        <f>SUM(O238:O245)</f>
        <v>0</v>
      </c>
      <c r="P237" s="221">
        <f>SUM(P238:P245)</f>
        <v>0</v>
      </c>
      <c r="Q237" s="221">
        <f>SUM(Q238:Q245)</f>
        <v>-10250.21</v>
      </c>
      <c r="R237" s="221">
        <f>SUM(R238:R245)</f>
        <v>0</v>
      </c>
      <c r="S237" s="221">
        <f>SUM(S238:S245)</f>
        <v>0</v>
      </c>
      <c r="T237" s="180">
        <f t="shared" si="20"/>
        <v>-340667.46</v>
      </c>
      <c r="U237" s="126"/>
      <c r="V237" s="47" t="s">
        <v>225</v>
      </c>
    </row>
    <row r="238" spans="1:21" ht="20.25" customHeight="1">
      <c r="A238" s="69"/>
      <c r="B238" s="60" t="s">
        <v>103</v>
      </c>
      <c r="C238" s="42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187">
        <f t="shared" si="20"/>
        <v>0</v>
      </c>
      <c r="U238" s="125"/>
    </row>
    <row r="239" spans="1:21" ht="20.25" customHeight="1">
      <c r="A239" s="64"/>
      <c r="B239" s="95" t="s">
        <v>116</v>
      </c>
      <c r="C239" s="78"/>
      <c r="D239" s="179"/>
      <c r="E239" s="179"/>
      <c r="F239" s="179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222">
        <f t="shared" si="20"/>
        <v>0</v>
      </c>
      <c r="U239" s="125"/>
    </row>
    <row r="240" spans="1:21" ht="20.25" customHeight="1">
      <c r="A240" s="64"/>
      <c r="B240" s="95" t="s">
        <v>118</v>
      </c>
      <c r="C240" s="78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9"/>
      <c r="O240" s="174"/>
      <c r="P240" s="174"/>
      <c r="Q240" s="174"/>
      <c r="R240" s="174"/>
      <c r="S240" s="174"/>
      <c r="T240" s="222">
        <f t="shared" si="20"/>
        <v>0</v>
      </c>
      <c r="U240" s="125"/>
    </row>
    <row r="241" spans="1:21" ht="20.25" customHeight="1">
      <c r="A241" s="64"/>
      <c r="B241" s="95" t="s">
        <v>177</v>
      </c>
      <c r="C241" s="78"/>
      <c r="D241" s="179"/>
      <c r="E241" s="179"/>
      <c r="F241" s="179"/>
      <c r="G241" s="174"/>
      <c r="H241" s="179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222">
        <f t="shared" si="20"/>
        <v>0</v>
      </c>
      <c r="U241" s="125"/>
    </row>
    <row r="242" spans="1:21" ht="20.25" customHeight="1">
      <c r="A242" s="64"/>
      <c r="B242" s="95" t="s">
        <v>117</v>
      </c>
      <c r="C242" s="78"/>
      <c r="D242" s="174"/>
      <c r="E242" s="174"/>
      <c r="F242" s="174"/>
      <c r="G242" s="174"/>
      <c r="H242" s="174"/>
      <c r="I242" s="174"/>
      <c r="J242" s="174"/>
      <c r="K242" s="174"/>
      <c r="L242" s="174"/>
      <c r="M242" s="179"/>
      <c r="N242" s="174"/>
      <c r="O242" s="174"/>
      <c r="P242" s="174"/>
      <c r="Q242" s="174"/>
      <c r="R242" s="174"/>
      <c r="S242" s="174"/>
      <c r="T242" s="222">
        <f t="shared" si="20"/>
        <v>0</v>
      </c>
      <c r="U242" s="125"/>
    </row>
    <row r="243" spans="1:21" ht="20.25" customHeight="1">
      <c r="A243" s="64"/>
      <c r="B243" s="95" t="s">
        <v>308</v>
      </c>
      <c r="C243" s="78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9"/>
      <c r="Q243" s="174"/>
      <c r="R243" s="179"/>
      <c r="S243" s="174"/>
      <c r="T243" s="222">
        <f t="shared" si="20"/>
        <v>0</v>
      </c>
      <c r="U243" s="125"/>
    </row>
    <row r="244" spans="1:21" ht="20.25" customHeight="1">
      <c r="A244" s="64"/>
      <c r="B244" s="60" t="s">
        <v>264</v>
      </c>
      <c r="C244" s="42"/>
      <c r="D244" s="179"/>
      <c r="E244" s="179"/>
      <c r="F244" s="179"/>
      <c r="G244" s="174"/>
      <c r="H244" s="174"/>
      <c r="I244" s="174"/>
      <c r="J244" s="179"/>
      <c r="K244" s="179"/>
      <c r="L244" s="174"/>
      <c r="M244" s="174"/>
      <c r="N244" s="179"/>
      <c r="O244" s="179"/>
      <c r="P244" s="179"/>
      <c r="Q244" s="174"/>
      <c r="R244" s="179"/>
      <c r="S244" s="179"/>
      <c r="T244" s="222">
        <f t="shared" si="20"/>
        <v>0</v>
      </c>
      <c r="U244" s="125"/>
    </row>
    <row r="245" spans="1:21" ht="20.25" customHeight="1">
      <c r="A245" s="64"/>
      <c r="B245" s="60" t="s">
        <v>329</v>
      </c>
      <c r="C245" s="126"/>
      <c r="D245" s="179">
        <f>-(119*5.35*365)+108587.5</f>
        <v>-123789.75</v>
      </c>
      <c r="E245" s="179">
        <f>-(50*365*5.35)+45625</f>
        <v>-52012.5</v>
      </c>
      <c r="F245" s="179"/>
      <c r="G245" s="174"/>
      <c r="H245" s="179">
        <v>-103615</v>
      </c>
      <c r="I245" s="174"/>
      <c r="J245" s="179">
        <v>-51000</v>
      </c>
      <c r="K245" s="179"/>
      <c r="L245" s="174"/>
      <c r="M245" s="174"/>
      <c r="N245" s="179"/>
      <c r="O245" s="179"/>
      <c r="P245" s="179"/>
      <c r="Q245" s="179">
        <v>-10250.21</v>
      </c>
      <c r="R245" s="179"/>
      <c r="S245" s="179"/>
      <c r="T245" s="222">
        <f t="shared" si="20"/>
        <v>-340667.46</v>
      </c>
      <c r="U245" s="125"/>
    </row>
    <row r="246" spans="1:21" ht="20.25" customHeight="1">
      <c r="A246" s="69" t="s">
        <v>105</v>
      </c>
      <c r="B246" s="71" t="s">
        <v>106</v>
      </c>
      <c r="C246" s="72"/>
      <c r="D246" s="174">
        <f aca="true" t="shared" si="25" ref="D246:S246">SUM(D247:D250)</f>
        <v>0</v>
      </c>
      <c r="E246" s="174">
        <f t="shared" si="25"/>
        <v>0</v>
      </c>
      <c r="F246" s="174">
        <f t="shared" si="25"/>
        <v>0</v>
      </c>
      <c r="G246" s="174">
        <f t="shared" si="25"/>
        <v>0</v>
      </c>
      <c r="H246" s="174">
        <f t="shared" si="25"/>
        <v>0</v>
      </c>
      <c r="I246" s="174">
        <f t="shared" si="25"/>
        <v>0</v>
      </c>
      <c r="J246" s="174">
        <f t="shared" si="25"/>
        <v>0</v>
      </c>
      <c r="K246" s="174">
        <f t="shared" si="25"/>
        <v>0</v>
      </c>
      <c r="L246" s="174">
        <f t="shared" si="25"/>
        <v>0</v>
      </c>
      <c r="M246" s="174">
        <f t="shared" si="25"/>
        <v>0</v>
      </c>
      <c r="N246" s="174">
        <f t="shared" si="25"/>
        <v>0</v>
      </c>
      <c r="O246" s="174">
        <f t="shared" si="25"/>
        <v>0</v>
      </c>
      <c r="P246" s="174">
        <f t="shared" si="25"/>
        <v>0</v>
      </c>
      <c r="Q246" s="174">
        <f t="shared" si="25"/>
        <v>0</v>
      </c>
      <c r="R246" s="174">
        <f t="shared" si="25"/>
        <v>0</v>
      </c>
      <c r="S246" s="174">
        <f t="shared" si="25"/>
        <v>0</v>
      </c>
      <c r="T246" s="187">
        <f>SUM(D246:S246)</f>
        <v>0</v>
      </c>
      <c r="U246" s="125"/>
    </row>
    <row r="247" spans="1:23" ht="20.25" customHeight="1">
      <c r="A247" s="64"/>
      <c r="B247" s="60" t="s">
        <v>107</v>
      </c>
      <c r="C247" s="42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87">
        <f t="shared" si="20"/>
        <v>0</v>
      </c>
      <c r="U247" s="125"/>
      <c r="W247" s="135"/>
    </row>
    <row r="248" spans="1:23" ht="20.25" customHeight="1">
      <c r="A248" s="64"/>
      <c r="B248" s="60" t="s">
        <v>108</v>
      </c>
      <c r="C248" s="42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87">
        <f t="shared" si="20"/>
        <v>0</v>
      </c>
      <c r="U248" s="125"/>
      <c r="W248" s="135"/>
    </row>
    <row r="249" spans="1:23" ht="20.25" customHeight="1">
      <c r="A249" s="64"/>
      <c r="B249" s="60" t="s">
        <v>178</v>
      </c>
      <c r="C249" s="42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87">
        <f t="shared" si="20"/>
        <v>0</v>
      </c>
      <c r="U249" s="125"/>
      <c r="W249" s="135"/>
    </row>
    <row r="250" spans="1:23" ht="20.25" customHeight="1">
      <c r="A250" s="64"/>
      <c r="B250" s="60" t="s">
        <v>104</v>
      </c>
      <c r="C250" s="42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87">
        <f t="shared" si="20"/>
        <v>0</v>
      </c>
      <c r="U250" s="125"/>
      <c r="W250" s="135"/>
    </row>
    <row r="251" spans="1:23" ht="20.25" customHeight="1">
      <c r="A251" s="69" t="s">
        <v>109</v>
      </c>
      <c r="B251" s="71" t="s">
        <v>157</v>
      </c>
      <c r="C251" s="72"/>
      <c r="D251" s="174">
        <f aca="true" t="shared" si="26" ref="D251:S251">SUM(D252:D253)</f>
        <v>0</v>
      </c>
      <c r="E251" s="174">
        <f t="shared" si="26"/>
        <v>0</v>
      </c>
      <c r="F251" s="174">
        <f t="shared" si="26"/>
        <v>0</v>
      </c>
      <c r="G251" s="174">
        <f t="shared" si="26"/>
        <v>0</v>
      </c>
      <c r="H251" s="174">
        <f t="shared" si="26"/>
        <v>0</v>
      </c>
      <c r="I251" s="174">
        <f t="shared" si="26"/>
        <v>0</v>
      </c>
      <c r="J251" s="174">
        <f t="shared" si="26"/>
        <v>0</v>
      </c>
      <c r="K251" s="174">
        <f t="shared" si="26"/>
        <v>0</v>
      </c>
      <c r="L251" s="174"/>
      <c r="M251" s="174">
        <f t="shared" si="26"/>
        <v>0</v>
      </c>
      <c r="N251" s="174">
        <f t="shared" si="26"/>
        <v>0</v>
      </c>
      <c r="O251" s="174">
        <f t="shared" si="26"/>
        <v>0</v>
      </c>
      <c r="P251" s="174">
        <f t="shared" si="26"/>
        <v>0</v>
      </c>
      <c r="Q251" s="174">
        <f t="shared" si="26"/>
        <v>0</v>
      </c>
      <c r="R251" s="174">
        <f t="shared" si="26"/>
        <v>0</v>
      </c>
      <c r="S251" s="174">
        <f t="shared" si="26"/>
        <v>123000</v>
      </c>
      <c r="T251" s="175">
        <f t="shared" si="20"/>
        <v>123000</v>
      </c>
      <c r="U251" s="125"/>
      <c r="W251" s="135"/>
    </row>
    <row r="252" spans="1:21" ht="20.25" customHeight="1">
      <c r="A252" s="64"/>
      <c r="B252" s="60" t="s">
        <v>315</v>
      </c>
      <c r="C252" s="42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87">
        <f t="shared" si="20"/>
        <v>0</v>
      </c>
      <c r="U252" s="125"/>
    </row>
    <row r="253" spans="1:21" ht="20.25" customHeight="1">
      <c r="A253" s="136"/>
      <c r="B253" s="60" t="s">
        <v>280</v>
      </c>
      <c r="C253" s="42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>
        <v>123000</v>
      </c>
      <c r="T253" s="187">
        <f t="shared" si="20"/>
        <v>123000</v>
      </c>
      <c r="U253" s="125">
        <f>SUM(D253:R253)</f>
        <v>0</v>
      </c>
    </row>
    <row r="254" spans="1:23" ht="20.25" customHeight="1">
      <c r="A254" s="81"/>
      <c r="B254" s="75" t="s">
        <v>36</v>
      </c>
      <c r="C254" s="75"/>
      <c r="D254" s="204">
        <f aca="true" t="shared" si="27" ref="D254:S254">+D237+D246+D251</f>
        <v>-123789.75</v>
      </c>
      <c r="E254" s="204">
        <f t="shared" si="27"/>
        <v>-52012.5</v>
      </c>
      <c r="F254" s="204">
        <f t="shared" si="27"/>
        <v>0</v>
      </c>
      <c r="G254" s="204">
        <f t="shared" si="27"/>
        <v>0</v>
      </c>
      <c r="H254" s="216">
        <f t="shared" si="27"/>
        <v>-103615</v>
      </c>
      <c r="I254" s="204">
        <f t="shared" si="27"/>
        <v>0</v>
      </c>
      <c r="J254" s="216">
        <f t="shared" si="27"/>
        <v>-51000</v>
      </c>
      <c r="K254" s="216">
        <f t="shared" si="27"/>
        <v>0</v>
      </c>
      <c r="L254" s="204">
        <f t="shared" si="27"/>
        <v>0</v>
      </c>
      <c r="M254" s="216">
        <f t="shared" si="27"/>
        <v>0</v>
      </c>
      <c r="N254" s="204">
        <f t="shared" si="27"/>
        <v>0</v>
      </c>
      <c r="O254" s="204">
        <f t="shared" si="27"/>
        <v>0</v>
      </c>
      <c r="P254" s="216">
        <f t="shared" si="27"/>
        <v>0</v>
      </c>
      <c r="Q254" s="204">
        <f t="shared" si="27"/>
        <v>-10250.21</v>
      </c>
      <c r="R254" s="216">
        <f t="shared" si="27"/>
        <v>0</v>
      </c>
      <c r="S254" s="204">
        <f t="shared" si="27"/>
        <v>123000</v>
      </c>
      <c r="T254" s="220">
        <f t="shared" si="20"/>
        <v>-217667.46000000002</v>
      </c>
      <c r="U254" s="120"/>
      <c r="W254" s="135"/>
    </row>
    <row r="255" spans="1:21" ht="20.25" customHeight="1">
      <c r="A255" s="52"/>
      <c r="B255" s="99"/>
      <c r="C255" s="99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187">
        <f t="shared" si="20"/>
        <v>0</v>
      </c>
      <c r="U255" s="99"/>
    </row>
    <row r="256" spans="1:22" s="80" customFormat="1" ht="20.25" customHeight="1">
      <c r="A256" s="137"/>
      <c r="B256" s="119" t="s">
        <v>110</v>
      </c>
      <c r="C256" s="138"/>
      <c r="D256" s="174">
        <f aca="true" t="shared" si="28" ref="D256:S256">D58</f>
        <v>3398139.25</v>
      </c>
      <c r="E256" s="174">
        <f t="shared" si="28"/>
        <v>1389737.5</v>
      </c>
      <c r="F256" s="174">
        <f t="shared" si="28"/>
        <v>250000</v>
      </c>
      <c r="G256" s="174">
        <f t="shared" si="28"/>
        <v>579933.3</v>
      </c>
      <c r="H256" s="174">
        <f t="shared" si="28"/>
        <v>545727.14</v>
      </c>
      <c r="I256" s="174">
        <f t="shared" si="28"/>
        <v>177172.72</v>
      </c>
      <c r="J256" s="174">
        <f t="shared" si="28"/>
        <v>108463.68</v>
      </c>
      <c r="K256" s="174">
        <f t="shared" si="28"/>
        <v>46362.86</v>
      </c>
      <c r="L256" s="174">
        <f t="shared" si="28"/>
        <v>14429.6</v>
      </c>
      <c r="M256" s="174">
        <f t="shared" si="28"/>
        <v>0</v>
      </c>
      <c r="N256" s="174">
        <f t="shared" si="28"/>
        <v>0</v>
      </c>
      <c r="O256" s="174">
        <f t="shared" si="28"/>
        <v>10728</v>
      </c>
      <c r="P256" s="174">
        <f t="shared" si="28"/>
        <v>307457.46</v>
      </c>
      <c r="Q256" s="174">
        <f t="shared" si="28"/>
        <v>72310</v>
      </c>
      <c r="R256" s="174">
        <f t="shared" si="28"/>
        <v>259000</v>
      </c>
      <c r="S256" s="174">
        <f t="shared" si="28"/>
        <v>0</v>
      </c>
      <c r="T256" s="187">
        <f t="shared" si="20"/>
        <v>7159461.509999999</v>
      </c>
      <c r="U256" s="139"/>
      <c r="V256" s="84">
        <f>SUM(D256:S256)</f>
        <v>7159461.509999999</v>
      </c>
    </row>
    <row r="257" spans="1:21" s="80" customFormat="1" ht="20.25" customHeight="1">
      <c r="A257" s="140"/>
      <c r="B257" s="83"/>
      <c r="C257" s="83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187">
        <f t="shared" si="20"/>
        <v>0</v>
      </c>
      <c r="U257" s="83"/>
    </row>
    <row r="258" spans="1:22" s="80" customFormat="1" ht="20.25" customHeight="1">
      <c r="A258" s="137"/>
      <c r="B258" s="119" t="s">
        <v>111</v>
      </c>
      <c r="C258" s="138"/>
      <c r="D258" s="175">
        <f>D212+D230+D234+D254</f>
        <v>2890299.2029000004</v>
      </c>
      <c r="E258" s="175">
        <f>E212+E230+E234+E254</f>
        <v>1177301.31</v>
      </c>
      <c r="F258" s="175">
        <f>F212+F230+F234+F254</f>
        <v>212591.88</v>
      </c>
      <c r="G258" s="175">
        <f aca="true" t="shared" si="29" ref="G258:R258">G212+G230+G234+G254</f>
        <v>525792.1198</v>
      </c>
      <c r="H258" s="175">
        <f t="shared" si="29"/>
        <v>459094.3652</v>
      </c>
      <c r="I258" s="175">
        <f t="shared" si="29"/>
        <v>149005.18199999997</v>
      </c>
      <c r="J258" s="175">
        <f t="shared" si="29"/>
        <v>78446.8242</v>
      </c>
      <c r="K258" s="175">
        <f t="shared" si="29"/>
        <v>43761.71000000001</v>
      </c>
      <c r="L258" s="175">
        <f t="shared" si="29"/>
        <v>17506.2</v>
      </c>
      <c r="M258" s="175">
        <f t="shared" si="29"/>
        <v>0</v>
      </c>
      <c r="N258" s="175">
        <f t="shared" si="29"/>
        <v>0</v>
      </c>
      <c r="O258" s="175">
        <f t="shared" si="29"/>
        <v>14161.45</v>
      </c>
      <c r="P258" s="175">
        <f t="shared" si="29"/>
        <v>268868.64</v>
      </c>
      <c r="Q258" s="175">
        <f t="shared" si="29"/>
        <v>91219.38999999998</v>
      </c>
      <c r="R258" s="175">
        <f t="shared" si="29"/>
        <v>241855.25999999998</v>
      </c>
      <c r="S258" s="175">
        <f>S212+S230+S234+S254</f>
        <v>989557.9724000001</v>
      </c>
      <c r="T258" s="187">
        <f t="shared" si="20"/>
        <v>7159461.5065</v>
      </c>
      <c r="U258" s="141">
        <f>SUM(D258:R258)</f>
        <v>6169903.5341</v>
      </c>
      <c r="V258" s="84">
        <f>SUM(D258:S258)</f>
        <v>7159461.5065</v>
      </c>
    </row>
    <row r="259" spans="1:21" s="80" customFormat="1" ht="20.25" customHeight="1">
      <c r="A259" s="140"/>
      <c r="B259" s="83"/>
      <c r="C259" s="83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187">
        <f t="shared" si="20"/>
        <v>0</v>
      </c>
      <c r="U259" s="83"/>
    </row>
    <row r="260" spans="1:21" s="145" customFormat="1" ht="20.25" customHeight="1">
      <c r="A260" s="142" t="s">
        <v>112</v>
      </c>
      <c r="B260" s="143"/>
      <c r="C260" s="144"/>
      <c r="D260" s="225">
        <f>D256-D258</f>
        <v>507840.0470999996</v>
      </c>
      <c r="E260" s="225">
        <f>E256-E258</f>
        <v>212436.18999999994</v>
      </c>
      <c r="F260" s="225">
        <f>F256-F258</f>
        <v>37408.119999999995</v>
      </c>
      <c r="G260" s="225">
        <f>G256-G258</f>
        <v>54141.18020000006</v>
      </c>
      <c r="H260" s="225">
        <f aca="true" t="shared" si="30" ref="H260:R260">H256-H258</f>
        <v>86632.77480000001</v>
      </c>
      <c r="I260" s="225">
        <f>I256-I258</f>
        <v>28167.53800000003</v>
      </c>
      <c r="J260" s="225">
        <f t="shared" si="30"/>
        <v>30016.85579999999</v>
      </c>
      <c r="K260" s="225">
        <f t="shared" si="30"/>
        <v>2601.149999999994</v>
      </c>
      <c r="L260" s="225">
        <f t="shared" si="30"/>
        <v>-3076.6000000000004</v>
      </c>
      <c r="M260" s="225">
        <f t="shared" si="30"/>
        <v>0</v>
      </c>
      <c r="N260" s="225">
        <f t="shared" si="30"/>
        <v>0</v>
      </c>
      <c r="O260" s="225">
        <f t="shared" si="30"/>
        <v>-3433.4500000000007</v>
      </c>
      <c r="P260" s="225">
        <f t="shared" si="30"/>
        <v>38588.82000000001</v>
      </c>
      <c r="Q260" s="225">
        <f t="shared" si="30"/>
        <v>-18909.389999999985</v>
      </c>
      <c r="R260" s="225">
        <f t="shared" si="30"/>
        <v>17144.74000000002</v>
      </c>
      <c r="S260" s="226">
        <f>S256-S258</f>
        <v>-989557.9724000001</v>
      </c>
      <c r="T260" s="227">
        <f>SUM(D260:S260)</f>
        <v>0.003499999758787453</v>
      </c>
      <c r="U260" s="131"/>
    </row>
    <row r="261" spans="4:20" s="80" customFormat="1" ht="23.25">
      <c r="D261" s="228"/>
      <c r="E261" s="228"/>
      <c r="F261" s="228"/>
      <c r="G261" s="228"/>
      <c r="H261" s="228"/>
      <c r="I261" s="228"/>
      <c r="J261" s="228"/>
      <c r="K261" s="228"/>
      <c r="L261" s="228"/>
      <c r="M261" s="228"/>
      <c r="N261" s="228"/>
      <c r="O261" s="228"/>
      <c r="P261" s="228"/>
      <c r="Q261" s="228"/>
      <c r="R261" s="228"/>
      <c r="S261" s="228"/>
      <c r="T261" s="187">
        <f aca="true" t="shared" si="31" ref="T261:T271">SUM(D261:R261)</f>
        <v>0</v>
      </c>
    </row>
    <row r="262" spans="3:21" s="80" customFormat="1" ht="23.25" hidden="1">
      <c r="C262" s="146" t="s">
        <v>215</v>
      </c>
      <c r="D262" s="228">
        <v>0.4943</v>
      </c>
      <c r="E262" s="228"/>
      <c r="F262" s="228"/>
      <c r="G262" s="228">
        <v>0.1171</v>
      </c>
      <c r="H262" s="228">
        <v>0.1253</v>
      </c>
      <c r="I262" s="228">
        <v>0.0193</v>
      </c>
      <c r="J262" s="228">
        <v>0.016</v>
      </c>
      <c r="K262" s="228"/>
      <c r="L262" s="228"/>
      <c r="M262" s="228">
        <v>0.0411</v>
      </c>
      <c r="N262" s="228">
        <v>0.0547</v>
      </c>
      <c r="O262" s="228">
        <v>0.0104</v>
      </c>
      <c r="P262" s="228">
        <v>0.0442</v>
      </c>
      <c r="Q262" s="228">
        <v>0.0124</v>
      </c>
      <c r="R262" s="228">
        <v>0.012</v>
      </c>
      <c r="S262" s="228">
        <f>SUM(D262:R262)</f>
        <v>0.9468</v>
      </c>
      <c r="T262" s="187">
        <f t="shared" si="31"/>
        <v>0.9468</v>
      </c>
      <c r="U262" s="147"/>
    </row>
    <row r="263" spans="4:20" s="148" customFormat="1" ht="23.25" customHeight="1">
      <c r="D263" s="229">
        <f>D265/$S$265</f>
        <v>0.47094780391785784</v>
      </c>
      <c r="E263" s="229">
        <f>E265/$S$265</f>
        <v>0.1948199580579548</v>
      </c>
      <c r="F263" s="229">
        <f>F265/$S$265</f>
        <v>0.038090447222521924</v>
      </c>
      <c r="G263" s="229">
        <f aca="true" t="shared" si="32" ref="G263:L263">G265/$S$265</f>
        <v>0.054494655059313016</v>
      </c>
      <c r="H263" s="229">
        <f t="shared" si="32"/>
        <v>0.08909408746483927</v>
      </c>
      <c r="I263" s="229">
        <f t="shared" si="32"/>
        <v>0.02488106697800454</v>
      </c>
      <c r="J263" s="229">
        <f t="shared" si="32"/>
        <v>0.016268848143152066</v>
      </c>
      <c r="K263" s="229">
        <f t="shared" si="32"/>
        <v>0.0036687156226851694</v>
      </c>
      <c r="L263" s="229">
        <f t="shared" si="32"/>
        <v>0.0005475553772312623</v>
      </c>
      <c r="M263" s="229">
        <f aca="true" t="shared" si="33" ref="M263:S263">M265/$S$265</f>
        <v>0</v>
      </c>
      <c r="N263" s="229">
        <f t="shared" si="33"/>
        <v>0</v>
      </c>
      <c r="O263" s="229">
        <f t="shared" si="33"/>
        <v>0.00044293896430359865</v>
      </c>
      <c r="P263" s="229">
        <f t="shared" si="33"/>
        <v>0.04520733033782732</v>
      </c>
      <c r="Q263" s="229">
        <f t="shared" si="33"/>
        <v>0.018563891078965066</v>
      </c>
      <c r="R263" s="229">
        <f t="shared" si="33"/>
        <v>0.042972701775344034</v>
      </c>
      <c r="S263" s="229">
        <f t="shared" si="33"/>
        <v>1</v>
      </c>
      <c r="T263" s="230">
        <f t="shared" si="31"/>
        <v>1</v>
      </c>
    </row>
    <row r="264" spans="4:20" s="148" customFormat="1" ht="23.25" customHeight="1">
      <c r="D264" s="229"/>
      <c r="E264" s="229"/>
      <c r="F264" s="229"/>
      <c r="G264" s="229"/>
      <c r="H264" s="229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31"/>
    </row>
    <row r="265" spans="1:21" s="150" customFormat="1" ht="23.25">
      <c r="A265" s="249" t="s">
        <v>133</v>
      </c>
      <c r="B265" s="249"/>
      <c r="C265" s="249"/>
      <c r="D265" s="232">
        <f aca="true" t="shared" si="34" ref="D265:R265">+D285</f>
        <v>466030.1539511884</v>
      </c>
      <c r="E265" s="232">
        <f t="shared" si="34"/>
        <v>192785.64267888287</v>
      </c>
      <c r="F265" s="232">
        <f t="shared" si="34"/>
        <v>37692.70572132802</v>
      </c>
      <c r="G265" s="232">
        <f t="shared" si="34"/>
        <v>53925.62036713121</v>
      </c>
      <c r="H265" s="232">
        <f t="shared" si="34"/>
        <v>88163.76454453464</v>
      </c>
      <c r="I265" s="232">
        <f t="shared" si="34"/>
        <v>24621.25818990278</v>
      </c>
      <c r="J265" s="232">
        <f t="shared" si="34"/>
        <v>16098.968381821069</v>
      </c>
      <c r="K265" s="232">
        <f t="shared" si="34"/>
        <v>3630.4067928965414</v>
      </c>
      <c r="L265" s="232">
        <f t="shared" si="34"/>
        <v>541.8377888696853</v>
      </c>
      <c r="M265" s="232">
        <f t="shared" si="34"/>
        <v>0</v>
      </c>
      <c r="N265" s="232">
        <f t="shared" si="34"/>
        <v>0</v>
      </c>
      <c r="O265" s="232">
        <f t="shared" si="34"/>
        <v>438.3137834132252</v>
      </c>
      <c r="P265" s="232">
        <f t="shared" si="34"/>
        <v>44735.27414671743</v>
      </c>
      <c r="Q265" s="232">
        <f t="shared" si="34"/>
        <v>18370.046415955127</v>
      </c>
      <c r="R265" s="232">
        <f t="shared" si="34"/>
        <v>42523.97963735934</v>
      </c>
      <c r="S265" s="232">
        <f>SUM(D265:R265)</f>
        <v>989557.9724000004</v>
      </c>
      <c r="T265" s="232">
        <f>+T285</f>
        <v>0</v>
      </c>
      <c r="U265" s="149">
        <f>SUM(D265:S265)</f>
        <v>1979115.9448000009</v>
      </c>
    </row>
    <row r="266" spans="4:20" s="80" customFormat="1" ht="23.25">
      <c r="D266" s="228"/>
      <c r="E266" s="228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187">
        <f t="shared" si="31"/>
        <v>0</v>
      </c>
    </row>
    <row r="267" spans="1:21" s="145" customFormat="1" ht="23.25">
      <c r="A267" s="250" t="s">
        <v>192</v>
      </c>
      <c r="B267" s="251"/>
      <c r="C267" s="251"/>
      <c r="D267" s="233">
        <f aca="true" t="shared" si="35" ref="D267:R267">D260-D265</f>
        <v>41809.89314881124</v>
      </c>
      <c r="E267" s="233">
        <f t="shared" si="35"/>
        <v>19650.547321117076</v>
      </c>
      <c r="F267" s="233">
        <f t="shared" si="35"/>
        <v>-284.5857213280251</v>
      </c>
      <c r="G267" s="233">
        <f t="shared" si="35"/>
        <v>215.5598328688502</v>
      </c>
      <c r="H267" s="233">
        <f t="shared" si="35"/>
        <v>-1530.9897445346287</v>
      </c>
      <c r="I267" s="233">
        <f t="shared" si="35"/>
        <v>3546.2798100972504</v>
      </c>
      <c r="J267" s="233">
        <f t="shared" si="35"/>
        <v>13917.887418178922</v>
      </c>
      <c r="K267" s="233">
        <f t="shared" si="35"/>
        <v>-1029.2567928965473</v>
      </c>
      <c r="L267" s="233">
        <f t="shared" si="35"/>
        <v>-3618.4377888696854</v>
      </c>
      <c r="M267" s="233">
        <f t="shared" si="35"/>
        <v>0</v>
      </c>
      <c r="N267" s="233">
        <f t="shared" si="35"/>
        <v>0</v>
      </c>
      <c r="O267" s="233">
        <f t="shared" si="35"/>
        <v>-3871.763783413226</v>
      </c>
      <c r="P267" s="233">
        <f t="shared" si="35"/>
        <v>-6146.45414671742</v>
      </c>
      <c r="Q267" s="233">
        <f t="shared" si="35"/>
        <v>-37279.43641595511</v>
      </c>
      <c r="R267" s="233">
        <f t="shared" si="35"/>
        <v>-25379.239637359322</v>
      </c>
      <c r="S267" s="234">
        <f>S260+S265</f>
        <v>0</v>
      </c>
      <c r="T267" s="227">
        <f>SUM(D267:R267)</f>
        <v>0.003499999365885742</v>
      </c>
      <c r="U267" s="151">
        <f>SUM(D267:S267)+S260</f>
        <v>-989557.9689000007</v>
      </c>
    </row>
    <row r="268" spans="4:20" s="80" customFormat="1" ht="21.75" customHeight="1" hidden="1">
      <c r="D268" s="235"/>
      <c r="E268" s="235"/>
      <c r="F268" s="235"/>
      <c r="G268" s="235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236">
        <f t="shared" si="31"/>
        <v>0</v>
      </c>
    </row>
    <row r="269" spans="3:20" ht="23.25" hidden="1">
      <c r="C269" s="152"/>
      <c r="G269" s="237"/>
      <c r="T269" s="236">
        <f t="shared" si="31"/>
        <v>0</v>
      </c>
    </row>
    <row r="270" spans="3:20" ht="23.25" hidden="1">
      <c r="C270" s="152"/>
      <c r="T270" s="236">
        <f t="shared" si="31"/>
        <v>0</v>
      </c>
    </row>
    <row r="271" spans="3:20" ht="23.25" hidden="1">
      <c r="C271" s="152"/>
      <c r="T271" s="236">
        <f t="shared" si="31"/>
        <v>0</v>
      </c>
    </row>
    <row r="272" spans="1:20" s="150" customFormat="1" ht="23.25" hidden="1">
      <c r="A272" s="252" t="s">
        <v>213</v>
      </c>
      <c r="B272" s="252"/>
      <c r="C272" s="252"/>
      <c r="D272" s="238" t="e">
        <f>-$S$260*#REF!</f>
        <v>#REF!</v>
      </c>
      <c r="E272" s="238"/>
      <c r="F272" s="238"/>
      <c r="G272" s="238" t="e">
        <f>-$S$260*#REF!</f>
        <v>#REF!</v>
      </c>
      <c r="H272" s="238" t="e">
        <f>-$S$260*#REF!</f>
        <v>#REF!</v>
      </c>
      <c r="I272" s="238" t="e">
        <f>-$S$260*#REF!</f>
        <v>#REF!</v>
      </c>
      <c r="J272" s="238" t="e">
        <f>-$S$260*#REF!</f>
        <v>#REF!</v>
      </c>
      <c r="K272" s="238" t="e">
        <f>-$S$260*#REF!</f>
        <v>#REF!</v>
      </c>
      <c r="L272" s="238"/>
      <c r="M272" s="238" t="e">
        <f>-$S$260*#REF!</f>
        <v>#REF!</v>
      </c>
      <c r="N272" s="238" t="e">
        <f>-$S$260*#REF!</f>
        <v>#REF!</v>
      </c>
      <c r="O272" s="238" t="e">
        <f>-$S$260*#REF!</f>
        <v>#REF!</v>
      </c>
      <c r="P272" s="238" t="e">
        <f>-$S$260*#REF!</f>
        <v>#REF!</v>
      </c>
      <c r="Q272" s="238" t="e">
        <f>-$S$260*#REF!</f>
        <v>#REF!</v>
      </c>
      <c r="R272" s="238" t="e">
        <f>-$S$260*#REF!</f>
        <v>#REF!</v>
      </c>
      <c r="S272" s="239" t="e">
        <f>SUM(D272:R272)</f>
        <v>#REF!</v>
      </c>
      <c r="T272" s="239"/>
    </row>
    <row r="273" spans="4:20" ht="23.25" hidden="1">
      <c r="D273" s="240"/>
      <c r="E273" s="240"/>
      <c r="F273" s="240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240"/>
    </row>
    <row r="274" spans="1:20" s="153" customFormat="1" ht="18" customHeight="1" hidden="1">
      <c r="A274" s="247" t="s">
        <v>214</v>
      </c>
      <c r="B274" s="248"/>
      <c r="C274" s="248"/>
      <c r="D274" s="241" t="e">
        <f aca="true" t="shared" si="36" ref="D274:R274">D260-D272</f>
        <v>#REF!</v>
      </c>
      <c r="E274" s="241"/>
      <c r="F274" s="241"/>
      <c r="G274" s="241" t="e">
        <f t="shared" si="36"/>
        <v>#REF!</v>
      </c>
      <c r="H274" s="241" t="e">
        <f t="shared" si="36"/>
        <v>#REF!</v>
      </c>
      <c r="I274" s="241" t="e">
        <f t="shared" si="36"/>
        <v>#REF!</v>
      </c>
      <c r="J274" s="241" t="e">
        <f t="shared" si="36"/>
        <v>#REF!</v>
      </c>
      <c r="K274" s="241" t="e">
        <f t="shared" si="36"/>
        <v>#REF!</v>
      </c>
      <c r="L274" s="241"/>
      <c r="M274" s="241" t="e">
        <f t="shared" si="36"/>
        <v>#REF!</v>
      </c>
      <c r="N274" s="241" t="e">
        <f t="shared" si="36"/>
        <v>#REF!</v>
      </c>
      <c r="O274" s="241" t="e">
        <f t="shared" si="36"/>
        <v>#REF!</v>
      </c>
      <c r="P274" s="241" t="e">
        <f t="shared" si="36"/>
        <v>#REF!</v>
      </c>
      <c r="Q274" s="241" t="e">
        <f t="shared" si="36"/>
        <v>#REF!</v>
      </c>
      <c r="R274" s="241" t="e">
        <f t="shared" si="36"/>
        <v>#REF!</v>
      </c>
      <c r="S274" s="241" t="e">
        <f>S260+S272</f>
        <v>#REF!</v>
      </c>
      <c r="T274" s="241" t="e">
        <f>SUM(D274:R274)</f>
        <v>#REF!</v>
      </c>
    </row>
    <row r="276" spans="3:20" ht="23.25">
      <c r="C276" s="41" t="s">
        <v>274</v>
      </c>
      <c r="D276" s="202">
        <f aca="true" t="shared" si="37" ref="D276:R276">SUM(D121:D153)+D167</f>
        <v>2427857.22</v>
      </c>
      <c r="E276" s="202">
        <f t="shared" si="37"/>
        <v>1008008.2200000001</v>
      </c>
      <c r="F276" s="202">
        <f t="shared" si="37"/>
        <v>200591.88</v>
      </c>
      <c r="G276" s="202">
        <f t="shared" si="37"/>
        <v>242750.46999999997</v>
      </c>
      <c r="H276" s="202">
        <f t="shared" si="37"/>
        <v>476802.25</v>
      </c>
      <c r="I276" s="202">
        <f t="shared" si="37"/>
        <v>129005.60999999999</v>
      </c>
      <c r="J276" s="202">
        <f t="shared" si="37"/>
        <v>88140.14000000001</v>
      </c>
      <c r="K276" s="202">
        <f t="shared" si="37"/>
        <v>14673.51</v>
      </c>
      <c r="L276" s="202">
        <f t="shared" si="37"/>
        <v>0</v>
      </c>
      <c r="M276" s="202">
        <f t="shared" si="37"/>
        <v>0</v>
      </c>
      <c r="N276" s="202">
        <f t="shared" si="37"/>
        <v>0</v>
      </c>
      <c r="O276" s="202">
        <f t="shared" si="37"/>
        <v>0</v>
      </c>
      <c r="P276" s="202">
        <f t="shared" si="37"/>
        <v>234767.1</v>
      </c>
      <c r="Q276" s="202">
        <f t="shared" si="37"/>
        <v>100233.59999999999</v>
      </c>
      <c r="R276" s="202">
        <f t="shared" si="37"/>
        <v>225900.84</v>
      </c>
      <c r="S276" s="202"/>
      <c r="T276" s="202">
        <f>SUM(D276:S276)</f>
        <v>5148730.839999999</v>
      </c>
    </row>
    <row r="277" spans="4:25" s="154" customFormat="1" ht="23.25"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Y277" s="155"/>
    </row>
    <row r="278" spans="4:20" s="154" customFormat="1" ht="23.25"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</row>
    <row r="279" spans="2:27" ht="34.5">
      <c r="B279" s="156"/>
      <c r="C279" s="157" t="s">
        <v>278</v>
      </c>
      <c r="D279" s="243">
        <f aca="true" t="shared" si="38" ref="D279:R279">D258</f>
        <v>2890299.2029000004</v>
      </c>
      <c r="E279" s="243">
        <f t="shared" si="38"/>
        <v>1177301.31</v>
      </c>
      <c r="F279" s="243">
        <f t="shared" si="38"/>
        <v>212591.88</v>
      </c>
      <c r="G279" s="243">
        <f t="shared" si="38"/>
        <v>525792.1198</v>
      </c>
      <c r="H279" s="243">
        <f t="shared" si="38"/>
        <v>459094.3652</v>
      </c>
      <c r="I279" s="243">
        <f t="shared" si="38"/>
        <v>149005.18199999997</v>
      </c>
      <c r="J279" s="243">
        <f t="shared" si="38"/>
        <v>78446.8242</v>
      </c>
      <c r="K279" s="243">
        <f t="shared" si="38"/>
        <v>43761.71000000001</v>
      </c>
      <c r="L279" s="243">
        <f t="shared" si="38"/>
        <v>17506.2</v>
      </c>
      <c r="M279" s="243">
        <f t="shared" si="38"/>
        <v>0</v>
      </c>
      <c r="N279" s="243">
        <f t="shared" si="38"/>
        <v>0</v>
      </c>
      <c r="O279" s="243">
        <f t="shared" si="38"/>
        <v>14161.45</v>
      </c>
      <c r="P279" s="243">
        <f t="shared" si="38"/>
        <v>268868.64</v>
      </c>
      <c r="Q279" s="243">
        <f t="shared" si="38"/>
        <v>91219.38999999998</v>
      </c>
      <c r="R279" s="243">
        <f t="shared" si="38"/>
        <v>241855.25999999998</v>
      </c>
      <c r="S279" s="243"/>
      <c r="T279" s="244">
        <f>SUM(D279:S279)</f>
        <v>6169903.5341</v>
      </c>
      <c r="U279" s="158"/>
      <c r="V279" s="158"/>
      <c r="W279" s="158"/>
      <c r="X279" s="158"/>
      <c r="Y279" s="158"/>
      <c r="Z279" s="158"/>
      <c r="AA279" s="158"/>
    </row>
    <row r="280" spans="4:18" ht="23.25">
      <c r="D280" s="244"/>
      <c r="E280" s="244"/>
      <c r="F280" s="244"/>
      <c r="R280" s="245"/>
    </row>
    <row r="281" spans="3:20" ht="23.25">
      <c r="C281" s="157" t="s">
        <v>275</v>
      </c>
      <c r="D281" s="243">
        <f>+($T$281*D276)/$T$276</f>
        <v>376571.9431875075</v>
      </c>
      <c r="E281" s="243">
        <f>+($T$281*E276)/$T$276</f>
        <v>156346.7616742226</v>
      </c>
      <c r="F281" s="243">
        <f>+($T$281*F276)/$T$276</f>
        <v>31112.73324352876</v>
      </c>
      <c r="G281" s="243">
        <f aca="true" t="shared" si="39" ref="G281:L281">+($T$281*G276)/$T$276</f>
        <v>37651.72656964594</v>
      </c>
      <c r="H281" s="243">
        <f t="shared" si="39"/>
        <v>73954.24587557737</v>
      </c>
      <c r="I281" s="243">
        <f t="shared" si="39"/>
        <v>20009.369924887815</v>
      </c>
      <c r="J281" s="243">
        <f t="shared" si="39"/>
        <v>13670.945523155173</v>
      </c>
      <c r="K281" s="243">
        <f t="shared" si="39"/>
        <v>2275.929625746823</v>
      </c>
      <c r="L281" s="243">
        <f t="shared" si="39"/>
        <v>0</v>
      </c>
      <c r="M281" s="243">
        <f aca="true" t="shared" si="40" ref="M281:R281">+($T$281*M276)/$T$276</f>
        <v>0</v>
      </c>
      <c r="N281" s="243">
        <f t="shared" si="40"/>
        <v>0</v>
      </c>
      <c r="O281" s="243">
        <f t="shared" si="40"/>
        <v>0</v>
      </c>
      <c r="P281" s="243">
        <f t="shared" si="40"/>
        <v>36413.468763824545</v>
      </c>
      <c r="Q281" s="243">
        <f t="shared" si="40"/>
        <v>15546.697397913435</v>
      </c>
      <c r="R281" s="243">
        <f t="shared" si="40"/>
        <v>35038.27061399032</v>
      </c>
      <c r="S281" s="244">
        <f>SUM(D281:R281)</f>
        <v>798592.0924000002</v>
      </c>
      <c r="T281" s="243">
        <f>-S260-S92-S93-S94-S176</f>
        <v>798592.0924000001</v>
      </c>
    </row>
    <row r="283" spans="3:20" ht="23.25">
      <c r="C283" s="41" t="s">
        <v>276</v>
      </c>
      <c r="D283" s="246">
        <f>+($T$283*D279)/$T$279</f>
        <v>89458.21076368087</v>
      </c>
      <c r="E283" s="246">
        <f>+($T$283*E279)/$T$279</f>
        <v>36438.88100466028</v>
      </c>
      <c r="F283" s="246">
        <f>+($T$283*F279)/$T$279</f>
        <v>6579.972477799263</v>
      </c>
      <c r="G283" s="246">
        <f aca="true" t="shared" si="41" ref="G283:L283">+($T$283*G279)/$T$279</f>
        <v>16273.893797485269</v>
      </c>
      <c r="H283" s="246">
        <f t="shared" si="41"/>
        <v>14209.51866895727</v>
      </c>
      <c r="I283" s="246">
        <f t="shared" si="41"/>
        <v>4611.888265014966</v>
      </c>
      <c r="J283" s="246">
        <f t="shared" si="41"/>
        <v>2428.022858665896</v>
      </c>
      <c r="K283" s="246">
        <f t="shared" si="41"/>
        <v>1354.477167149718</v>
      </c>
      <c r="L283" s="246">
        <f t="shared" si="41"/>
        <v>541.8377888696853</v>
      </c>
      <c r="M283" s="246">
        <f aca="true" t="shared" si="42" ref="M283:R283">+($T$283*M279)/$T$279</f>
        <v>0</v>
      </c>
      <c r="N283" s="246">
        <f t="shared" si="42"/>
        <v>0</v>
      </c>
      <c r="O283" s="246">
        <f t="shared" si="42"/>
        <v>438.3137834132252</v>
      </c>
      <c r="P283" s="246">
        <f t="shared" si="42"/>
        <v>8321.805382892884</v>
      </c>
      <c r="Q283" s="246">
        <f t="shared" si="42"/>
        <v>2823.3490180416916</v>
      </c>
      <c r="R283" s="246">
        <f t="shared" si="42"/>
        <v>7485.709023369024</v>
      </c>
      <c r="S283" s="246">
        <f>SUM(D283:R283)</f>
        <v>190965.88000000003</v>
      </c>
      <c r="T283" s="246">
        <f>S92+S93+S94+S176</f>
        <v>190965.88</v>
      </c>
    </row>
    <row r="284" ht="23.25">
      <c r="S284" s="246"/>
    </row>
    <row r="285" spans="4:20" ht="23.25">
      <c r="D285" s="244">
        <f>SUM(D281:D283)</f>
        <v>466030.1539511884</v>
      </c>
      <c r="E285" s="244">
        <f>SUM(E281:E283)</f>
        <v>192785.64267888287</v>
      </c>
      <c r="F285" s="244">
        <f>SUM(F281:F283)</f>
        <v>37692.70572132802</v>
      </c>
      <c r="G285" s="244">
        <f aca="true" t="shared" si="43" ref="G285:S285">SUM(G281:G283)</f>
        <v>53925.62036713121</v>
      </c>
      <c r="H285" s="244">
        <f t="shared" si="43"/>
        <v>88163.76454453464</v>
      </c>
      <c r="I285" s="244">
        <f t="shared" si="43"/>
        <v>24621.25818990278</v>
      </c>
      <c r="J285" s="244">
        <f t="shared" si="43"/>
        <v>16098.968381821069</v>
      </c>
      <c r="K285" s="244">
        <f t="shared" si="43"/>
        <v>3630.4067928965414</v>
      </c>
      <c r="L285" s="244">
        <f t="shared" si="43"/>
        <v>541.8377888696853</v>
      </c>
      <c r="M285" s="244">
        <f t="shared" si="43"/>
        <v>0</v>
      </c>
      <c r="N285" s="244">
        <f t="shared" si="43"/>
        <v>0</v>
      </c>
      <c r="O285" s="244">
        <f t="shared" si="43"/>
        <v>438.3137834132252</v>
      </c>
      <c r="P285" s="244">
        <f t="shared" si="43"/>
        <v>44735.27414671743</v>
      </c>
      <c r="Q285" s="244">
        <f t="shared" si="43"/>
        <v>18370.046415955127</v>
      </c>
      <c r="R285" s="244">
        <f t="shared" si="43"/>
        <v>42523.97963735934</v>
      </c>
      <c r="S285" s="244">
        <f t="shared" si="43"/>
        <v>989557.9724000002</v>
      </c>
      <c r="T285" s="244"/>
    </row>
  </sheetData>
  <mergeCells count="4">
    <mergeCell ref="A274:C274"/>
    <mergeCell ref="A265:C265"/>
    <mergeCell ref="A267:C267"/>
    <mergeCell ref="A272:C272"/>
  </mergeCells>
  <printOptions horizontalCentered="1"/>
  <pageMargins left="0" right="0" top="0" bottom="0" header="0" footer="0"/>
  <pageSetup fitToHeight="0" orientation="landscape" paperSize="8" scale="43" r:id="rId1"/>
  <headerFooter alignWithMargins="0">
    <oddHeader>&amp;CBilancio previsionale sezionali 2005</oddHeader>
    <oddFooter>&amp;CBilancio previsionale sezionali 2005</oddFooter>
  </headerFooter>
  <rowBreaks count="3" manualBreakCount="3">
    <brk id="61" max="19" man="1"/>
    <brk id="155" max="19" man="1"/>
    <brk id="21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9"/>
  <sheetViews>
    <sheetView zoomScale="75" zoomScaleNormal="75" workbookViewId="0" topLeftCell="D1">
      <selection activeCell="K15" sqref="K15"/>
    </sheetView>
  </sheetViews>
  <sheetFormatPr defaultColWidth="9.140625" defaultRowHeight="12.75"/>
  <cols>
    <col min="1" max="1" width="9.140625" style="2" customWidth="1"/>
    <col min="2" max="2" width="20.140625" style="2" customWidth="1"/>
    <col min="3" max="11" width="15.7109375" style="2" customWidth="1"/>
    <col min="12" max="12" width="16.00390625" style="1" customWidth="1"/>
    <col min="13" max="16384" width="9.140625" style="2" customWidth="1"/>
  </cols>
  <sheetData>
    <row r="3" spans="2:11" ht="19.5" customHeight="1">
      <c r="B3" s="253" t="s">
        <v>212</v>
      </c>
      <c r="C3" s="254"/>
      <c r="D3" s="254"/>
      <c r="E3" s="254"/>
      <c r="F3" s="254"/>
      <c r="G3" s="254"/>
      <c r="H3" s="254"/>
      <c r="I3" s="254"/>
      <c r="J3" s="254"/>
      <c r="K3" s="255"/>
    </row>
    <row r="6" spans="2:12" s="7" customFormat="1" ht="12.75">
      <c r="B6" s="3" t="s">
        <v>181</v>
      </c>
      <c r="C6" s="4" t="s">
        <v>182</v>
      </c>
      <c r="D6" s="4" t="s">
        <v>309</v>
      </c>
      <c r="E6" s="4" t="s">
        <v>128</v>
      </c>
      <c r="F6" s="4" t="s">
        <v>317</v>
      </c>
      <c r="G6" s="4" t="s">
        <v>203</v>
      </c>
      <c r="H6" s="4" t="s">
        <v>187</v>
      </c>
      <c r="I6" s="4" t="s">
        <v>196</v>
      </c>
      <c r="J6" s="4" t="s">
        <v>208</v>
      </c>
      <c r="K6" s="5" t="s">
        <v>298</v>
      </c>
      <c r="L6" s="6"/>
    </row>
    <row r="7" s="7" customFormat="1" ht="12.75">
      <c r="L7" s="6"/>
    </row>
    <row r="8" spans="2:12" s="12" customFormat="1" ht="12">
      <c r="B8" s="8"/>
      <c r="C8" s="9"/>
      <c r="D8" s="10">
        <v>0.847</v>
      </c>
      <c r="E8" s="10">
        <v>0.089</v>
      </c>
      <c r="F8" s="10">
        <v>0</v>
      </c>
      <c r="G8" s="10">
        <v>0.027</v>
      </c>
      <c r="H8" s="10">
        <v>0</v>
      </c>
      <c r="I8" s="10"/>
      <c r="J8" s="10"/>
      <c r="K8" s="10">
        <v>0.037</v>
      </c>
      <c r="L8" s="11">
        <f>SUM(D8:K8)</f>
        <v>1</v>
      </c>
    </row>
    <row r="9" spans="2:12" s="12" customFormat="1" ht="12">
      <c r="B9" s="13"/>
      <c r="C9" s="14"/>
      <c r="D9" s="15"/>
      <c r="E9" s="15"/>
      <c r="F9" s="15"/>
      <c r="G9" s="15"/>
      <c r="H9" s="15"/>
      <c r="I9" s="15"/>
      <c r="J9" s="15"/>
      <c r="K9" s="15"/>
      <c r="L9" s="16"/>
    </row>
    <row r="10" spans="2:12" ht="12.75">
      <c r="B10" s="17" t="s">
        <v>183</v>
      </c>
      <c r="C10" s="37">
        <v>53880.1</v>
      </c>
      <c r="D10" s="38">
        <f>C10*D8</f>
        <v>45636.4447</v>
      </c>
      <c r="E10" s="38">
        <f>C10*E8</f>
        <v>4795.3288999999995</v>
      </c>
      <c r="F10" s="38">
        <f>C10*F8</f>
        <v>0</v>
      </c>
      <c r="G10" s="38">
        <f>C10*G8</f>
        <v>1454.7627</v>
      </c>
      <c r="H10" s="38">
        <f>D10*H8</f>
        <v>0</v>
      </c>
      <c r="I10" s="19"/>
      <c r="J10" s="19"/>
      <c r="K10" s="38">
        <f>C10*K8</f>
        <v>1993.5637</v>
      </c>
      <c r="L10" s="39">
        <f>SUM(D10:K10)</f>
        <v>53880.1</v>
      </c>
    </row>
    <row r="11" spans="2:12" ht="12.75"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4"/>
    </row>
    <row r="12" spans="2:12" ht="12.75">
      <c r="B12" s="25"/>
      <c r="C12" s="18"/>
      <c r="D12" s="19"/>
      <c r="E12" s="19"/>
      <c r="F12" s="19"/>
      <c r="G12" s="19"/>
      <c r="H12" s="19"/>
      <c r="I12" s="19"/>
      <c r="J12" s="19"/>
      <c r="K12" s="19"/>
      <c r="L12" s="18"/>
    </row>
    <row r="13" spans="2:12" ht="12.75">
      <c r="B13" s="26"/>
      <c r="C13" s="27"/>
      <c r="D13" s="10">
        <v>0.61</v>
      </c>
      <c r="E13" s="10">
        <v>0.07</v>
      </c>
      <c r="F13" s="10">
        <v>0.2</v>
      </c>
      <c r="G13" s="10">
        <v>0</v>
      </c>
      <c r="H13" s="10">
        <v>0</v>
      </c>
      <c r="I13" s="10"/>
      <c r="J13" s="10"/>
      <c r="K13" s="10">
        <v>0.12</v>
      </c>
      <c r="L13" s="11">
        <f>SUM(D13:K13)</f>
        <v>0.9999999999999999</v>
      </c>
    </row>
    <row r="14" spans="2:12" ht="12.75">
      <c r="B14" s="28"/>
      <c r="C14" s="18"/>
      <c r="D14" s="19"/>
      <c r="E14" s="19"/>
      <c r="F14" s="19"/>
      <c r="G14" s="19"/>
      <c r="H14" s="19"/>
      <c r="I14" s="19"/>
      <c r="J14" s="19"/>
      <c r="K14" s="19"/>
      <c r="L14" s="20"/>
    </row>
    <row r="15" spans="2:12" ht="12.75">
      <c r="B15" s="17" t="s">
        <v>184</v>
      </c>
      <c r="C15" s="37">
        <f>28365.39+9203.98</f>
        <v>37569.369999999995</v>
      </c>
      <c r="D15" s="38">
        <f>C15*D13</f>
        <v>22917.315699999996</v>
      </c>
      <c r="E15" s="38">
        <f>C15*E13</f>
        <v>2629.8559</v>
      </c>
      <c r="F15" s="38">
        <f>C15*F13</f>
        <v>7513.874</v>
      </c>
      <c r="G15" s="38">
        <f>C15*G13</f>
        <v>0</v>
      </c>
      <c r="H15" s="38">
        <f>D15*H13</f>
        <v>0</v>
      </c>
      <c r="I15" s="19"/>
      <c r="J15" s="19"/>
      <c r="K15" s="38">
        <f>C15*K13</f>
        <v>4508.3243999999995</v>
      </c>
      <c r="L15" s="39">
        <f>SUM(D15:K15)</f>
        <v>37569.369999999995</v>
      </c>
    </row>
    <row r="16" spans="2:12" ht="12.75">
      <c r="B16" s="21"/>
      <c r="C16" s="22"/>
      <c r="D16" s="23"/>
      <c r="E16" s="23"/>
      <c r="F16" s="23"/>
      <c r="G16" s="23"/>
      <c r="H16" s="23"/>
      <c r="I16" s="23"/>
      <c r="J16" s="23"/>
      <c r="K16" s="23"/>
      <c r="L16" s="24"/>
    </row>
    <row r="17" spans="2:12" ht="12.75">
      <c r="B17" s="6"/>
      <c r="C17" s="1"/>
      <c r="D17" s="19"/>
      <c r="E17" s="19"/>
      <c r="F17" s="19"/>
      <c r="G17" s="19"/>
      <c r="H17" s="19"/>
      <c r="I17" s="19"/>
      <c r="J17" s="19"/>
      <c r="K17" s="19"/>
      <c r="L17" s="18"/>
    </row>
    <row r="18" spans="2:12" ht="12.75">
      <c r="B18" s="26"/>
      <c r="C18" s="27"/>
      <c r="D18" s="10">
        <v>0.55</v>
      </c>
      <c r="E18" s="10">
        <v>0.1875</v>
      </c>
      <c r="F18" s="10">
        <v>0.15</v>
      </c>
      <c r="G18" s="10">
        <v>0.0625</v>
      </c>
      <c r="H18" s="10">
        <v>0.0125</v>
      </c>
      <c r="I18" s="10"/>
      <c r="J18" s="10"/>
      <c r="K18" s="10">
        <v>0.0375</v>
      </c>
      <c r="L18" s="11">
        <f>SUM(D18:K18)</f>
        <v>1</v>
      </c>
    </row>
    <row r="19" spans="2:12" ht="12.75">
      <c r="B19" s="29"/>
      <c r="C19" s="18"/>
      <c r="D19" s="19"/>
      <c r="E19" s="19"/>
      <c r="F19" s="19"/>
      <c r="G19" s="19"/>
      <c r="H19" s="19"/>
      <c r="I19" s="19"/>
      <c r="J19" s="19"/>
      <c r="K19" s="19"/>
      <c r="L19" s="20"/>
    </row>
    <row r="20" spans="2:12" ht="12.75">
      <c r="B20" s="30" t="s">
        <v>185</v>
      </c>
      <c r="C20" s="18">
        <v>0</v>
      </c>
      <c r="D20" s="19"/>
      <c r="E20" s="19">
        <f>C20</f>
        <v>0</v>
      </c>
      <c r="F20" s="19"/>
      <c r="G20" s="19"/>
      <c r="H20" s="19"/>
      <c r="I20" s="19"/>
      <c r="J20" s="19"/>
      <c r="K20" s="19"/>
      <c r="L20" s="20">
        <f>SUM(D20:K20)</f>
        <v>0</v>
      </c>
    </row>
    <row r="21" spans="2:12" ht="12.75">
      <c r="B21" s="30" t="s">
        <v>186</v>
      </c>
      <c r="C21" s="37">
        <v>7312.9</v>
      </c>
      <c r="D21" s="38">
        <f>C21*D18</f>
        <v>4022.0950000000003</v>
      </c>
      <c r="E21" s="38">
        <f>C21*E18</f>
        <v>1371.1687499999998</v>
      </c>
      <c r="F21" s="38">
        <f>C21*F18</f>
        <v>1096.935</v>
      </c>
      <c r="G21" s="38">
        <f>C21*G18</f>
        <v>457.05625</v>
      </c>
      <c r="H21" s="38">
        <f>C21*H18</f>
        <v>91.41125</v>
      </c>
      <c r="I21" s="19"/>
      <c r="J21" s="19"/>
      <c r="K21" s="38">
        <f>C21*K18</f>
        <v>274.23375</v>
      </c>
      <c r="L21" s="39">
        <f>SUM(D21:K21)</f>
        <v>7312.9</v>
      </c>
    </row>
    <row r="22" spans="2:12" s="33" customFormat="1" ht="15.75" customHeight="1">
      <c r="B22" s="31" t="s">
        <v>138</v>
      </c>
      <c r="C22" s="40">
        <f>SUM(C20:C21)</f>
        <v>7312.9</v>
      </c>
      <c r="D22" s="40">
        <f aca="true" t="shared" si="0" ref="D22:L22">SUM(D20:D21)</f>
        <v>4022.0950000000003</v>
      </c>
      <c r="E22" s="40">
        <f t="shared" si="0"/>
        <v>1371.1687499999998</v>
      </c>
      <c r="F22" s="40"/>
      <c r="G22" s="40">
        <f t="shared" si="0"/>
        <v>457.05625</v>
      </c>
      <c r="H22" s="40">
        <f t="shared" si="0"/>
        <v>91.41125</v>
      </c>
      <c r="I22" s="32"/>
      <c r="J22" s="32"/>
      <c r="K22" s="40">
        <f t="shared" si="0"/>
        <v>274.23375</v>
      </c>
      <c r="L22" s="40">
        <f t="shared" si="0"/>
        <v>7312.9</v>
      </c>
    </row>
    <row r="24" spans="2:12" ht="12.75">
      <c r="B24" s="26"/>
      <c r="C24" s="27"/>
      <c r="D24" s="10">
        <v>0.25</v>
      </c>
      <c r="E24" s="10">
        <v>0</v>
      </c>
      <c r="F24" s="10">
        <v>0</v>
      </c>
      <c r="G24" s="10">
        <v>0.05</v>
      </c>
      <c r="H24" s="10">
        <v>0.27</v>
      </c>
      <c r="I24" s="10">
        <v>0.1</v>
      </c>
      <c r="J24" s="10">
        <v>0.05</v>
      </c>
      <c r="K24" s="10">
        <v>0.28</v>
      </c>
      <c r="L24" s="11">
        <f>SUM(D24:K24)</f>
        <v>1</v>
      </c>
    </row>
    <row r="25" spans="2:12" ht="12.75">
      <c r="B25" s="28"/>
      <c r="C25" s="18"/>
      <c r="D25" s="19"/>
      <c r="E25" s="19"/>
      <c r="F25" s="19"/>
      <c r="G25" s="19"/>
      <c r="H25" s="19"/>
      <c r="I25" s="19"/>
      <c r="J25" s="19"/>
      <c r="K25" s="19"/>
      <c r="L25" s="20"/>
    </row>
    <row r="26" spans="2:12" ht="12.75">
      <c r="B26" s="17" t="s">
        <v>199</v>
      </c>
      <c r="C26" s="37">
        <v>10478.81</v>
      </c>
      <c r="D26" s="38">
        <f>C26*D24</f>
        <v>2619.7025</v>
      </c>
      <c r="E26" s="38">
        <f>C26*E24</f>
        <v>0</v>
      </c>
      <c r="F26" s="38">
        <f>C26*F24</f>
        <v>0</v>
      </c>
      <c r="G26" s="38">
        <f>C26*G24</f>
        <v>523.9405</v>
      </c>
      <c r="H26" s="38">
        <f>C26*H24</f>
        <v>2829.2787</v>
      </c>
      <c r="I26" s="38">
        <f>C26*I24</f>
        <v>1047.881</v>
      </c>
      <c r="J26" s="38">
        <f>C26*J24</f>
        <v>523.9405</v>
      </c>
      <c r="K26" s="38">
        <f>C26*K24</f>
        <v>2934.0668</v>
      </c>
      <c r="L26" s="39">
        <f>SUM(D26:K26)</f>
        <v>10478.81</v>
      </c>
    </row>
    <row r="27" spans="2:12" ht="13.5" customHeight="1">
      <c r="B27" s="21"/>
      <c r="C27" s="36"/>
      <c r="D27" s="19"/>
      <c r="E27" s="19"/>
      <c r="F27" s="19"/>
      <c r="G27" s="19"/>
      <c r="H27" s="19"/>
      <c r="I27" s="19"/>
      <c r="J27" s="19"/>
      <c r="K27" s="19"/>
      <c r="L27" s="20"/>
    </row>
    <row r="29" spans="2:12" ht="12.75">
      <c r="B29" s="26"/>
      <c r="C29" s="27"/>
      <c r="D29" s="10">
        <v>0.8</v>
      </c>
      <c r="E29" s="10">
        <v>0.05</v>
      </c>
      <c r="F29" s="10"/>
      <c r="G29" s="10">
        <v>0</v>
      </c>
      <c r="H29" s="10">
        <v>0.05</v>
      </c>
      <c r="I29" s="10">
        <v>0</v>
      </c>
      <c r="J29" s="10">
        <v>0</v>
      </c>
      <c r="K29" s="10">
        <v>0.1</v>
      </c>
      <c r="L29" s="11">
        <f>SUM(D29:K29)</f>
        <v>1.0000000000000002</v>
      </c>
    </row>
    <row r="30" spans="2:12" ht="12.75">
      <c r="B30" s="28"/>
      <c r="C30" s="18"/>
      <c r="D30" s="19"/>
      <c r="E30" s="19"/>
      <c r="F30" s="19"/>
      <c r="G30" s="19"/>
      <c r="H30" s="19"/>
      <c r="I30" s="19"/>
      <c r="J30" s="19"/>
      <c r="K30" s="19"/>
      <c r="L30" s="20"/>
    </row>
    <row r="31" spans="2:12" ht="12.75">
      <c r="B31" s="17"/>
      <c r="C31" s="36">
        <v>0</v>
      </c>
      <c r="D31" s="19">
        <f>C31*D29</f>
        <v>0</v>
      </c>
      <c r="E31" s="19">
        <f>C31*E29</f>
        <v>0</v>
      </c>
      <c r="F31" s="19"/>
      <c r="G31" s="19">
        <f>C31*G29</f>
        <v>0</v>
      </c>
      <c r="H31" s="19">
        <f>C31*H29</f>
        <v>0</v>
      </c>
      <c r="I31" s="19">
        <f>C31*I29</f>
        <v>0</v>
      </c>
      <c r="J31" s="19">
        <f>C31*J29</f>
        <v>0</v>
      </c>
      <c r="K31" s="19">
        <f>C31*K29</f>
        <v>0</v>
      </c>
      <c r="L31" s="20">
        <f>SUM(D31:K31)</f>
        <v>0</v>
      </c>
    </row>
    <row r="32" spans="2:12" ht="13.5" customHeight="1">
      <c r="B32" s="21"/>
      <c r="C32" s="22"/>
      <c r="D32" s="23"/>
      <c r="E32" s="23"/>
      <c r="F32" s="23"/>
      <c r="G32" s="23"/>
      <c r="H32" s="23"/>
      <c r="I32" s="23"/>
      <c r="J32" s="23"/>
      <c r="K32" s="23"/>
      <c r="L32" s="24"/>
    </row>
    <row r="36" spans="2:9" ht="12.75">
      <c r="B36" s="2" t="s">
        <v>201</v>
      </c>
      <c r="D36" s="2" t="s">
        <v>6</v>
      </c>
      <c r="G36" s="35" t="s">
        <v>210</v>
      </c>
      <c r="I36" s="6" t="s">
        <v>211</v>
      </c>
    </row>
    <row r="37" spans="2:9" ht="12.75">
      <c r="B37" s="34">
        <f>D37/$D$49*100</f>
        <v>45.89296761116554</v>
      </c>
      <c r="C37" s="2" t="s">
        <v>202</v>
      </c>
      <c r="D37" s="2">
        <v>1892610527.7761102</v>
      </c>
      <c r="G37" s="2">
        <f>$G$49*B37/100</f>
        <v>10963559.193798542</v>
      </c>
      <c r="I37" s="2">
        <f>$I$49*B37/100</f>
        <v>4313200.07867102</v>
      </c>
    </row>
    <row r="38" spans="2:9" ht="12.75">
      <c r="B38" s="34">
        <f aca="true" t="shared" si="1" ref="B38:B48">D38/$D$49*100</f>
        <v>14.442888818103878</v>
      </c>
      <c r="C38" s="2" t="s">
        <v>200</v>
      </c>
      <c r="D38" s="2">
        <v>595619870.5701665</v>
      </c>
      <c r="G38" s="2">
        <f aca="true" t="shared" si="2" ref="G38:G48">$G$49*B38/100</f>
        <v>3450320.9256009893</v>
      </c>
      <c r="I38" s="2">
        <f aca="true" t="shared" si="3" ref="I38:I48">$I$49*B38/100</f>
        <v>1357399.0183917931</v>
      </c>
    </row>
    <row r="39" spans="2:9" ht="12.75">
      <c r="B39" s="34">
        <f t="shared" si="1"/>
        <v>10.949912508790861</v>
      </c>
      <c r="C39" s="2" t="s">
        <v>189</v>
      </c>
      <c r="D39" s="2">
        <v>451570703.99001336</v>
      </c>
      <c r="G39" s="2">
        <f t="shared" si="2"/>
        <v>2615869.4938663347</v>
      </c>
      <c r="I39" s="2">
        <f t="shared" si="3"/>
        <v>1029115.4822349495</v>
      </c>
    </row>
    <row r="40" spans="2:9" ht="12.75">
      <c r="B40" s="34">
        <f t="shared" si="1"/>
        <v>1.9930759647807765</v>
      </c>
      <c r="C40" s="2" t="s">
        <v>203</v>
      </c>
      <c r="D40" s="2">
        <v>82193781.53013334</v>
      </c>
      <c r="G40" s="2">
        <f t="shared" si="2"/>
        <v>476134.08883793536</v>
      </c>
      <c r="I40" s="2">
        <f t="shared" si="3"/>
        <v>187317.05216636002</v>
      </c>
    </row>
    <row r="41" spans="2:9" ht="12.75">
      <c r="B41" s="34">
        <f t="shared" si="1"/>
        <v>3.1193147616558194</v>
      </c>
      <c r="C41" s="2" t="s">
        <v>204</v>
      </c>
      <c r="D41" s="2">
        <v>128639490.20199999</v>
      </c>
      <c r="G41" s="2">
        <f t="shared" si="2"/>
        <v>745185.8926024815</v>
      </c>
      <c r="I41" s="2">
        <f t="shared" si="3"/>
        <v>293165.3666279844</v>
      </c>
    </row>
    <row r="42" spans="2:9" ht="12.75">
      <c r="B42" s="34">
        <f t="shared" si="1"/>
        <v>0.7018272943998034</v>
      </c>
      <c r="C42" s="2" t="s">
        <v>190</v>
      </c>
      <c r="D42" s="2">
        <v>28943121.24933333</v>
      </c>
      <c r="G42" s="2">
        <f t="shared" si="2"/>
        <v>167662.39985107607</v>
      </c>
      <c r="I42" s="2">
        <f t="shared" si="3"/>
        <v>65960.46625414169</v>
      </c>
    </row>
    <row r="43" spans="2:9" ht="12.75">
      <c r="B43" s="34">
        <f t="shared" si="1"/>
        <v>5.533933085014428</v>
      </c>
      <c r="C43" s="2" t="s">
        <v>205</v>
      </c>
      <c r="D43" s="2">
        <v>228217536.62665004</v>
      </c>
      <c r="G43" s="2">
        <f t="shared" si="2"/>
        <v>1322023.963804745</v>
      </c>
      <c r="I43" s="2">
        <f t="shared" si="3"/>
        <v>520100.61366868747</v>
      </c>
    </row>
    <row r="44" spans="2:9" ht="12.75">
      <c r="B44" s="34">
        <f t="shared" si="1"/>
        <v>7.495840101570908</v>
      </c>
      <c r="C44" s="2" t="s">
        <v>206</v>
      </c>
      <c r="D44" s="2">
        <v>309125921.22955</v>
      </c>
      <c r="G44" s="2">
        <f t="shared" si="2"/>
        <v>1790711.9748086908</v>
      </c>
      <c r="I44" s="2">
        <f t="shared" si="3"/>
        <v>704488.2865220301</v>
      </c>
    </row>
    <row r="45" spans="2:9" ht="12.75">
      <c r="B45" s="34">
        <f t="shared" si="1"/>
        <v>0.03261564034759641</v>
      </c>
      <c r="C45" s="2" t="s">
        <v>207</v>
      </c>
      <c r="D45" s="2">
        <v>1345058.0231600003</v>
      </c>
      <c r="G45" s="2">
        <f t="shared" si="2"/>
        <v>7791.684046762733</v>
      </c>
      <c r="I45" s="2">
        <f t="shared" si="3"/>
        <v>3065.345080864466</v>
      </c>
    </row>
    <row r="46" spans="2:9" ht="12.75">
      <c r="B46" s="34">
        <f t="shared" si="1"/>
        <v>0.021868133875645856</v>
      </c>
      <c r="C46" s="2" t="s">
        <v>208</v>
      </c>
      <c r="D46" s="2">
        <v>901834.4759600003</v>
      </c>
      <c r="G46" s="2">
        <f t="shared" si="2"/>
        <v>5224.168160901929</v>
      </c>
      <c r="I46" s="2">
        <f t="shared" si="3"/>
        <v>2055.2525073553124</v>
      </c>
    </row>
    <row r="47" spans="2:9" ht="12.75">
      <c r="B47" s="34">
        <f t="shared" si="1"/>
        <v>0.34023365987643395</v>
      </c>
      <c r="C47" s="2" t="s">
        <v>209</v>
      </c>
      <c r="D47" s="2">
        <v>14031121.544410003</v>
      </c>
      <c r="G47" s="2">
        <f t="shared" si="2"/>
        <v>81279.8139658868</v>
      </c>
      <c r="I47" s="2">
        <f t="shared" si="3"/>
        <v>31976.486266460783</v>
      </c>
    </row>
    <row r="48" spans="2:9" ht="12.75">
      <c r="B48" s="34">
        <f t="shared" si="1"/>
        <v>9.475522420418313</v>
      </c>
      <c r="C48" s="2" t="s">
        <v>191</v>
      </c>
      <c r="D48" s="2">
        <v>390767353.3123001</v>
      </c>
      <c r="G48" s="2">
        <f t="shared" si="2"/>
        <v>2263646.4006556547</v>
      </c>
      <c r="I48" s="2">
        <f t="shared" si="3"/>
        <v>890546.5516083527</v>
      </c>
    </row>
    <row r="49" spans="4:9" ht="12.75">
      <c r="D49" s="1">
        <v>4123966320.529787</v>
      </c>
      <c r="E49" s="1"/>
      <c r="F49" s="1"/>
      <c r="G49" s="1">
        <v>23889410</v>
      </c>
      <c r="H49" s="1"/>
      <c r="I49" s="1">
        <v>9398390</v>
      </c>
    </row>
  </sheetData>
  <mergeCells count="1">
    <mergeCell ref="B3:K3"/>
  </mergeCells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Responsabile Ragioneria</cp:lastModifiedBy>
  <cp:lastPrinted>2004-09-21T15:09:28Z</cp:lastPrinted>
  <dcterms:created xsi:type="dcterms:W3CDTF">2000-03-31T06:54:56Z</dcterms:created>
  <dcterms:modified xsi:type="dcterms:W3CDTF">2004-11-29T17:21:41Z</dcterms:modified>
  <cp:category/>
  <cp:version/>
  <cp:contentType/>
  <cp:contentStatus/>
</cp:coreProperties>
</file>