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960" tabRatio="737" activeTab="0"/>
  </bookViews>
  <sheets>
    <sheet name="RSA I.D'ESTE" sheetId="1" r:id="rId1"/>
    <sheet name="RSA L.BIANCHI" sheetId="2" r:id="rId2"/>
    <sheet name="Ristorazione" sheetId="3" r:id="rId3"/>
    <sheet name="SAD" sheetId="4" r:id="rId4"/>
    <sheet name="CDI" sheetId="5" r:id="rId5"/>
    <sheet name="DORMITORIO" sheetId="6" r:id="rId6"/>
    <sheet name="Pensionato sociale" sheetId="7" r:id="rId7"/>
    <sheet name="AGENZIA DI LOCAZIONE" sheetId="8" r:id="rId8"/>
    <sheet name="DUE PINI" sheetId="9" r:id="rId9"/>
    <sheet name="GRAMSCI" sheetId="10" r:id="rId10"/>
    <sheet name="TRASPORTI" sheetId="11" r:id="rId11"/>
    <sheet name="AREA MINORI" sheetId="12" r:id="rId12"/>
    <sheet name="SND" sheetId="13" r:id="rId13"/>
    <sheet name="C.A.H." sheetId="14" r:id="rId14"/>
    <sheet name="Riepilogo 1" sheetId="15" r:id="rId15"/>
    <sheet name="Riepilogo 2" sheetId="16" r:id="rId16"/>
  </sheets>
  <definedNames>
    <definedName name="_xlnm.Print_Area" localSheetId="13">'C.A.H.'!$A:$IV</definedName>
    <definedName name="_xlnm.Print_Area" localSheetId="14">'Riepilogo 1'!#REF!</definedName>
    <definedName name="_xlnm.Print_Area" localSheetId="0">'RSA I.D''ESTE'!$A$1:$H$148</definedName>
    <definedName name="_xlnm.Print_Titles" localSheetId="14">'Riepilogo 1'!$14:$14</definedName>
  </definedNames>
  <calcPr fullCalcOnLoad="1"/>
</workbook>
</file>

<file path=xl/sharedStrings.xml><?xml version="1.0" encoding="utf-8"?>
<sst xmlns="http://schemas.openxmlformats.org/spreadsheetml/2006/main" count="1346" uniqueCount="261">
  <si>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</si>
  <si>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</si>
  <si>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</si>
  <si>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</si>
  <si>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</si>
  <si>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</si>
  <si>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</si>
  <si>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</si>
  <si>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</si>
  <si>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</si>
  <si>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</si>
  <si>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</si>
  <si>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</si>
  <si>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</si>
  <si>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</si>
  <si>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</si>
  <si>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</si>
  <si>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</si>
  <si>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</si>
  <si>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</si>
  <si>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</si>
  <si>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</si>
  <si>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</si>
  <si>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</si>
  <si>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</si>
  <si>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</si>
  <si>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</si>
  <si>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</si>
  <si>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</si>
  <si>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</si>
  <si>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</si>
  <si>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</si>
  <si>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</si>
  <si>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</si>
  <si>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</si>
  <si>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</si>
  <si>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</si>
  <si>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</si>
  <si>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</si>
  <si>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</si>
  <si>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</si>
  <si>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S.A.D.</t>
  </si>
  <si>
    <t>contributi A.S.L.</t>
  </si>
  <si>
    <t>* acquisto farmaci</t>
  </si>
  <si>
    <t>* cancelleria</t>
  </si>
  <si>
    <t>* acqua e gas</t>
  </si>
  <si>
    <t>* energia elettrica</t>
  </si>
  <si>
    <t>* spese postali e di affrancatura</t>
  </si>
  <si>
    <t>* servizio di pulizia</t>
  </si>
  <si>
    <t>* trasporti</t>
  </si>
  <si>
    <t>* manutenzioni contrattuali</t>
  </si>
  <si>
    <t>* manutenzioni e riparaz. varie</t>
  </si>
  <si>
    <t>rivalsa rette</t>
  </si>
  <si>
    <t>contributi Regione</t>
  </si>
  <si>
    <t>altri proventi vari</t>
  </si>
  <si>
    <t>* materiali di pulizia</t>
  </si>
  <si>
    <t>* sicurezza e adempimenti L. 626</t>
  </si>
  <si>
    <t>* teleriscaldamento</t>
  </si>
  <si>
    <t>* attività di animazione</t>
  </si>
  <si>
    <t>* compensi ai professionisti medici</t>
  </si>
  <si>
    <t>* smaltimento rifiuti</t>
  </si>
  <si>
    <t>* abbonamenti testi, riviste e quot.</t>
  </si>
  <si>
    <t>Farmacia 2 Pini</t>
  </si>
  <si>
    <t>Farmacia Gramsci</t>
  </si>
  <si>
    <t>Nuoto disabili</t>
  </si>
  <si>
    <t xml:space="preserve">totale </t>
  </si>
  <si>
    <t>risultato aziendale</t>
  </si>
  <si>
    <t>Centro diurno</t>
  </si>
  <si>
    <t>proventi fisioterapia</t>
  </si>
  <si>
    <t>* compensi fisioterapisti</t>
  </si>
  <si>
    <t>* carburanti e lubrificanti</t>
  </si>
  <si>
    <t>* assicurazioni diverse</t>
  </si>
  <si>
    <t>Trasporti</t>
  </si>
  <si>
    <t>E) Proventi e oneri straordinari</t>
  </si>
  <si>
    <t>15) Proventi da partecipazioni</t>
  </si>
  <si>
    <t>16) Altri proventi finanziari</t>
  </si>
  <si>
    <t>17) Interessi ed altri oneri finanziari</t>
  </si>
  <si>
    <t>C) Proventi e oneri finanziari</t>
  </si>
  <si>
    <t>D) Rettifiche di valore di attività finanziarie</t>
  </si>
  <si>
    <t>20) Proventi straordinari</t>
  </si>
  <si>
    <t>21) Oneri straordinari</t>
  </si>
  <si>
    <t>22) Imposte dell'esercizio</t>
  </si>
  <si>
    <t>UTILE (PERDITA) del SERVIZIO</t>
  </si>
  <si>
    <t>integrazione rette Comune</t>
  </si>
  <si>
    <t>* acquisto mat. medico per assist. farm. san.</t>
  </si>
  <si>
    <t>* acquisto materiali di consumo vari</t>
  </si>
  <si>
    <t>* servizio lavanderia biancheria piana</t>
  </si>
  <si>
    <t>* servizio assistenza geriatrica conv.</t>
  </si>
  <si>
    <t>* spese servizio religioso</t>
  </si>
  <si>
    <t>* acquisto pasti da CdR Ristorazione</t>
  </si>
  <si>
    <t>* locazione sollevatori</t>
  </si>
  <si>
    <t>* tasse di circolazione</t>
  </si>
  <si>
    <t>Ristorazione</t>
  </si>
  <si>
    <t>erogazione pasti ad altri CdR</t>
  </si>
  <si>
    <t>proventi Ristorazione: obiettori e altri</t>
  </si>
  <si>
    <t>* acquisto generi alimentari</t>
  </si>
  <si>
    <t>* acquisto attrezzature cucina</t>
  </si>
  <si>
    <t>C.D.I.</t>
  </si>
  <si>
    <t>FARMACIA DUE PINI</t>
  </si>
  <si>
    <t>FARMACIA GRAMSCI</t>
  </si>
  <si>
    <t>SERVIZIO TRASPORTI</t>
  </si>
  <si>
    <t>SERVIZIO NUOTO DISABILI</t>
  </si>
  <si>
    <t xml:space="preserve">pasti a domicilio </t>
  </si>
  <si>
    <t>sollevatori</t>
  </si>
  <si>
    <t>prestazioni socio-sanitarie</t>
  </si>
  <si>
    <t>integrazione tariffe Comune</t>
  </si>
  <si>
    <t>rivalsa tariffe</t>
  </si>
  <si>
    <t>proventi trasporto utenti</t>
  </si>
  <si>
    <t>vendita farmaci</t>
  </si>
  <si>
    <t>prestazioni diverse</t>
  </si>
  <si>
    <t>rimborsi farmaci scaduti</t>
  </si>
  <si>
    <t>*  affitti e locazioni</t>
  </si>
  <si>
    <t>rimborso farmaci scaduti</t>
  </si>
  <si>
    <t>*  spese condominiali</t>
  </si>
  <si>
    <t>contributi vari</t>
  </si>
  <si>
    <t>* altre spese per servizi</t>
  </si>
  <si>
    <t>proventi nuoto disabili</t>
  </si>
  <si>
    <t>rette Comunità Alloggio Handicap</t>
  </si>
  <si>
    <t>* compensi professionista podologa</t>
  </si>
  <si>
    <t>* rimborso spese ospiti</t>
  </si>
  <si>
    <t>* altre spese per automezzi</t>
  </si>
  <si>
    <t>* spese telefonia fissa</t>
  </si>
  <si>
    <t>* noleggio strutture e attrezzature</t>
  </si>
  <si>
    <t>* imposta di bollo</t>
  </si>
  <si>
    <t>* altre imposte e tasse</t>
  </si>
  <si>
    <t>* interessi di mora</t>
  </si>
  <si>
    <t>e - altri costi per il personale</t>
  </si>
  <si>
    <t xml:space="preserve">* confezionamento e consegna pasti </t>
  </si>
  <si>
    <t>* spese per manutenzione automezzi</t>
  </si>
  <si>
    <t>* imposte di bollo</t>
  </si>
  <si>
    <t>* compensi professionisti podologa</t>
  </si>
  <si>
    <t>e - altri costi del personale</t>
  </si>
  <si>
    <t>* compensi collaborazioni occasionali</t>
  </si>
  <si>
    <t>PENSIONATO SOCIALE</t>
  </si>
  <si>
    <t>proventi pensionato sociale</t>
  </si>
  <si>
    <t>* enpaf farmacisti</t>
  </si>
  <si>
    <t>* spese di vigilanza</t>
  </si>
  <si>
    <t>* tassa di concessione regionale</t>
  </si>
  <si>
    <t>* rifiuti urbani e speciali</t>
  </si>
  <si>
    <t>* Enpaf farmacisti</t>
  </si>
  <si>
    <t>* tassa concessione regionale</t>
  </si>
  <si>
    <t>* spese per assicurazione automezzi</t>
  </si>
  <si>
    <t>proventi servizio assistenza domicil.minori</t>
  </si>
  <si>
    <t>Pensionato sociale</t>
  </si>
  <si>
    <t xml:space="preserve">COMUNITA' ALLOGGIO HANDICAP </t>
  </si>
  <si>
    <t>* spese di formazione</t>
  </si>
  <si>
    <t>* assicurazioni dipendenti</t>
  </si>
  <si>
    <t>* assicurazioni fabbricati</t>
  </si>
  <si>
    <t>* prestazioni da terzi</t>
  </si>
  <si>
    <t>* spese per attività socio - ricreative</t>
  </si>
  <si>
    <t>* prestazioni occasionali</t>
  </si>
  <si>
    <t>* compensi fisiatra</t>
  </si>
  <si>
    <t>* Collaborazioni Coordinate e Continuative</t>
  </si>
  <si>
    <t>* Inps e Inail Collaborazioni Coordinate Cont.</t>
  </si>
  <si>
    <t>* servizio assistenza geriatrica e pulizia</t>
  </si>
  <si>
    <t>* Inps e Inail Collab.Coordinate e Continuate</t>
  </si>
  <si>
    <t xml:space="preserve">* Collaborazioni Coordinate e Continuative </t>
  </si>
  <si>
    <t>* acquisti per attività di animazione</t>
  </si>
  <si>
    <t>* Collaborazioni Continuate e Continuative</t>
  </si>
  <si>
    <t>* Inps e Inail Collaboraz.Coordinate e Contin.</t>
  </si>
  <si>
    <t>AGENZIA DI LOCAZIONE</t>
  </si>
  <si>
    <t>SEMIPENSIONATO</t>
  </si>
  <si>
    <t xml:space="preserve">     DORMITORIO      </t>
  </si>
  <si>
    <t>ARIOSTO</t>
  </si>
  <si>
    <t>* contributo Comune</t>
  </si>
  <si>
    <t>* abbonamenti e riviste</t>
  </si>
  <si>
    <t>* Inps e Inail Collaborazioni Coordinate e Co.</t>
  </si>
  <si>
    <t>proventi agenzia di locazione</t>
  </si>
  <si>
    <t>* affitti e locazioni</t>
  </si>
  <si>
    <t>* spese di pulizia</t>
  </si>
  <si>
    <t>* Inpe e Inail Collaborazioni Coordinate e Co.</t>
  </si>
  <si>
    <t>* Collaborazioni Coordinate Continuate</t>
  </si>
  <si>
    <t>* Inps e Inail Collaborazioni Coordinate</t>
  </si>
  <si>
    <t>* acquisto cancelleria</t>
  </si>
  <si>
    <t>* Collaborazioni Coordinate e Continuate</t>
  </si>
  <si>
    <t>* tasse circolazione automezzi</t>
  </si>
  <si>
    <t>AREA MINORI</t>
  </si>
  <si>
    <t>proventi C.a.g.</t>
  </si>
  <si>
    <t>* manutenzione contrattuale</t>
  </si>
  <si>
    <t>* spese gestione Cag</t>
  </si>
  <si>
    <t>* spese gestione Sadm</t>
  </si>
  <si>
    <t xml:space="preserve">* Inps e Inail Collaborazioni Coordinate </t>
  </si>
  <si>
    <t>* spese formazione</t>
  </si>
  <si>
    <t>* spese gestione comunita' alloggio</t>
  </si>
  <si>
    <t>Agenzia di Locazione</t>
  </si>
  <si>
    <t>Dormitorio Ariosto/Semipensionato</t>
  </si>
  <si>
    <t>Area Minori</t>
  </si>
  <si>
    <t xml:space="preserve"> C.A.H.</t>
  </si>
  <si>
    <t>ricavi comuni</t>
  </si>
  <si>
    <t>* costi comuni</t>
  </si>
  <si>
    <t>*  costi comuni</t>
  </si>
  <si>
    <t>* ricavi comuni</t>
  </si>
  <si>
    <t>*costi comuni</t>
  </si>
  <si>
    <t>UTILE D'ESERCIZIO</t>
  </si>
  <si>
    <t>BILANCIO DELL'ESERCIZIO CHIUSO AL 31 DICEMBRE 2003</t>
  </si>
  <si>
    <t>* spese rimborso Km.</t>
  </si>
  <si>
    <t>* acquisti materiali di consumo</t>
  </si>
  <si>
    <t>proventi Dormitorio</t>
  </si>
  <si>
    <t>* altri proventi vari (Piano di Zona)</t>
  </si>
  <si>
    <t>*  interessi di mora</t>
  </si>
  <si>
    <t>* spese condominiali</t>
  </si>
  <si>
    <t>* costi vari indeducibili</t>
  </si>
  <si>
    <t>* imposta di registro</t>
  </si>
  <si>
    <t>* spese per attività socio-ricreative</t>
  </si>
  <si>
    <t>contributo Piano di Zona</t>
  </si>
  <si>
    <t>* collaborazioni coordinate e continuative</t>
  </si>
  <si>
    <t xml:space="preserve">* Inps e Inail collaborazioni </t>
  </si>
  <si>
    <t>BILANCIO DELL'ESERCIZIO CHIUSO AL 31 DICEMBRE 2004</t>
  </si>
  <si>
    <t>R.S.A. ISABELLA D'ESTE</t>
  </si>
  <si>
    <t>* acquisto presidi sanitari</t>
  </si>
  <si>
    <t>* abbuoni e arrotondamenti passivi</t>
  </si>
  <si>
    <t>* acquisto attrezzatura minuta</t>
  </si>
  <si>
    <t>* spese di rappresentaza</t>
  </si>
  <si>
    <t>* spese vigilianza</t>
  </si>
  <si>
    <t>* compensi professionista impianti</t>
  </si>
  <si>
    <t>* consulenze legali</t>
  </si>
  <si>
    <t>* confezionamento e consegna pasti</t>
  </si>
  <si>
    <t>* spese costi personale di terzi (interinale)</t>
  </si>
  <si>
    <t>* tassa circolazione automezzi</t>
  </si>
  <si>
    <t>R.S.A. LUIGI BIANCHI</t>
  </si>
  <si>
    <t>RISTORAZIONE</t>
  </si>
  <si>
    <t>S.A.D. E VOUCHER</t>
  </si>
  <si>
    <t>prestazioni domiciliari voucher</t>
  </si>
  <si>
    <t>* acquisto mat.medico per assit.farm.e sanit.</t>
  </si>
  <si>
    <t>* acquisto materiale per voucher socio-sanit.</t>
  </si>
  <si>
    <t>* rimborso spese km.</t>
  </si>
  <si>
    <t>* prestazione medicina specialistica</t>
  </si>
  <si>
    <t>*compenso medici</t>
  </si>
  <si>
    <t>* servizio voucher socio-sanitario</t>
  </si>
  <si>
    <t>* spese manutenz.e riparaz. varie</t>
  </si>
  <si>
    <t>*  altre imposte e tasse</t>
  </si>
  <si>
    <t>* altri ricavi</t>
  </si>
  <si>
    <t>* consulenza impiantistica</t>
  </si>
  <si>
    <t>* contributo comune</t>
  </si>
  <si>
    <t>* spese manutenzione varie</t>
  </si>
  <si>
    <t>* compenso farmacisti</t>
  </si>
  <si>
    <t>* imposta comunale immobili - ICI</t>
  </si>
  <si>
    <t>contributo comune</t>
  </si>
  <si>
    <t>* acquisto materiale di consumo vari</t>
  </si>
  <si>
    <t>* assicurazioni varie</t>
  </si>
  <si>
    <t>* imposta sugli spettacoli - Siae</t>
  </si>
  <si>
    <t>* spese varie servizio nuoto disabili</t>
  </si>
  <si>
    <t>* compenso professionisti nuoto</t>
  </si>
  <si>
    <t>R.S.A."I.d'Este"</t>
  </si>
  <si>
    <t>R.S.A."L.Bianchi"</t>
  </si>
  <si>
    <t>contributi regione</t>
  </si>
  <si>
    <t>contributi ASL</t>
  </si>
  <si>
    <t>* spese manutenzione automezzi</t>
  </si>
  <si>
    <t>* consulenze impianti</t>
  </si>
  <si>
    <t>* sopravvenienze attive</t>
  </si>
  <si>
    <t>proventi e oneri finanziari</t>
  </si>
  <si>
    <t>proventi e oneri straordinari</t>
  </si>
  <si>
    <t>imposte</t>
  </si>
  <si>
    <t>risultato d'esercizio</t>
  </si>
  <si>
    <t>Valore della produzione</t>
  </si>
  <si>
    <t>Costi della produzione</t>
  </si>
  <si>
    <t>R.S.A.I.D'ESTE</t>
  </si>
  <si>
    <t>R.S.A. L.BIANCHI</t>
  </si>
  <si>
    <t>* spese diverse bancarie</t>
  </si>
  <si>
    <t>M.O.L.</t>
  </si>
  <si>
    <t>plusvalenza da conferimento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</si>
</sst>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[$€]\ #,##0.00;[Red]&quot;-&quot;[$€]\ #,##0.00"/>
    <numFmt numFmtId="181" formatCode="#,##0.00;[Red]#,##0.00"/>
    <numFmt numFmtId="182" formatCode="#,##0.00_ ;\-#,##0.00\ "/>
  </numFmts>
  <fonts count="24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b/>
      <sz val="11"/>
      <name val="Geneva"/>
      <family val="0"/>
    </font>
    <font>
      <b/>
      <sz val="11"/>
      <color indexed="10"/>
      <name val="Geneva"/>
      <family val="0"/>
    </font>
    <font>
      <sz val="18"/>
      <name val="Geneva"/>
      <family val="0"/>
    </font>
    <font>
      <sz val="11"/>
      <color indexed="8"/>
      <name val="Geneva"/>
      <family val="0"/>
    </font>
    <font>
      <sz val="12"/>
      <color indexed="8"/>
      <name val="Geneva"/>
      <family val="0"/>
    </font>
    <font>
      <b/>
      <sz val="11"/>
      <color indexed="8"/>
      <name val="Geneva"/>
      <family val="0"/>
    </font>
    <font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7" fillId="2" borderId="0" xfId="0" applyFont="1" applyFill="1" applyBorder="1" applyAlignment="1">
      <alignment/>
    </xf>
    <xf numFmtId="41" fontId="17" fillId="2" borderId="0" xfId="0" applyNumberFormat="1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3" fontId="14" fillId="3" borderId="7" xfId="0" applyNumberFormat="1" applyFont="1" applyFill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3" fontId="14" fillId="3" borderId="10" xfId="0" applyNumberFormat="1" applyFont="1" applyFill="1" applyBorder="1" applyAlignment="1" applyProtection="1">
      <alignment horizontal="center"/>
      <protection locked="0"/>
    </xf>
    <xf numFmtId="3" fontId="5" fillId="3" borderId="1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3" fontId="15" fillId="3" borderId="0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12" xfId="0" applyFont="1" applyFill="1" applyBorder="1" applyAlignment="1" applyProtection="1">
      <alignment horizontal="center"/>
      <protection locked="0"/>
    </xf>
    <xf numFmtId="3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3" fontId="14" fillId="3" borderId="15" xfId="0" applyNumberFormat="1" applyFont="1" applyFill="1" applyBorder="1" applyAlignment="1" applyProtection="1">
      <alignment horizontal="center"/>
      <protection locked="0"/>
    </xf>
    <xf numFmtId="3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3" fontId="15" fillId="3" borderId="0" xfId="0" applyNumberFormat="1" applyFont="1" applyFill="1" applyBorder="1" applyAlignment="1" applyProtection="1">
      <alignment/>
      <protection locked="0"/>
    </xf>
    <xf numFmtId="3" fontId="1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3" fontId="15" fillId="3" borderId="19" xfId="0" applyNumberFormat="1" applyFont="1" applyFill="1" applyBorder="1" applyAlignment="1" applyProtection="1">
      <alignment horizontal="center"/>
      <protection locked="0"/>
    </xf>
    <xf numFmtId="3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3" fontId="15" fillId="3" borderId="20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3" fontId="0" fillId="3" borderId="20" xfId="0" applyNumberFormat="1" applyFont="1" applyFill="1" applyBorder="1" applyAlignment="1" applyProtection="1">
      <alignment/>
      <protection locked="0"/>
    </xf>
    <xf numFmtId="3" fontId="0" fillId="3" borderId="20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3" fontId="9" fillId="3" borderId="20" xfId="0" applyNumberFormat="1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3" fontId="12" fillId="3" borderId="21" xfId="0" applyNumberFormat="1" applyFont="1" applyFill="1" applyBorder="1" applyAlignment="1" applyProtection="1">
      <alignment/>
      <protection locked="0"/>
    </xf>
    <xf numFmtId="3" fontId="0" fillId="3" borderId="8" xfId="0" applyNumberFormat="1" applyFill="1" applyBorder="1" applyAlignment="1" applyProtection="1">
      <alignment/>
      <protection locked="0"/>
    </xf>
    <xf numFmtId="3" fontId="12" fillId="3" borderId="0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12" fillId="3" borderId="20" xfId="0" applyNumberFormat="1" applyFont="1" applyFill="1" applyBorder="1" applyAlignment="1" applyProtection="1">
      <alignment/>
      <protection/>
    </xf>
    <xf numFmtId="4" fontId="11" fillId="3" borderId="4" xfId="0" applyNumberFormat="1" applyFont="1" applyFill="1" applyBorder="1" applyAlignment="1" applyProtection="1">
      <alignment/>
      <protection/>
    </xf>
    <xf numFmtId="4" fontId="12" fillId="3" borderId="20" xfId="0" applyNumberFormat="1" applyFont="1" applyFill="1" applyBorder="1" applyAlignment="1" applyProtection="1">
      <alignment/>
      <protection locked="0"/>
    </xf>
    <xf numFmtId="4" fontId="13" fillId="3" borderId="20" xfId="0" applyNumberFormat="1" applyFont="1" applyFill="1" applyBorder="1" applyAlignment="1" applyProtection="1">
      <alignment/>
      <protection locked="0"/>
    </xf>
    <xf numFmtId="4" fontId="12" fillId="3" borderId="22" xfId="0" applyNumberFormat="1" applyFont="1" applyFill="1" applyBorder="1" applyAlignment="1" applyProtection="1">
      <alignment/>
      <protection/>
    </xf>
    <xf numFmtId="4" fontId="11" fillId="3" borderId="22" xfId="0" applyNumberFormat="1" applyFont="1" applyFill="1" applyBorder="1" applyAlignment="1" applyProtection="1">
      <alignment/>
      <protection locked="0"/>
    </xf>
    <xf numFmtId="4" fontId="12" fillId="3" borderId="0" xfId="0" applyNumberFormat="1" applyFont="1" applyFill="1" applyBorder="1" applyAlignment="1" applyProtection="1">
      <alignment/>
      <protection/>
    </xf>
    <xf numFmtId="4" fontId="11" fillId="3" borderId="0" xfId="0" applyNumberFormat="1" applyFont="1" applyFill="1" applyBorder="1" applyAlignment="1" applyProtection="1">
      <alignment/>
      <protection/>
    </xf>
    <xf numFmtId="4" fontId="12" fillId="3" borderId="0" xfId="0" applyNumberFormat="1" applyFont="1" applyFill="1" applyBorder="1" applyAlignment="1" applyProtection="1">
      <alignment/>
      <protection locked="0"/>
    </xf>
    <xf numFmtId="4" fontId="15" fillId="3" borderId="20" xfId="0" applyNumberFormat="1" applyFont="1" applyFill="1" applyBorder="1" applyAlignment="1" applyProtection="1">
      <alignment/>
      <protection locked="0"/>
    </xf>
    <xf numFmtId="4" fontId="0" fillId="3" borderId="20" xfId="0" applyNumberFormat="1" applyFont="1" applyFill="1" applyBorder="1" applyAlignment="1" applyProtection="1">
      <alignment/>
      <protection locked="0"/>
    </xf>
    <xf numFmtId="4" fontId="0" fillId="3" borderId="20" xfId="0" applyNumberFormat="1" applyFill="1" applyBorder="1" applyAlignment="1" applyProtection="1">
      <alignment/>
      <protection locked="0"/>
    </xf>
    <xf numFmtId="4" fontId="9" fillId="3" borderId="20" xfId="0" applyNumberFormat="1" applyFont="1" applyFill="1" applyBorder="1" applyAlignment="1" applyProtection="1">
      <alignment/>
      <protection locked="0"/>
    </xf>
    <xf numFmtId="4" fontId="0" fillId="3" borderId="5" xfId="0" applyNumberFormat="1" applyFill="1" applyBorder="1" applyAlignment="1" applyProtection="1">
      <alignment/>
      <protection locked="0"/>
    </xf>
    <xf numFmtId="4" fontId="12" fillId="3" borderId="21" xfId="0" applyNumberFormat="1" applyFont="1" applyFill="1" applyBorder="1" applyAlignment="1" applyProtection="1">
      <alignment/>
      <protection locked="0"/>
    </xf>
    <xf numFmtId="4" fontId="0" fillId="3" borderId="8" xfId="0" applyNumberFormat="1" applyFill="1" applyBorder="1" applyAlignment="1" applyProtection="1">
      <alignment/>
      <protection locked="0"/>
    </xf>
    <xf numFmtId="4" fontId="11" fillId="3" borderId="0" xfId="0" applyNumberFormat="1" applyFont="1" applyFill="1" applyBorder="1" applyAlignment="1" applyProtection="1">
      <alignment/>
      <protection locked="0"/>
    </xf>
    <xf numFmtId="4" fontId="12" fillId="3" borderId="4" xfId="0" applyNumberFormat="1" applyFont="1" applyFill="1" applyBorder="1" applyAlignment="1" applyProtection="1">
      <alignment/>
      <protection/>
    </xf>
    <xf numFmtId="43" fontId="17" fillId="2" borderId="0" xfId="0" applyNumberFormat="1" applyFont="1" applyFill="1" applyBorder="1" applyAlignment="1">
      <alignment/>
    </xf>
    <xf numFmtId="43" fontId="18" fillId="2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4" fontId="20" fillId="3" borderId="22" xfId="0" applyNumberFormat="1" applyFont="1" applyFill="1" applyBorder="1" applyAlignment="1" applyProtection="1">
      <alignment/>
      <protection/>
    </xf>
    <xf numFmtId="4" fontId="5" fillId="3" borderId="20" xfId="0" applyNumberFormat="1" applyFont="1" applyFill="1" applyBorder="1" applyAlignment="1" applyProtection="1">
      <alignment/>
      <protection/>
    </xf>
    <xf numFmtId="4" fontId="20" fillId="3" borderId="20" xfId="0" applyNumberFormat="1" applyFont="1" applyFill="1" applyBorder="1" applyAlignment="1" applyProtection="1">
      <alignment/>
      <protection/>
    </xf>
    <xf numFmtId="4" fontId="21" fillId="3" borderId="20" xfId="0" applyNumberFormat="1" applyFont="1" applyFill="1" applyBorder="1" applyAlignment="1" applyProtection="1">
      <alignment/>
      <protection/>
    </xf>
    <xf numFmtId="4" fontId="21" fillId="3" borderId="22" xfId="0" applyNumberFormat="1" applyFont="1" applyFill="1" applyBorder="1" applyAlignment="1" applyProtection="1">
      <alignment/>
      <protection/>
    </xf>
    <xf numFmtId="4" fontId="21" fillId="3" borderId="20" xfId="0" applyNumberFormat="1" applyFont="1" applyFill="1" applyBorder="1" applyAlignment="1" applyProtection="1">
      <alignment/>
      <protection locked="0"/>
    </xf>
    <xf numFmtId="4" fontId="5" fillId="3" borderId="5" xfId="0" applyNumberFormat="1" applyFont="1" applyFill="1" applyBorder="1" applyAlignment="1" applyProtection="1">
      <alignment/>
      <protection/>
    </xf>
    <xf numFmtId="4" fontId="12" fillId="3" borderId="22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12" fillId="0" borderId="22" xfId="0" applyNumberFormat="1" applyFont="1" applyFill="1" applyBorder="1" applyAlignment="1" applyProtection="1">
      <alignment/>
      <protection locked="0"/>
    </xf>
    <xf numFmtId="4" fontId="20" fillId="3" borderId="20" xfId="0" applyNumberFormat="1" applyFont="1" applyFill="1" applyBorder="1" applyAlignment="1" applyProtection="1">
      <alignment/>
      <protection locked="0"/>
    </xf>
    <xf numFmtId="4" fontId="5" fillId="3" borderId="5" xfId="0" applyNumberFormat="1" applyFont="1" applyFill="1" applyBorder="1" applyAlignment="1" applyProtection="1">
      <alignment/>
      <protection locked="0"/>
    </xf>
    <xf numFmtId="4" fontId="14" fillId="3" borderId="20" xfId="0" applyNumberFormat="1" applyFont="1" applyFill="1" applyBorder="1" applyAlignment="1" applyProtection="1">
      <alignment/>
      <protection locked="0"/>
    </xf>
    <xf numFmtId="4" fontId="12" fillId="0" borderId="4" xfId="0" applyNumberFormat="1" applyFont="1" applyFill="1" applyBorder="1" applyAlignment="1" applyProtection="1">
      <alignment/>
      <protection/>
    </xf>
    <xf numFmtId="4" fontId="22" fillId="3" borderId="20" xfId="0" applyNumberFormat="1" applyFont="1" applyFill="1" applyBorder="1" applyAlignment="1" applyProtection="1">
      <alignment/>
      <protection locked="0"/>
    </xf>
    <xf numFmtId="3" fontId="23" fillId="3" borderId="5" xfId="0" applyNumberFormat="1" applyFont="1" applyFill="1" applyBorder="1" applyAlignment="1" applyProtection="1">
      <alignment/>
      <protection locked="0"/>
    </xf>
    <xf numFmtId="4" fontId="20" fillId="3" borderId="22" xfId="0" applyNumberFormat="1" applyFont="1" applyFill="1" applyBorder="1" applyAlignment="1" applyProtection="1">
      <alignment/>
      <protection locked="0"/>
    </xf>
    <xf numFmtId="4" fontId="20" fillId="3" borderId="0" xfId="0" applyNumberFormat="1" applyFont="1" applyFill="1" applyBorder="1" applyAlignment="1" applyProtection="1">
      <alignment/>
      <protection locked="0"/>
    </xf>
    <xf numFmtId="3" fontId="5" fillId="3" borderId="5" xfId="0" applyNumberFormat="1" applyFont="1" applyFill="1" applyBorder="1" applyAlignment="1" applyProtection="1">
      <alignment/>
      <protection/>
    </xf>
    <xf numFmtId="181" fontId="21" fillId="3" borderId="20" xfId="15" applyNumberFormat="1" applyFont="1" applyFill="1" applyBorder="1" applyAlignment="1" applyProtection="1">
      <alignment/>
      <protection locked="0"/>
    </xf>
    <xf numFmtId="4" fontId="11" fillId="3" borderId="20" xfId="0" applyNumberFormat="1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>
      <alignment/>
    </xf>
    <xf numFmtId="41" fontId="17" fillId="2" borderId="5" xfId="0" applyNumberFormat="1" applyFont="1" applyFill="1" applyBorder="1" applyAlignment="1">
      <alignment/>
    </xf>
    <xf numFmtId="0" fontId="17" fillId="2" borderId="4" xfId="0" applyFont="1" applyFill="1" applyBorder="1" applyAlignment="1">
      <alignment/>
    </xf>
    <xf numFmtId="43" fontId="17" fillId="2" borderId="5" xfId="0" applyNumberFormat="1" applyFont="1" applyFill="1" applyBorder="1" applyAlignment="1">
      <alignment/>
    </xf>
    <xf numFmtId="43" fontId="18" fillId="2" borderId="5" xfId="0" applyNumberFormat="1" applyFont="1" applyFill="1" applyBorder="1" applyAlignment="1">
      <alignment/>
    </xf>
    <xf numFmtId="4" fontId="17" fillId="2" borderId="5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0" fontId="17" fillId="2" borderId="5" xfId="0" applyFont="1" applyFill="1" applyBorder="1" applyAlignment="1">
      <alignment horizontal="center"/>
    </xf>
    <xf numFmtId="43" fontId="17" fillId="4" borderId="5" xfId="0" applyNumberFormat="1" applyFont="1" applyFill="1" applyBorder="1" applyAlignment="1">
      <alignment/>
    </xf>
    <xf numFmtId="43" fontId="17" fillId="4" borderId="5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12" fillId="0" borderId="20" xfId="0" applyNumberFormat="1" applyFont="1" applyFill="1" applyBorder="1" applyAlignment="1" applyProtection="1">
      <alignment/>
      <protection locked="0"/>
    </xf>
    <xf numFmtId="4" fontId="11" fillId="0" borderId="20" xfId="0" applyNumberFormat="1" applyFont="1" applyFill="1" applyBorder="1" applyAlignment="1" applyProtection="1">
      <alignment/>
      <protection locked="0"/>
    </xf>
    <xf numFmtId="4" fontId="12" fillId="0" borderId="20" xfId="0" applyNumberFormat="1" applyFont="1" applyFill="1" applyBorder="1" applyAlignment="1" applyProtection="1">
      <alignment/>
      <protection/>
    </xf>
    <xf numFmtId="4" fontId="21" fillId="0" borderId="2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" fontId="20" fillId="0" borderId="2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16" fillId="3" borderId="1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5" fillId="3" borderId="17" xfId="0" applyNumberFormat="1" applyFont="1" applyFill="1" applyBorder="1" applyAlignment="1" applyProtection="1">
      <alignment horizontal="center"/>
      <protection locked="0"/>
    </xf>
    <xf numFmtId="0" fontId="15" fillId="3" borderId="23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33">
      <selection activeCell="G138" sqref="G138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21.7539062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208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5.75" customHeight="1">
      <c r="A19" s="44"/>
      <c r="B19" s="57" t="s">
        <v>5</v>
      </c>
      <c r="C19" s="44"/>
      <c r="D19" s="44"/>
      <c r="F19" s="55"/>
      <c r="G19" s="115">
        <f>F20+F25+F26+F27+F29</f>
        <v>3313798.31627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SUM(F21:F23)</f>
        <v>1465332.65</v>
      </c>
      <c r="G20" s="58"/>
    </row>
    <row r="21" spans="1:7" ht="12.75" customHeight="1">
      <c r="A21" s="44"/>
      <c r="B21" s="54"/>
      <c r="C21" s="44"/>
      <c r="D21" s="44" t="s">
        <v>30</v>
      </c>
      <c r="E21" s="45" t="s">
        <v>52</v>
      </c>
      <c r="F21" s="110">
        <v>1315337.29</v>
      </c>
      <c r="G21" s="58"/>
    </row>
    <row r="22" spans="1:7" ht="12.75" customHeight="1">
      <c r="A22" s="44"/>
      <c r="B22" s="54"/>
      <c r="C22" s="44"/>
      <c r="D22" s="44" t="s">
        <v>30</v>
      </c>
      <c r="E22" s="45" t="s">
        <v>68</v>
      </c>
      <c r="F22" s="110">
        <v>5246.98</v>
      </c>
      <c r="G22" s="58"/>
    </row>
    <row r="23" spans="1:7" ht="12.75" customHeight="1">
      <c r="A23" s="44"/>
      <c r="B23" s="54"/>
      <c r="C23" s="44"/>
      <c r="D23" s="44" t="s">
        <v>30</v>
      </c>
      <c r="E23" s="45" t="s">
        <v>83</v>
      </c>
      <c r="F23" s="110">
        <v>144748.38</v>
      </c>
      <c r="G23" s="58"/>
    </row>
    <row r="24" spans="1:7" ht="12.75" customHeight="1">
      <c r="A24" s="44"/>
      <c r="B24" s="54"/>
      <c r="C24" s="44" t="s">
        <v>8</v>
      </c>
      <c r="D24" s="44" t="s">
        <v>9</v>
      </c>
      <c r="F24" s="95"/>
      <c r="G24" s="58"/>
    </row>
    <row r="25" spans="1:7" ht="12.75" customHeight="1">
      <c r="A25" s="44"/>
      <c r="B25" s="54"/>
      <c r="C25" s="44"/>
      <c r="D25" s="44" t="s">
        <v>10</v>
      </c>
      <c r="F25" s="95">
        <f>26905-23281.8</f>
        <v>3623.2000000000007</v>
      </c>
      <c r="G25" s="58"/>
    </row>
    <row r="26" spans="1:7" ht="12.75" customHeight="1">
      <c r="A26" s="44"/>
      <c r="B26" s="54"/>
      <c r="C26" s="44" t="s">
        <v>11</v>
      </c>
      <c r="D26" s="44" t="s">
        <v>12</v>
      </c>
      <c r="F26" s="95">
        <v>0</v>
      </c>
      <c r="G26" s="58"/>
    </row>
    <row r="27" spans="1:7" ht="12.75" customHeight="1">
      <c r="A27" s="44"/>
      <c r="B27" s="54"/>
      <c r="C27" s="44" t="s">
        <v>13</v>
      </c>
      <c r="D27" s="44"/>
      <c r="F27" s="95">
        <v>0</v>
      </c>
      <c r="G27" s="58"/>
    </row>
    <row r="28" spans="1:7" ht="12.75" customHeight="1">
      <c r="A28" s="44"/>
      <c r="B28" s="54"/>
      <c r="C28" s="44" t="s">
        <v>14</v>
      </c>
      <c r="D28" s="44"/>
      <c r="F28" s="95" t="s">
        <v>0</v>
      </c>
      <c r="G28" s="59"/>
    </row>
    <row r="29" spans="1:7" ht="12.75" customHeight="1">
      <c r="A29" s="44"/>
      <c r="B29" s="54"/>
      <c r="C29" s="44"/>
      <c r="D29" s="44" t="s">
        <v>15</v>
      </c>
      <c r="F29" s="93">
        <f>SUM(F30:F34)</f>
        <v>1844842.46627</v>
      </c>
      <c r="G29" s="59"/>
    </row>
    <row r="30" spans="1:7" ht="12.75" customHeight="1">
      <c r="A30" s="44"/>
      <c r="B30" s="54"/>
      <c r="C30" s="44"/>
      <c r="D30" s="60" t="s">
        <v>30</v>
      </c>
      <c r="E30" s="45" t="s">
        <v>42</v>
      </c>
      <c r="F30" s="110">
        <v>1676895.5</v>
      </c>
      <c r="G30" s="61"/>
    </row>
    <row r="31" spans="1:7" ht="12.75" customHeight="1">
      <c r="A31" s="44"/>
      <c r="B31" s="54"/>
      <c r="C31" s="44"/>
      <c r="D31" s="60" t="s">
        <v>30</v>
      </c>
      <c r="E31" s="45" t="s">
        <v>53</v>
      </c>
      <c r="F31" s="110">
        <v>0</v>
      </c>
      <c r="G31" s="61"/>
    </row>
    <row r="32" spans="1:7" ht="12.75" customHeight="1">
      <c r="A32" s="44"/>
      <c r="B32" s="54"/>
      <c r="C32" s="44"/>
      <c r="D32" s="60" t="s">
        <v>30</v>
      </c>
      <c r="E32" s="45" t="s">
        <v>114</v>
      </c>
      <c r="F32" s="110">
        <v>1549.38</v>
      </c>
      <c r="G32" s="61"/>
    </row>
    <row r="33" spans="1:7" ht="12.75" customHeight="1">
      <c r="A33" s="44"/>
      <c r="B33" s="54"/>
      <c r="C33" s="44"/>
      <c r="D33" s="60" t="s">
        <v>30</v>
      </c>
      <c r="E33" s="45" t="s">
        <v>54</v>
      </c>
      <c r="F33" s="110">
        <f>756.5+380.02+1856.31+1314.88+3712.57+67411</f>
        <v>75431.28</v>
      </c>
      <c r="G33" s="61"/>
    </row>
    <row r="34" spans="1:7" ht="12.75" customHeight="1">
      <c r="A34" s="44"/>
      <c r="B34" s="54"/>
      <c r="C34" s="44"/>
      <c r="D34" s="44" t="s">
        <v>30</v>
      </c>
      <c r="E34" s="44" t="s">
        <v>188</v>
      </c>
      <c r="F34" s="146">
        <f>(195416.34*46.55/100)</f>
        <v>90966.30626999999</v>
      </c>
      <c r="G34" s="59"/>
    </row>
    <row r="35" spans="1:7" ht="12.75" customHeight="1">
      <c r="A35" s="44"/>
      <c r="B35" s="54"/>
      <c r="C35" s="44"/>
      <c r="D35" s="44"/>
      <c r="E35" s="44"/>
      <c r="F35" s="95"/>
      <c r="G35" s="59"/>
    </row>
    <row r="36" spans="1:7" s="64" customFormat="1" ht="15.75" customHeight="1">
      <c r="A36" s="62"/>
      <c r="B36" s="57" t="s">
        <v>16</v>
      </c>
      <c r="C36" s="62"/>
      <c r="D36" s="62"/>
      <c r="E36" s="63"/>
      <c r="F36" s="96"/>
      <c r="G36" s="115">
        <f>-(F38+F53+F91+F96+F103+F111+F113+F115+F117)</f>
        <v>-3656057.890239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59"/>
    </row>
    <row r="38" spans="1:7" ht="12.75" customHeight="1">
      <c r="A38" s="44"/>
      <c r="B38" s="54"/>
      <c r="D38" s="44" t="s">
        <v>18</v>
      </c>
      <c r="E38" s="65"/>
      <c r="F38" s="114">
        <f>SUM(F39:F51)</f>
        <v>322538.58720999997</v>
      </c>
      <c r="G38" s="59"/>
    </row>
    <row r="39" spans="1:7" ht="12.75" customHeight="1">
      <c r="A39" s="44"/>
      <c r="B39" s="54"/>
      <c r="D39" s="44"/>
      <c r="E39" s="65" t="s">
        <v>95</v>
      </c>
      <c r="F39" s="97">
        <v>4758.08</v>
      </c>
      <c r="G39" s="59"/>
    </row>
    <row r="40" spans="1:7" ht="12.75" customHeight="1">
      <c r="A40" s="44"/>
      <c r="B40" s="54"/>
      <c r="D40" s="44"/>
      <c r="E40" s="65" t="s">
        <v>84</v>
      </c>
      <c r="F40" s="121">
        <v>49215.08</v>
      </c>
      <c r="G40" s="59"/>
    </row>
    <row r="41" spans="1:7" ht="12.75" customHeight="1">
      <c r="A41" s="44"/>
      <c r="B41" s="54"/>
      <c r="D41" s="44"/>
      <c r="E41" s="65" t="s">
        <v>58</v>
      </c>
      <c r="F41" s="121">
        <v>45.44</v>
      </c>
      <c r="G41" s="59"/>
    </row>
    <row r="42" spans="1:7" ht="12.75" customHeight="1">
      <c r="A42" s="44"/>
      <c r="B42" s="54"/>
      <c r="D42" s="44"/>
      <c r="E42" s="65" t="s">
        <v>43</v>
      </c>
      <c r="F42" s="121">
        <v>85988.36</v>
      </c>
      <c r="G42" s="59"/>
    </row>
    <row r="43" spans="1:7" ht="12.75" customHeight="1">
      <c r="A43" s="44"/>
      <c r="B43" s="54"/>
      <c r="D43" s="44"/>
      <c r="E43" s="65" t="s">
        <v>209</v>
      </c>
      <c r="F43" s="121">
        <f>59855.4+0.03</f>
        <v>59855.43</v>
      </c>
      <c r="G43" s="59"/>
    </row>
    <row r="44" spans="1:7" ht="12.75" customHeight="1">
      <c r="A44" s="44"/>
      <c r="B44" s="54"/>
      <c r="D44" s="44"/>
      <c r="E44" s="65" t="s">
        <v>85</v>
      </c>
      <c r="F44" s="121">
        <v>29811.23</v>
      </c>
      <c r="G44" s="59"/>
    </row>
    <row r="45" spans="1:7" ht="12.75" customHeight="1">
      <c r="A45" s="44"/>
      <c r="B45" s="54"/>
      <c r="D45" s="44"/>
      <c r="E45" s="65" t="s">
        <v>55</v>
      </c>
      <c r="F45" s="121">
        <v>12452.72</v>
      </c>
      <c r="G45" s="59"/>
    </row>
    <row r="46" spans="1:7" ht="12.75" customHeight="1">
      <c r="A46" s="44"/>
      <c r="B46" s="54"/>
      <c r="D46" s="44"/>
      <c r="E46" s="66" t="s">
        <v>44</v>
      </c>
      <c r="F46" s="121">
        <v>325.09</v>
      </c>
      <c r="G46" s="59"/>
    </row>
    <row r="47" spans="1:7" ht="12.75" customHeight="1">
      <c r="A47" s="44"/>
      <c r="B47" s="54"/>
      <c r="D47" s="44"/>
      <c r="E47" s="66" t="s">
        <v>210</v>
      </c>
      <c r="F47" s="121">
        <v>525.27</v>
      </c>
      <c r="G47" s="59"/>
    </row>
    <row r="48" spans="1:7" ht="12.75" customHeight="1">
      <c r="A48" s="44"/>
      <c r="B48" s="54"/>
      <c r="D48" s="44"/>
      <c r="E48" s="66" t="s">
        <v>211</v>
      </c>
      <c r="F48" s="121">
        <v>998.7</v>
      </c>
      <c r="G48" s="59"/>
    </row>
    <row r="49" spans="1:7" ht="12.75" customHeight="1">
      <c r="A49" s="44"/>
      <c r="B49" s="54"/>
      <c r="D49" s="44"/>
      <c r="E49" s="66" t="s">
        <v>70</v>
      </c>
      <c r="F49" s="121">
        <v>1389.27</v>
      </c>
      <c r="G49" s="59"/>
    </row>
    <row r="50" spans="1:7" ht="12.75" customHeight="1">
      <c r="A50" s="44"/>
      <c r="B50" s="54"/>
      <c r="C50" s="44"/>
      <c r="D50" s="44"/>
      <c r="E50" s="66" t="s">
        <v>57</v>
      </c>
      <c r="F50" s="121">
        <v>72043.26</v>
      </c>
      <c r="G50" s="59"/>
    </row>
    <row r="51" spans="1:7" ht="12.75" customHeight="1">
      <c r="A51" s="44"/>
      <c r="B51" s="54"/>
      <c r="D51" s="44"/>
      <c r="E51" s="65" t="s">
        <v>189</v>
      </c>
      <c r="F51" s="147">
        <f>(11021.82*46.55/100)</f>
        <v>5130.657209999999</v>
      </c>
      <c r="G51" s="59"/>
    </row>
    <row r="52" spans="1:7" ht="12.75" customHeight="1">
      <c r="A52" s="44"/>
      <c r="B52" s="54"/>
      <c r="D52" s="44"/>
      <c r="E52" s="65"/>
      <c r="F52" s="109"/>
      <c r="G52" s="59"/>
    </row>
    <row r="53" spans="1:7" ht="12.75" customHeight="1">
      <c r="A53" s="44"/>
      <c r="B53" s="54"/>
      <c r="C53" s="44" t="s">
        <v>19</v>
      </c>
      <c r="D53" s="44"/>
      <c r="E53" s="65"/>
      <c r="F53" s="114">
        <f>SUM(F54:F89)</f>
        <v>1944263.688225</v>
      </c>
      <c r="G53" s="59"/>
    </row>
    <row r="54" spans="1:7" ht="12.75" customHeight="1">
      <c r="A54" s="44"/>
      <c r="B54" s="54"/>
      <c r="C54" s="44"/>
      <c r="D54" s="44"/>
      <c r="E54" s="66" t="s">
        <v>49</v>
      </c>
      <c r="F54" s="97">
        <v>1945.85</v>
      </c>
      <c r="G54" s="59"/>
    </row>
    <row r="55" spans="1:7" ht="12.75" customHeight="1">
      <c r="A55" s="44"/>
      <c r="B55" s="54"/>
      <c r="C55" s="44"/>
      <c r="D55" s="44"/>
      <c r="E55" s="66" t="s">
        <v>46</v>
      </c>
      <c r="F55" s="121">
        <v>56117.62</v>
      </c>
      <c r="G55" s="59"/>
    </row>
    <row r="56" spans="1:7" ht="12.75" customHeight="1">
      <c r="A56" s="44"/>
      <c r="B56" s="54"/>
      <c r="C56" s="44"/>
      <c r="D56" s="44"/>
      <c r="E56" s="66" t="s">
        <v>45</v>
      </c>
      <c r="F56" s="121">
        <v>15800.19</v>
      </c>
      <c r="G56" s="59"/>
    </row>
    <row r="57" spans="1:7" ht="12.75" customHeight="1">
      <c r="A57" s="44"/>
      <c r="B57" s="54"/>
      <c r="C57" s="44"/>
      <c r="D57" s="44"/>
      <c r="E57" s="66" t="s">
        <v>51</v>
      </c>
      <c r="F57" s="121">
        <v>15079.19</v>
      </c>
      <c r="G57" s="59"/>
    </row>
    <row r="58" spans="1:7" ht="12.75" customHeight="1">
      <c r="A58" s="44"/>
      <c r="B58" s="54"/>
      <c r="C58" s="44"/>
      <c r="D58" s="44"/>
      <c r="E58" s="66" t="s">
        <v>50</v>
      </c>
      <c r="F58" s="121">
        <v>11647.41</v>
      </c>
      <c r="G58" s="59"/>
    </row>
    <row r="59" spans="1:7" ht="12.75" customHeight="1">
      <c r="A59" s="44"/>
      <c r="B59" s="54"/>
      <c r="C59" s="44"/>
      <c r="D59" s="44"/>
      <c r="E59" s="66" t="s">
        <v>145</v>
      </c>
      <c r="F59" s="121">
        <v>2460.5</v>
      </c>
      <c r="G59" s="59"/>
    </row>
    <row r="60" spans="1:7" ht="12.75" customHeight="1">
      <c r="A60" s="44"/>
      <c r="B60" s="54"/>
      <c r="C60" s="44"/>
      <c r="D60" s="44"/>
      <c r="E60" s="66" t="s">
        <v>120</v>
      </c>
      <c r="F60" s="121">
        <v>683.84</v>
      </c>
      <c r="G60" s="59"/>
    </row>
    <row r="61" spans="1:7" ht="12.75" customHeight="1">
      <c r="A61" s="44"/>
      <c r="B61" s="54"/>
      <c r="C61" s="44"/>
      <c r="D61" s="44"/>
      <c r="E61" s="66" t="s">
        <v>121</v>
      </c>
      <c r="F61" s="121">
        <v>5468.17</v>
      </c>
      <c r="G61" s="59"/>
    </row>
    <row r="62" spans="1:7" ht="12.75" customHeight="1">
      <c r="A62" s="44"/>
      <c r="B62" s="54"/>
      <c r="C62" s="44"/>
      <c r="D62" s="44"/>
      <c r="E62" s="66" t="s">
        <v>47</v>
      </c>
      <c r="F62" s="121">
        <v>1753.58</v>
      </c>
      <c r="G62" s="59"/>
    </row>
    <row r="63" spans="1:7" ht="12.75" customHeight="1">
      <c r="A63" s="44"/>
      <c r="B63" s="54"/>
      <c r="C63" s="44"/>
      <c r="D63" s="44"/>
      <c r="E63" s="66" t="s">
        <v>146</v>
      </c>
      <c r="F63" s="121">
        <v>9899.61</v>
      </c>
      <c r="G63" s="59"/>
    </row>
    <row r="64" spans="1:7" ht="12.75" customHeight="1">
      <c r="A64" s="44"/>
      <c r="B64" s="54"/>
      <c r="C64" s="44"/>
      <c r="D64" s="44"/>
      <c r="E64" s="66" t="s">
        <v>147</v>
      </c>
      <c r="F64" s="121">
        <v>2016</v>
      </c>
      <c r="G64" s="59"/>
    </row>
    <row r="65" spans="1:7" ht="12.75" customHeight="1">
      <c r="A65" s="44"/>
      <c r="B65" s="54"/>
      <c r="C65" s="44"/>
      <c r="D65" s="44"/>
      <c r="E65" s="66" t="s">
        <v>212</v>
      </c>
      <c r="F65" s="121">
        <v>56</v>
      </c>
      <c r="G65" s="59"/>
    </row>
    <row r="66" spans="1:7" ht="12.75" customHeight="1">
      <c r="A66" s="44"/>
      <c r="B66" s="54"/>
      <c r="C66" s="44"/>
      <c r="D66" s="44"/>
      <c r="E66" s="66" t="s">
        <v>148</v>
      </c>
      <c r="F66" s="121">
        <v>5651.57</v>
      </c>
      <c r="G66" s="59"/>
    </row>
    <row r="67" spans="1:7" ht="12.75" customHeight="1">
      <c r="A67" s="44"/>
      <c r="B67" s="54"/>
      <c r="C67" s="44"/>
      <c r="D67" s="44"/>
      <c r="E67" s="66" t="s">
        <v>119</v>
      </c>
      <c r="F67" s="121">
        <v>15</v>
      </c>
      <c r="G67" s="59"/>
    </row>
    <row r="68" spans="1:7" ht="12.75" customHeight="1">
      <c r="A68" s="44"/>
      <c r="B68" s="54"/>
      <c r="C68" s="44"/>
      <c r="D68" s="44"/>
      <c r="E68" s="66" t="s">
        <v>258</v>
      </c>
      <c r="F68" s="123">
        <v>154.47</v>
      </c>
      <c r="G68" s="59"/>
    </row>
    <row r="69" spans="1:7" ht="12.75" customHeight="1">
      <c r="A69" s="44"/>
      <c r="B69" s="54"/>
      <c r="C69" s="44"/>
      <c r="D69" s="44"/>
      <c r="E69" s="66" t="s">
        <v>149</v>
      </c>
      <c r="F69" s="121">
        <v>2615.56</v>
      </c>
      <c r="G69" s="59"/>
    </row>
    <row r="70" spans="1:7" ht="12.75" customHeight="1">
      <c r="A70" s="44"/>
      <c r="B70" s="54"/>
      <c r="C70" s="44"/>
      <c r="D70" s="44"/>
      <c r="E70" s="66" t="s">
        <v>213</v>
      </c>
      <c r="F70" s="121">
        <v>900</v>
      </c>
      <c r="G70" s="59"/>
    </row>
    <row r="71" spans="1:7" ht="12.75" customHeight="1">
      <c r="A71" s="44"/>
      <c r="B71" s="54"/>
      <c r="C71" s="44"/>
      <c r="D71" s="44"/>
      <c r="E71" s="66" t="s">
        <v>195</v>
      </c>
      <c r="F71" s="121">
        <v>901</v>
      </c>
      <c r="G71" s="59"/>
    </row>
    <row r="72" spans="1:7" ht="12.75" customHeight="1">
      <c r="A72" s="44"/>
      <c r="B72" s="54"/>
      <c r="C72" s="44"/>
      <c r="D72" s="44"/>
      <c r="E72" s="66" t="s">
        <v>115</v>
      </c>
      <c r="F72" s="121">
        <v>9178.99</v>
      </c>
      <c r="G72" s="59"/>
    </row>
    <row r="73" spans="1:7" ht="12.75" customHeight="1">
      <c r="A73" s="44"/>
      <c r="B73" s="54"/>
      <c r="C73" s="44"/>
      <c r="D73" s="44"/>
      <c r="E73" s="66" t="s">
        <v>86</v>
      </c>
      <c r="F73" s="121">
        <v>24231.01</v>
      </c>
      <c r="G73" s="59"/>
    </row>
    <row r="74" spans="1:7" ht="12.75" customHeight="1">
      <c r="A74" s="44"/>
      <c r="B74" s="54"/>
      <c r="C74" s="44"/>
      <c r="D74" s="44"/>
      <c r="E74" s="66" t="s">
        <v>48</v>
      </c>
      <c r="F74" s="121">
        <v>262537.4</v>
      </c>
      <c r="G74" s="59"/>
    </row>
    <row r="75" spans="1:7" ht="12.75" customHeight="1">
      <c r="A75" s="44"/>
      <c r="B75" s="54"/>
      <c r="C75" s="44"/>
      <c r="D75" s="44"/>
      <c r="E75" s="66" t="s">
        <v>59</v>
      </c>
      <c r="F75" s="121">
        <v>96706.97</v>
      </c>
      <c r="G75" s="59"/>
    </row>
    <row r="76" spans="1:7" ht="12.75" customHeight="1">
      <c r="A76" s="44"/>
      <c r="B76" s="54"/>
      <c r="C76" s="44"/>
      <c r="D76" s="44"/>
      <c r="E76" s="66" t="s">
        <v>118</v>
      </c>
      <c r="F76" s="121">
        <v>8511.3</v>
      </c>
      <c r="G76" s="59"/>
    </row>
    <row r="77" spans="1:7" ht="12.75" customHeight="1">
      <c r="A77" s="44"/>
      <c r="B77" s="54"/>
      <c r="C77" s="44"/>
      <c r="D77" s="44"/>
      <c r="E77" s="66" t="s">
        <v>151</v>
      </c>
      <c r="F77" s="122">
        <v>11029.15</v>
      </c>
      <c r="G77" s="59"/>
    </row>
    <row r="78" spans="1:7" ht="12.75" customHeight="1">
      <c r="A78" s="44"/>
      <c r="B78" s="54"/>
      <c r="C78" s="44"/>
      <c r="D78" s="44"/>
      <c r="E78" s="66" t="s">
        <v>69</v>
      </c>
      <c r="F78" s="121">
        <v>37123.38</v>
      </c>
      <c r="G78" s="59"/>
    </row>
    <row r="79" spans="1:7" s="1" customFormat="1" ht="12.75" customHeight="1">
      <c r="A79" s="89"/>
      <c r="B79" s="90"/>
      <c r="C79" s="113"/>
      <c r="D79" s="113"/>
      <c r="E79" s="91" t="s">
        <v>150</v>
      </c>
      <c r="F79" s="123">
        <v>1221.39</v>
      </c>
      <c r="G79" s="92"/>
    </row>
    <row r="80" spans="1:7" s="1" customFormat="1" ht="12.75" customHeight="1">
      <c r="A80" s="89"/>
      <c r="B80" s="90"/>
      <c r="C80" s="113"/>
      <c r="D80" s="113"/>
      <c r="E80" s="91" t="s">
        <v>214</v>
      </c>
      <c r="F80" s="123">
        <v>1407.6</v>
      </c>
      <c r="G80" s="92"/>
    </row>
    <row r="81" spans="1:7" s="1" customFormat="1" ht="12.75" customHeight="1">
      <c r="A81" s="89"/>
      <c r="B81" s="90"/>
      <c r="C81" s="113"/>
      <c r="D81" s="113"/>
      <c r="E81" s="91" t="s">
        <v>215</v>
      </c>
      <c r="F81" s="123">
        <v>532.6</v>
      </c>
      <c r="G81" s="92"/>
    </row>
    <row r="82" spans="1:7" ht="12.75" customHeight="1">
      <c r="A82" s="44"/>
      <c r="B82" s="54"/>
      <c r="C82" s="44"/>
      <c r="D82" s="44"/>
      <c r="E82" s="66" t="s">
        <v>89</v>
      </c>
      <c r="F82" s="121">
        <v>384615</v>
      </c>
      <c r="G82" s="59"/>
    </row>
    <row r="83" spans="1:7" ht="13.5" customHeight="1">
      <c r="A83" s="44"/>
      <c r="B83" s="54"/>
      <c r="C83" s="44"/>
      <c r="D83" s="44"/>
      <c r="E83" s="66" t="s">
        <v>216</v>
      </c>
      <c r="F83" s="123">
        <v>2376.77</v>
      </c>
      <c r="G83" s="59"/>
    </row>
    <row r="84" spans="1:7" ht="13.5" customHeight="1">
      <c r="A84" s="44"/>
      <c r="B84" s="54"/>
      <c r="C84" s="44"/>
      <c r="D84" s="44"/>
      <c r="E84" s="66" t="s">
        <v>87</v>
      </c>
      <c r="F84" s="121">
        <v>671685.65</v>
      </c>
      <c r="G84" s="59"/>
    </row>
    <row r="85" spans="1:7" ht="13.5" customHeight="1">
      <c r="A85" s="44"/>
      <c r="B85" s="54"/>
      <c r="C85" s="44"/>
      <c r="D85" s="44"/>
      <c r="E85" s="66" t="s">
        <v>217</v>
      </c>
      <c r="F85" s="121">
        <v>52377.24</v>
      </c>
      <c r="G85" s="59"/>
    </row>
    <row r="86" spans="1:7" ht="12.75" customHeight="1">
      <c r="A86" s="44"/>
      <c r="B86" s="54"/>
      <c r="C86" s="44"/>
      <c r="D86" s="44"/>
      <c r="E86" s="66" t="s">
        <v>88</v>
      </c>
      <c r="F86" s="121">
        <v>2801.28</v>
      </c>
      <c r="G86" s="59"/>
    </row>
    <row r="87" spans="1:7" ht="12.75" customHeight="1">
      <c r="A87" s="44"/>
      <c r="B87" s="54"/>
      <c r="C87" s="44"/>
      <c r="D87" s="44"/>
      <c r="E87" s="66" t="s">
        <v>152</v>
      </c>
      <c r="F87" s="121">
        <v>65998.71</v>
      </c>
      <c r="G87" s="59"/>
    </row>
    <row r="88" spans="1:7" ht="12.75" customHeight="1">
      <c r="A88" s="44"/>
      <c r="B88" s="54"/>
      <c r="C88" s="44"/>
      <c r="D88" s="44"/>
      <c r="E88" s="66" t="s">
        <v>153</v>
      </c>
      <c r="F88" s="121">
        <v>7807.44</v>
      </c>
      <c r="G88" s="59"/>
    </row>
    <row r="89" spans="1:7" ht="12.75" customHeight="1">
      <c r="A89" s="44"/>
      <c r="B89" s="54"/>
      <c r="C89" s="44"/>
      <c r="D89" s="44"/>
      <c r="E89" s="66" t="s">
        <v>190</v>
      </c>
      <c r="F89" s="123">
        <f>(248110.76+124547.78-5405.59)*46.55/100</f>
        <v>170956.248225</v>
      </c>
      <c r="G89" s="98"/>
    </row>
    <row r="90" spans="1:7" ht="12.75" customHeight="1">
      <c r="A90" s="44"/>
      <c r="B90" s="54"/>
      <c r="C90" s="44"/>
      <c r="D90" s="44"/>
      <c r="E90" s="66"/>
      <c r="F90" s="109"/>
      <c r="G90" s="109"/>
    </row>
    <row r="91" spans="1:7" ht="12.75" customHeight="1">
      <c r="A91" s="44"/>
      <c r="B91" s="54"/>
      <c r="C91" s="44" t="s">
        <v>20</v>
      </c>
      <c r="D91" s="44"/>
      <c r="E91" s="65"/>
      <c r="F91" s="117">
        <f>SUM(F92:F94)</f>
        <v>15166.392885</v>
      </c>
      <c r="G91" s="59"/>
    </row>
    <row r="92" spans="1:7" ht="12.75" customHeight="1">
      <c r="A92" s="44"/>
      <c r="B92" s="54"/>
      <c r="C92" s="44"/>
      <c r="D92" s="44"/>
      <c r="E92" s="65" t="s">
        <v>122</v>
      </c>
      <c r="F92" s="99">
        <v>150</v>
      </c>
      <c r="G92" s="59"/>
    </row>
    <row r="93" spans="1:7" ht="12.75" customHeight="1">
      <c r="A93" s="44"/>
      <c r="B93" s="54"/>
      <c r="C93" s="44"/>
      <c r="D93" s="44"/>
      <c r="E93" s="66" t="s">
        <v>90</v>
      </c>
      <c r="F93" s="121">
        <v>12226.91</v>
      </c>
      <c r="G93" s="59"/>
    </row>
    <row r="94" spans="1:7" ht="12.75" customHeight="1">
      <c r="A94" s="44"/>
      <c r="B94" s="54"/>
      <c r="C94" s="44"/>
      <c r="D94" s="44"/>
      <c r="E94" s="66" t="s">
        <v>189</v>
      </c>
      <c r="F94" s="123">
        <f>(5722.67*46.55/100)+125.58</f>
        <v>2789.4828849999994</v>
      </c>
      <c r="G94" s="59"/>
    </row>
    <row r="95" spans="1:7" ht="12.75" customHeight="1">
      <c r="A95" s="44"/>
      <c r="B95" s="54"/>
      <c r="C95" s="44"/>
      <c r="D95" s="44"/>
      <c r="E95" s="66"/>
      <c r="F95" s="98"/>
      <c r="G95" s="59"/>
    </row>
    <row r="96" spans="1:7" ht="12.75" customHeight="1">
      <c r="A96" s="44"/>
      <c r="B96" s="54"/>
      <c r="C96" s="44" t="s">
        <v>21</v>
      </c>
      <c r="D96" s="44"/>
      <c r="E96" s="65"/>
      <c r="F96" s="118">
        <f>SUM(F97:F101)</f>
        <v>1159912.01088</v>
      </c>
      <c r="G96" s="59"/>
    </row>
    <row r="97" spans="1:7" ht="12.75" customHeight="1">
      <c r="A97" s="44"/>
      <c r="B97" s="54"/>
      <c r="D97" s="67" t="s">
        <v>22</v>
      </c>
      <c r="E97" s="68"/>
      <c r="F97" s="123">
        <f>(669469.25+11271.86+30319.89)+((256108.02+5072.34+17493.67)*46.54/100)+(67700*46.54/100)+10871.51-1778.01+1455.57</f>
        <v>882812.5435619999</v>
      </c>
      <c r="G97" s="59"/>
    </row>
    <row r="98" spans="1:7" ht="12.75" customHeight="1">
      <c r="A98" s="44"/>
      <c r="B98" s="54"/>
      <c r="D98" s="67" t="s">
        <v>23</v>
      </c>
      <c r="E98" s="68"/>
      <c r="F98" s="121">
        <f>(172863.84+2817.97+7511.85)+((37162.28+1268.09+4373.42)*46.54/100)+(17800*46.54/100)</f>
        <v>211398.663866</v>
      </c>
      <c r="G98" s="59"/>
    </row>
    <row r="99" spans="1:7" ht="12.75" customHeight="1">
      <c r="A99" s="44"/>
      <c r="B99" s="54"/>
      <c r="D99" s="67" t="s">
        <v>24</v>
      </c>
      <c r="E99" s="68"/>
      <c r="F99" s="121">
        <f>44356.85+(10979.21*46.54/100)</f>
        <v>49466.574334</v>
      </c>
      <c r="G99" s="59"/>
    </row>
    <row r="100" spans="1:7" ht="12.75" customHeight="1">
      <c r="A100" s="44"/>
      <c r="B100" s="54"/>
      <c r="D100" s="67" t="s">
        <v>25</v>
      </c>
      <c r="E100" s="68"/>
      <c r="F100" s="121">
        <v>0</v>
      </c>
      <c r="G100" s="59"/>
    </row>
    <row r="101" spans="1:7" ht="12.75" customHeight="1">
      <c r="A101" s="44"/>
      <c r="B101" s="54"/>
      <c r="D101" s="67" t="s">
        <v>26</v>
      </c>
      <c r="E101" s="68"/>
      <c r="F101" s="121">
        <f>(11490.72+1718.33)+(6500.17*46.54/100)</f>
        <v>16234.229118</v>
      </c>
      <c r="G101" s="59"/>
    </row>
    <row r="102" spans="1:7" ht="12.75" customHeight="1">
      <c r="A102" s="44"/>
      <c r="B102" s="54"/>
      <c r="D102" s="67"/>
      <c r="E102" s="68"/>
      <c r="F102" s="98"/>
      <c r="G102" s="59"/>
    </row>
    <row r="103" spans="1:7" ht="12.75" customHeight="1">
      <c r="A103" s="44"/>
      <c r="B103" s="54"/>
      <c r="C103" s="44" t="s">
        <v>27</v>
      </c>
      <c r="D103" s="44"/>
      <c r="E103" s="65"/>
      <c r="F103" s="118">
        <f>SUM(F104:F108)</f>
        <v>106613.036629</v>
      </c>
      <c r="G103" s="59"/>
    </row>
    <row r="104" spans="1:7" ht="12.75" customHeight="1">
      <c r="A104" s="44"/>
      <c r="B104" s="54"/>
      <c r="C104" s="44"/>
      <c r="D104" s="67" t="s">
        <v>28</v>
      </c>
      <c r="E104" s="68"/>
      <c r="F104" s="123">
        <f>2877.79*46.55/100</f>
        <v>1339.6112449999998</v>
      </c>
      <c r="G104" s="59"/>
    </row>
    <row r="105" spans="1:7" ht="12.75" customHeight="1">
      <c r="A105" s="44"/>
      <c r="B105" s="54"/>
      <c r="D105" s="67" t="s">
        <v>29</v>
      </c>
      <c r="E105" s="69"/>
      <c r="F105" s="121">
        <f>104291.45+(2109.96*46.54/100)</f>
        <v>105273.425384</v>
      </c>
      <c r="G105" s="59"/>
    </row>
    <row r="106" spans="1:7" ht="12.75" customHeight="1">
      <c r="A106" s="44"/>
      <c r="B106" s="54"/>
      <c r="D106" s="67" t="s">
        <v>31</v>
      </c>
      <c r="E106" s="68"/>
      <c r="F106" s="121">
        <v>0</v>
      </c>
      <c r="G106" s="59"/>
    </row>
    <row r="107" spans="1:7" ht="12.75" customHeight="1">
      <c r="A107" s="44"/>
      <c r="B107" s="54"/>
      <c r="D107" s="67" t="s">
        <v>32</v>
      </c>
      <c r="E107" s="68"/>
      <c r="F107" s="121"/>
      <c r="G107" s="59"/>
    </row>
    <row r="108" spans="1:7" ht="12.75" customHeight="1">
      <c r="A108" s="44"/>
      <c r="B108" s="54"/>
      <c r="D108" s="67"/>
      <c r="E108" s="69" t="s">
        <v>33</v>
      </c>
      <c r="F108" s="121">
        <v>0</v>
      </c>
      <c r="G108" s="59"/>
    </row>
    <row r="109" spans="1:7" ht="12.75" customHeight="1">
      <c r="A109" s="44"/>
      <c r="B109" s="54"/>
      <c r="D109" s="67"/>
      <c r="E109" s="69"/>
      <c r="F109" s="109"/>
      <c r="G109" s="59"/>
    </row>
    <row r="110" spans="1:7" ht="12.75" customHeight="1">
      <c r="A110" s="44"/>
      <c r="B110" s="54"/>
      <c r="C110" s="44" t="s">
        <v>34</v>
      </c>
      <c r="D110" s="44"/>
      <c r="E110" s="65"/>
      <c r="F110" s="95"/>
      <c r="G110" s="59"/>
    </row>
    <row r="111" spans="1:7" ht="12.75" customHeight="1">
      <c r="A111" s="44"/>
      <c r="B111" s="54"/>
      <c r="D111" s="44"/>
      <c r="E111" s="70" t="s">
        <v>35</v>
      </c>
      <c r="F111" s="119">
        <v>0</v>
      </c>
      <c r="G111" s="59"/>
    </row>
    <row r="112" spans="1:7" ht="12.75" customHeight="1">
      <c r="A112" s="44"/>
      <c r="B112" s="54"/>
      <c r="D112" s="44"/>
      <c r="E112" s="70"/>
      <c r="F112" s="95"/>
      <c r="G112" s="59"/>
    </row>
    <row r="113" spans="1:7" ht="12.75" customHeight="1">
      <c r="A113" s="44"/>
      <c r="B113" s="54"/>
      <c r="C113" s="44" t="s">
        <v>36</v>
      </c>
      <c r="D113" s="44"/>
      <c r="E113" s="65"/>
      <c r="F113" s="119">
        <f>121593.7*46.55/100</f>
        <v>56601.86734999999</v>
      </c>
      <c r="G113" s="59"/>
    </row>
    <row r="114" spans="1:7" ht="12.75" customHeight="1">
      <c r="A114" s="44"/>
      <c r="B114" s="54"/>
      <c r="C114" s="44"/>
      <c r="D114" s="44"/>
      <c r="E114" s="65"/>
      <c r="F114" s="95"/>
      <c r="G114" s="59"/>
    </row>
    <row r="115" spans="1:7" ht="12.75" customHeight="1">
      <c r="A115" s="44"/>
      <c r="B115" s="54"/>
      <c r="C115" s="44" t="s">
        <v>37</v>
      </c>
      <c r="D115" s="44"/>
      <c r="E115" s="65"/>
      <c r="F115" s="119">
        <v>0</v>
      </c>
      <c r="G115" s="59"/>
    </row>
    <row r="116" spans="1:7" ht="12.75" customHeight="1">
      <c r="A116" s="44"/>
      <c r="B116" s="54"/>
      <c r="C116" s="44"/>
      <c r="D116" s="44"/>
      <c r="E116" s="65"/>
      <c r="F116" s="95"/>
      <c r="G116" s="59"/>
    </row>
    <row r="117" spans="1:7" ht="12.75" customHeight="1">
      <c r="A117" s="44"/>
      <c r="B117" s="54"/>
      <c r="C117" s="44" t="s">
        <v>38</v>
      </c>
      <c r="D117" s="44"/>
      <c r="E117" s="65"/>
      <c r="F117" s="119">
        <f>SUM(F118:F125)</f>
        <v>50962.30706</v>
      </c>
      <c r="G117" s="59"/>
    </row>
    <row r="118" spans="1:7" ht="12.75" customHeight="1">
      <c r="A118" s="44"/>
      <c r="B118" s="54"/>
      <c r="C118" s="44"/>
      <c r="D118" s="44"/>
      <c r="E118" s="65" t="s">
        <v>123</v>
      </c>
      <c r="F118" s="101">
        <v>348.35</v>
      </c>
      <c r="G118" s="59"/>
    </row>
    <row r="119" spans="1:7" ht="12.75" customHeight="1">
      <c r="A119" s="44"/>
      <c r="B119" s="54"/>
      <c r="C119" s="44"/>
      <c r="D119" s="44"/>
      <c r="E119" s="71" t="s">
        <v>124</v>
      </c>
      <c r="F119" s="101">
        <v>325.91</v>
      </c>
      <c r="G119" s="59"/>
    </row>
    <row r="120" spans="1:7" ht="12.75" customHeight="1">
      <c r="A120" s="44"/>
      <c r="B120" s="54"/>
      <c r="C120" s="44"/>
      <c r="D120" s="44"/>
      <c r="E120" s="66" t="s">
        <v>60</v>
      </c>
      <c r="F120" s="101">
        <v>24899.59</v>
      </c>
      <c r="G120" s="59"/>
    </row>
    <row r="121" spans="1:7" ht="12.75" customHeight="1">
      <c r="A121" s="44"/>
      <c r="B121" s="54"/>
      <c r="C121" s="44"/>
      <c r="D121" s="44"/>
      <c r="E121" s="66" t="s">
        <v>61</v>
      </c>
      <c r="F121" s="101">
        <v>1574.58</v>
      </c>
      <c r="G121" s="59"/>
    </row>
    <row r="122" spans="1:7" ht="13.5" customHeight="1">
      <c r="A122" s="44"/>
      <c r="B122" s="54"/>
      <c r="C122" s="44"/>
      <c r="D122" s="44" t="s">
        <v>0</v>
      </c>
      <c r="E122" s="66" t="s">
        <v>56</v>
      </c>
      <c r="F122" s="121">
        <v>16833.61</v>
      </c>
      <c r="G122" s="59"/>
    </row>
    <row r="123" spans="1:7" ht="13.5" customHeight="1">
      <c r="A123" s="44"/>
      <c r="B123" s="54"/>
      <c r="C123" s="44"/>
      <c r="D123" s="44"/>
      <c r="E123" s="66" t="s">
        <v>218</v>
      </c>
      <c r="F123" s="121">
        <v>351.39</v>
      </c>
      <c r="G123" s="59"/>
    </row>
    <row r="124" spans="1:7" ht="12.75" customHeight="1">
      <c r="A124" s="44"/>
      <c r="B124" s="54"/>
      <c r="C124" s="44"/>
      <c r="D124" s="44" t="s">
        <v>0</v>
      </c>
      <c r="E124" s="66" t="s">
        <v>125</v>
      </c>
      <c r="F124" s="121">
        <v>1615.2</v>
      </c>
      <c r="G124" s="59"/>
    </row>
    <row r="125" spans="1:7" ht="12.75" customHeight="1">
      <c r="A125" s="44"/>
      <c r="B125" s="54"/>
      <c r="C125" s="44"/>
      <c r="D125" s="44"/>
      <c r="E125" s="66" t="s">
        <v>190</v>
      </c>
      <c r="F125" s="148">
        <f>10770.52*46.55/100</f>
        <v>5013.67706</v>
      </c>
      <c r="G125" s="134"/>
    </row>
    <row r="126" spans="1:7" ht="12.75" customHeight="1">
      <c r="A126" s="44"/>
      <c r="B126" s="54"/>
      <c r="C126" s="44"/>
      <c r="D126" s="44"/>
      <c r="E126" s="70"/>
      <c r="F126" s="95" t="s">
        <v>0</v>
      </c>
      <c r="G126" s="59"/>
    </row>
    <row r="127" spans="1:9" ht="15" customHeight="1">
      <c r="A127" s="72"/>
      <c r="B127" s="57" t="s">
        <v>39</v>
      </c>
      <c r="C127" s="73"/>
      <c r="D127" s="73"/>
      <c r="E127" s="66"/>
      <c r="F127" s="95" t="s">
        <v>0</v>
      </c>
      <c r="G127" s="120">
        <f>SUM(G19:G125)</f>
        <v>-342259.573969</v>
      </c>
      <c r="I127" s="145"/>
    </row>
    <row r="128" spans="1:7" ht="12.75" customHeight="1">
      <c r="A128" s="44"/>
      <c r="B128" s="74" t="s">
        <v>40</v>
      </c>
      <c r="C128" s="44"/>
      <c r="D128" s="44"/>
      <c r="E128" s="70"/>
      <c r="F128" s="95" t="s">
        <v>0</v>
      </c>
      <c r="G128" s="75"/>
    </row>
    <row r="129" spans="2:7" ht="12" customHeight="1">
      <c r="B129" s="76"/>
      <c r="E129" s="65"/>
      <c r="F129" s="95" t="s">
        <v>0</v>
      </c>
      <c r="G129" s="75"/>
    </row>
    <row r="130" spans="2:7" ht="15" customHeight="1">
      <c r="B130" s="57" t="s">
        <v>77</v>
      </c>
      <c r="C130" s="62"/>
      <c r="D130" s="62"/>
      <c r="E130" s="77"/>
      <c r="F130" s="96"/>
      <c r="G130" s="120">
        <f>F132+F133-F134</f>
        <v>2934.578</v>
      </c>
    </row>
    <row r="131" spans="2:7" ht="12">
      <c r="B131" s="76"/>
      <c r="E131" s="65"/>
      <c r="F131" s="95"/>
      <c r="G131" s="75"/>
    </row>
    <row r="132" spans="2:7" ht="15">
      <c r="B132" s="54"/>
      <c r="C132" s="44" t="s">
        <v>74</v>
      </c>
      <c r="D132" s="44"/>
      <c r="E132" s="65"/>
      <c r="F132" s="117">
        <v>0</v>
      </c>
      <c r="G132" s="75"/>
    </row>
    <row r="133" spans="2:7" ht="15">
      <c r="B133" s="76"/>
      <c r="C133" s="44" t="s">
        <v>75</v>
      </c>
      <c r="E133" s="65"/>
      <c r="F133" s="149">
        <f>308.95+61.84+(11622.59*46.54/100)+1.17</f>
        <v>5781.113386</v>
      </c>
      <c r="G133" s="75"/>
    </row>
    <row r="134" spans="2:7" ht="15">
      <c r="B134" s="76"/>
      <c r="C134" s="44" t="s">
        <v>76</v>
      </c>
      <c r="E134" s="65"/>
      <c r="F134" s="119">
        <f>(6.39+(697+5405.59)*46.54/100)</f>
        <v>2846.535386</v>
      </c>
      <c r="G134" s="75"/>
    </row>
    <row r="135" spans="2:7" ht="12">
      <c r="B135" s="76"/>
      <c r="E135" s="65"/>
      <c r="F135" s="95"/>
      <c r="G135" s="75"/>
    </row>
    <row r="136" spans="2:7" ht="12">
      <c r="B136" s="57" t="s">
        <v>78</v>
      </c>
      <c r="C136" s="62"/>
      <c r="D136" s="62"/>
      <c r="E136" s="77"/>
      <c r="F136" s="96">
        <v>0</v>
      </c>
      <c r="G136" s="78">
        <v>0</v>
      </c>
    </row>
    <row r="137" spans="2:7" ht="12">
      <c r="B137" s="76"/>
      <c r="E137" s="65"/>
      <c r="F137" s="95"/>
      <c r="G137" s="75"/>
    </row>
    <row r="138" spans="2:7" ht="15.75">
      <c r="B138" s="57" t="s">
        <v>73</v>
      </c>
      <c r="C138" s="62"/>
      <c r="D138" s="62"/>
      <c r="E138" s="77"/>
      <c r="F138" s="96"/>
      <c r="G138" s="120">
        <f>F140-F142</f>
        <v>-39040.541398</v>
      </c>
    </row>
    <row r="139" spans="2:7" ht="12">
      <c r="B139" s="76"/>
      <c r="E139" s="65"/>
      <c r="F139" s="95"/>
      <c r="G139" s="75"/>
    </row>
    <row r="140" spans="2:7" ht="14.25">
      <c r="B140" s="76"/>
      <c r="C140" s="44" t="s">
        <v>79</v>
      </c>
      <c r="E140" s="65"/>
      <c r="F140" s="124">
        <f>SUM(F141:F141)</f>
        <v>11524.580000000002</v>
      </c>
      <c r="G140" s="75"/>
    </row>
    <row r="141" spans="2:7" ht="12">
      <c r="B141" s="76"/>
      <c r="C141" s="44"/>
      <c r="D141" s="152" t="s">
        <v>249</v>
      </c>
      <c r="E141" s="153"/>
      <c r="F141" s="95">
        <f>11524.54+0.04</f>
        <v>11524.580000000002</v>
      </c>
      <c r="G141" s="75"/>
    </row>
    <row r="142" spans="2:7" ht="14.25">
      <c r="B142" s="76"/>
      <c r="C142" s="44" t="s">
        <v>80</v>
      </c>
      <c r="E142" s="65"/>
      <c r="F142" s="124">
        <f>43561.61+(15048.37*46.54/100)</f>
        <v>50565.121398</v>
      </c>
      <c r="G142" s="75"/>
    </row>
    <row r="143" spans="2:7" ht="12">
      <c r="B143" s="76"/>
      <c r="E143" s="65"/>
      <c r="F143" s="95"/>
      <c r="G143" s="75"/>
    </row>
    <row r="144" spans="2:7" ht="15.75">
      <c r="B144" s="79" t="s">
        <v>81</v>
      </c>
      <c r="C144" s="63"/>
      <c r="D144" s="63"/>
      <c r="E144" s="77"/>
      <c r="F144" s="124">
        <f>111976.37*46.54/100+11.19</f>
        <v>52124.992598000004</v>
      </c>
      <c r="G144" s="120">
        <f>F144</f>
        <v>52124.992598000004</v>
      </c>
    </row>
    <row r="145" spans="2:7" ht="12">
      <c r="B145" s="76"/>
      <c r="E145" s="65"/>
      <c r="F145" s="95"/>
      <c r="G145" s="75"/>
    </row>
    <row r="146" spans="2:9" ht="15.75">
      <c r="B146" s="57"/>
      <c r="E146" s="80" t="s">
        <v>82</v>
      </c>
      <c r="F146" s="95"/>
      <c r="G146" s="125">
        <f>G127+G130+G136+G138-G144</f>
        <v>-430490.529965</v>
      </c>
      <c r="I146" s="145"/>
    </row>
    <row r="147" spans="2:7" ht="12">
      <c r="B147" s="81"/>
      <c r="C147" s="82"/>
      <c r="D147" s="82"/>
      <c r="E147" s="83"/>
      <c r="F147" s="84"/>
      <c r="G147" s="85"/>
    </row>
  </sheetData>
  <mergeCells count="5">
    <mergeCell ref="D141:E141"/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2" manualBreakCount="2">
    <brk id="52" max="7" man="1"/>
    <brk id="10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82">
      <selection activeCell="G94" sqref="G94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99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F20+F24+F25+F26+F28</f>
        <v>1733464.733276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SUM(F21:F22)</f>
        <v>1720463.6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108</v>
      </c>
      <c r="F21" s="110">
        <v>1716354.04</v>
      </c>
      <c r="G21" s="103"/>
    </row>
    <row r="22" spans="1:7" ht="12.75" customHeight="1">
      <c r="A22" s="44"/>
      <c r="B22" s="54"/>
      <c r="C22" s="44"/>
      <c r="D22" s="44" t="s">
        <v>30</v>
      </c>
      <c r="E22" s="45" t="s">
        <v>109</v>
      </c>
      <c r="F22" s="110">
        <v>4109.56</v>
      </c>
      <c r="G22" s="103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03"/>
    </row>
    <row r="24" spans="1:7" ht="12.75" customHeight="1">
      <c r="A24" s="44"/>
      <c r="B24" s="54"/>
      <c r="C24" s="44"/>
      <c r="D24" s="44" t="s">
        <v>10</v>
      </c>
      <c r="F24" s="124">
        <v>0</v>
      </c>
      <c r="G24" s="103"/>
    </row>
    <row r="25" spans="1:7" ht="12.75" customHeight="1">
      <c r="A25" s="44"/>
      <c r="B25" s="54"/>
      <c r="C25" s="44" t="s">
        <v>11</v>
      </c>
      <c r="D25" s="44" t="s">
        <v>12</v>
      </c>
      <c r="F25" s="124">
        <v>0</v>
      </c>
      <c r="G25" s="103"/>
    </row>
    <row r="26" spans="1:7" ht="12.75" customHeight="1">
      <c r="A26" s="44"/>
      <c r="B26" s="54"/>
      <c r="C26" s="44" t="s">
        <v>13</v>
      </c>
      <c r="D26" s="44"/>
      <c r="F26" s="124">
        <v>0</v>
      </c>
      <c r="G26" s="103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04"/>
    </row>
    <row r="28" spans="1:7" ht="12.75" customHeight="1">
      <c r="A28" s="44"/>
      <c r="B28" s="54"/>
      <c r="C28" s="44"/>
      <c r="D28" s="44" t="s">
        <v>15</v>
      </c>
      <c r="F28" s="116">
        <f>SUM(F29:F31)</f>
        <v>13001.133275999999</v>
      </c>
      <c r="G28" s="104"/>
    </row>
    <row r="29" spans="1:7" ht="12.75" customHeight="1">
      <c r="A29" s="44"/>
      <c r="B29" s="54"/>
      <c r="C29" s="44"/>
      <c r="D29" s="60" t="s">
        <v>30</v>
      </c>
      <c r="E29" s="45" t="s">
        <v>112</v>
      </c>
      <c r="F29" s="110">
        <v>959.9</v>
      </c>
      <c r="G29" s="105"/>
    </row>
    <row r="30" spans="1:7" ht="12.75" customHeight="1">
      <c r="A30" s="44"/>
      <c r="B30" s="54"/>
      <c r="C30" s="44"/>
      <c r="D30" s="44" t="s">
        <v>30</v>
      </c>
      <c r="E30" s="44" t="s">
        <v>54</v>
      </c>
      <c r="F30" s="95">
        <v>42.66</v>
      </c>
      <c r="G30" s="104"/>
    </row>
    <row r="31" spans="1:7" ht="12.75" customHeight="1">
      <c r="A31" s="44"/>
      <c r="B31" s="54"/>
      <c r="C31" s="44"/>
      <c r="D31" s="44" t="s">
        <v>30</v>
      </c>
      <c r="E31" s="44" t="s">
        <v>188</v>
      </c>
      <c r="F31" s="110">
        <f>195416.34*6.14/100+0.01</f>
        <v>11998.573276</v>
      </c>
      <c r="G31" s="104"/>
    </row>
    <row r="32" spans="1:7" ht="12.75" customHeight="1">
      <c r="A32" s="44"/>
      <c r="B32" s="54"/>
      <c r="C32" s="44"/>
      <c r="D32" s="44"/>
      <c r="E32" s="44"/>
      <c r="F32" s="95"/>
      <c r="G32" s="104"/>
    </row>
    <row r="33" spans="1:7" s="64" customFormat="1" ht="14.25" customHeight="1">
      <c r="A33" s="62"/>
      <c r="B33" s="57" t="s">
        <v>16</v>
      </c>
      <c r="C33" s="62"/>
      <c r="D33" s="62"/>
      <c r="E33" s="63"/>
      <c r="F33" s="96"/>
      <c r="G33" s="115">
        <f>-(F35+F41+F58+F64+F71+F79+F81+F83+F85)</f>
        <v>-1460204.375854</v>
      </c>
    </row>
    <row r="34" spans="1:7" ht="12.75" customHeight="1">
      <c r="A34" s="44"/>
      <c r="B34" s="54"/>
      <c r="C34" s="44" t="s">
        <v>17</v>
      </c>
      <c r="D34" s="44"/>
      <c r="F34" s="95" t="s">
        <v>0</v>
      </c>
      <c r="G34" s="104"/>
    </row>
    <row r="35" spans="1:7" ht="12.75" customHeight="1">
      <c r="A35" s="44"/>
      <c r="B35" s="54"/>
      <c r="D35" s="44" t="s">
        <v>18</v>
      </c>
      <c r="E35" s="65"/>
      <c r="F35" s="114">
        <f>SUM(F36:F39)</f>
        <v>1169371.4797479997</v>
      </c>
      <c r="G35" s="104"/>
    </row>
    <row r="36" spans="1:7" ht="12.75" customHeight="1">
      <c r="A36" s="44"/>
      <c r="B36" s="54"/>
      <c r="D36" s="44"/>
      <c r="E36" s="65" t="s">
        <v>43</v>
      </c>
      <c r="F36" s="121">
        <v>1168360.44</v>
      </c>
      <c r="G36" s="104"/>
    </row>
    <row r="37" spans="1:7" ht="12.75" customHeight="1">
      <c r="A37" s="44"/>
      <c r="B37" s="54"/>
      <c r="D37" s="44"/>
      <c r="E37" s="65" t="s">
        <v>85</v>
      </c>
      <c r="F37" s="121">
        <v>29.15</v>
      </c>
      <c r="G37" s="104"/>
    </row>
    <row r="38" spans="1:7" ht="12.75" customHeight="1">
      <c r="A38" s="44"/>
      <c r="B38" s="54"/>
      <c r="D38" s="44"/>
      <c r="E38" s="66" t="s">
        <v>44</v>
      </c>
      <c r="F38" s="121">
        <v>305.15</v>
      </c>
      <c r="G38" s="104"/>
    </row>
    <row r="39" spans="1:7" ht="12.75" customHeight="1">
      <c r="A39" s="44"/>
      <c r="B39" s="54"/>
      <c r="D39" s="44"/>
      <c r="E39" s="65" t="s">
        <v>189</v>
      </c>
      <c r="F39" s="95">
        <f>11021.82*6.14/100</f>
        <v>676.739748</v>
      </c>
      <c r="G39" s="104"/>
    </row>
    <row r="40" spans="1:7" ht="12.75" customHeight="1">
      <c r="A40" s="44"/>
      <c r="B40" s="54"/>
      <c r="D40" s="44"/>
      <c r="E40" s="65"/>
      <c r="F40" s="101"/>
      <c r="G40" s="104"/>
    </row>
    <row r="41" spans="1:7" ht="12.75" customHeight="1">
      <c r="A41" s="44"/>
      <c r="B41" s="54"/>
      <c r="C41" s="44" t="s">
        <v>19</v>
      </c>
      <c r="D41" s="44"/>
      <c r="E41" s="65"/>
      <c r="F41" s="114">
        <f>SUM(F42:F56)</f>
        <v>65297.33112999999</v>
      </c>
      <c r="G41" s="104"/>
    </row>
    <row r="42" spans="1:7" ht="12.75" customHeight="1">
      <c r="A42" s="44"/>
      <c r="B42" s="54"/>
      <c r="C42" s="44"/>
      <c r="D42" s="44"/>
      <c r="E42" s="66" t="s">
        <v>46</v>
      </c>
      <c r="F42" s="121">
        <v>1358.77</v>
      </c>
      <c r="G42" s="104"/>
    </row>
    <row r="43" spans="1:7" ht="12.75" customHeight="1">
      <c r="A43" s="44"/>
      <c r="B43" s="54"/>
      <c r="C43" s="44"/>
      <c r="D43" s="44"/>
      <c r="E43" s="66" t="s">
        <v>45</v>
      </c>
      <c r="F43" s="121">
        <v>241.32</v>
      </c>
      <c r="G43" s="104"/>
    </row>
    <row r="44" spans="1:7" ht="12.75" customHeight="1">
      <c r="A44" s="44"/>
      <c r="B44" s="54"/>
      <c r="C44" s="44"/>
      <c r="D44" s="44"/>
      <c r="E44" s="66" t="s">
        <v>51</v>
      </c>
      <c r="F44" s="121">
        <v>221</v>
      </c>
      <c r="G44" s="104"/>
    </row>
    <row r="45" spans="1:7" ht="12.75" customHeight="1">
      <c r="A45" s="44"/>
      <c r="B45" s="54"/>
      <c r="C45" s="44"/>
      <c r="D45" s="44"/>
      <c r="E45" s="66" t="s">
        <v>50</v>
      </c>
      <c r="F45" s="121">
        <v>196.55</v>
      </c>
      <c r="G45" s="104"/>
    </row>
    <row r="46" spans="1:7" ht="12.75" customHeight="1">
      <c r="A46" s="44"/>
      <c r="B46" s="54"/>
      <c r="C46" s="44"/>
      <c r="D46" s="44"/>
      <c r="E46" s="66" t="s">
        <v>121</v>
      </c>
      <c r="F46" s="121">
        <v>763.23</v>
      </c>
      <c r="G46" s="104"/>
    </row>
    <row r="47" spans="1:7" ht="12.75" customHeight="1">
      <c r="A47" s="44"/>
      <c r="B47" s="54"/>
      <c r="C47" s="44"/>
      <c r="D47" s="44"/>
      <c r="E47" s="66" t="s">
        <v>71</v>
      </c>
      <c r="F47" s="121">
        <v>1008</v>
      </c>
      <c r="G47" s="104"/>
    </row>
    <row r="48" spans="1:7" ht="12.75" customHeight="1">
      <c r="A48" s="44"/>
      <c r="B48" s="54"/>
      <c r="C48" s="44"/>
      <c r="D48" s="44"/>
      <c r="E48" s="66" t="s">
        <v>148</v>
      </c>
      <c r="F48" s="121">
        <v>919.43</v>
      </c>
      <c r="G48" s="104"/>
    </row>
    <row r="49" spans="1:7" ht="12.75" customHeight="1">
      <c r="A49" s="44"/>
      <c r="B49" s="54"/>
      <c r="C49" s="44"/>
      <c r="D49" s="44"/>
      <c r="E49" s="66" t="s">
        <v>258</v>
      </c>
      <c r="F49" s="123">
        <v>2694.14</v>
      </c>
      <c r="G49" s="104"/>
    </row>
    <row r="50" spans="1:7" ht="12.75" customHeight="1">
      <c r="A50" s="44"/>
      <c r="B50" s="54"/>
      <c r="C50" s="44"/>
      <c r="D50" s="44"/>
      <c r="E50" s="66" t="s">
        <v>136</v>
      </c>
      <c r="F50" s="121">
        <v>309.8</v>
      </c>
      <c r="G50" s="104"/>
    </row>
    <row r="51" spans="1:7" ht="12.75" customHeight="1">
      <c r="A51" s="44"/>
      <c r="B51" s="54"/>
      <c r="C51" s="44"/>
      <c r="D51" s="44"/>
      <c r="E51" s="66" t="s">
        <v>235</v>
      </c>
      <c r="F51" s="121">
        <v>5969.23</v>
      </c>
      <c r="G51" s="104"/>
    </row>
    <row r="52" spans="1:7" ht="12.75" customHeight="1">
      <c r="A52" s="44"/>
      <c r="B52" s="54"/>
      <c r="C52" s="44"/>
      <c r="D52" s="44"/>
      <c r="E52" s="66" t="s">
        <v>139</v>
      </c>
      <c r="F52" s="121">
        <v>8814.74</v>
      </c>
      <c r="G52" s="104"/>
    </row>
    <row r="53" spans="1:7" ht="12.75" customHeight="1">
      <c r="A53" s="44"/>
      <c r="B53" s="54"/>
      <c r="C53" s="44"/>
      <c r="D53" s="44"/>
      <c r="E53" s="66" t="s">
        <v>232</v>
      </c>
      <c r="F53" s="121">
        <v>428.4</v>
      </c>
      <c r="G53" s="104"/>
    </row>
    <row r="54" spans="1:7" ht="12.75" customHeight="1">
      <c r="A54" s="44"/>
      <c r="B54" s="54"/>
      <c r="C54" s="44"/>
      <c r="D54" s="44"/>
      <c r="E54" s="66" t="s">
        <v>171</v>
      </c>
      <c r="F54" s="121">
        <v>17720.37</v>
      </c>
      <c r="G54" s="104"/>
    </row>
    <row r="55" spans="1:7" ht="12.75" customHeight="1">
      <c r="A55" s="44"/>
      <c r="B55" s="54"/>
      <c r="C55" s="44"/>
      <c r="D55" s="44"/>
      <c r="E55" s="66" t="s">
        <v>172</v>
      </c>
      <c r="F55" s="121">
        <v>2103.02</v>
      </c>
      <c r="G55" s="104"/>
    </row>
    <row r="56" spans="1:7" ht="12.75" customHeight="1">
      <c r="A56" s="44"/>
      <c r="B56" s="54"/>
      <c r="C56" s="44"/>
      <c r="D56" s="44"/>
      <c r="E56" s="66" t="s">
        <v>190</v>
      </c>
      <c r="F56" s="121">
        <f>(248110.76+124547.78-5405.59)*6.14/100</f>
        <v>22549.33113</v>
      </c>
      <c r="G56" s="104"/>
    </row>
    <row r="57" spans="1:7" ht="12.75" customHeight="1">
      <c r="A57" s="44"/>
      <c r="B57" s="54"/>
      <c r="C57" s="44"/>
      <c r="D57" s="44"/>
      <c r="E57" s="66"/>
      <c r="F57" s="101"/>
      <c r="G57" s="104"/>
    </row>
    <row r="58" spans="1:7" ht="12.75" customHeight="1">
      <c r="A58" s="44"/>
      <c r="B58" s="54"/>
      <c r="C58" s="44" t="s">
        <v>20</v>
      </c>
      <c r="D58" s="44"/>
      <c r="E58" s="65"/>
      <c r="F58" s="116">
        <f>SUM(F59:F62)</f>
        <v>24304.651938</v>
      </c>
      <c r="G58" s="104"/>
    </row>
    <row r="59" spans="1:7" ht="12.75" customHeight="1">
      <c r="A59" s="44"/>
      <c r="B59" s="54"/>
      <c r="C59" s="44"/>
      <c r="D59" s="44"/>
      <c r="E59" s="66" t="s">
        <v>111</v>
      </c>
      <c r="F59" s="121">
        <v>19011.36</v>
      </c>
      <c r="G59" s="104"/>
    </row>
    <row r="60" spans="1:7" ht="12.75" customHeight="1">
      <c r="A60" s="44"/>
      <c r="B60" s="54"/>
      <c r="C60" s="44"/>
      <c r="D60" s="44"/>
      <c r="E60" s="66" t="s">
        <v>113</v>
      </c>
      <c r="F60" s="101">
        <v>2469.42</v>
      </c>
      <c r="G60" s="104"/>
    </row>
    <row r="61" spans="1:7" ht="12.75" customHeight="1">
      <c r="A61" s="44"/>
      <c r="B61" s="54"/>
      <c r="C61" s="44"/>
      <c r="D61" s="44"/>
      <c r="E61" s="66" t="s">
        <v>122</v>
      </c>
      <c r="F61" s="101">
        <v>2472.5</v>
      </c>
      <c r="G61" s="104"/>
    </row>
    <row r="62" spans="1:7" ht="12.75" customHeight="1">
      <c r="A62" s="44"/>
      <c r="B62" s="54"/>
      <c r="C62" s="44"/>
      <c r="D62" s="44"/>
      <c r="E62" s="66" t="s">
        <v>189</v>
      </c>
      <c r="F62" s="141">
        <f>5722.67*6.14/100</f>
        <v>351.371938</v>
      </c>
      <c r="G62" s="104"/>
    </row>
    <row r="63" spans="1:7" ht="12.75" customHeight="1">
      <c r="A63" s="44"/>
      <c r="B63" s="54"/>
      <c r="C63" s="44"/>
      <c r="D63" s="44"/>
      <c r="E63" s="66"/>
      <c r="F63" s="99"/>
      <c r="G63" s="104"/>
    </row>
    <row r="64" spans="1:7" ht="12.75" customHeight="1">
      <c r="A64" s="44"/>
      <c r="B64" s="54"/>
      <c r="C64" s="44" t="s">
        <v>21</v>
      </c>
      <c r="D64" s="44"/>
      <c r="E64" s="65"/>
      <c r="F64" s="114">
        <f>SUM(F65:F69)</f>
        <v>161911.46208</v>
      </c>
      <c r="G64" s="104"/>
    </row>
    <row r="65" spans="1:7" ht="12.75" customHeight="1">
      <c r="A65" s="44"/>
      <c r="B65" s="54"/>
      <c r="D65" s="67" t="s">
        <v>22</v>
      </c>
      <c r="E65" s="68"/>
      <c r="F65" s="121">
        <f>(89819.15+1690.78+8012.8)+(256108.02+5072.34+17493.67+67700)*6.14/100+1756.15-331.91</f>
        <v>122214.33544199998</v>
      </c>
      <c r="G65" s="104"/>
    </row>
    <row r="66" spans="1:7" ht="12.75" customHeight="1">
      <c r="A66" s="44"/>
      <c r="B66" s="54"/>
      <c r="D66" s="67" t="s">
        <v>23</v>
      </c>
      <c r="E66" s="68"/>
      <c r="F66" s="121">
        <f>(22710.42+422.69+2003.2)+(37162.28+1268.09+4373.42+17800)*6.14/100</f>
        <v>28857.382705999997</v>
      </c>
      <c r="G66" s="104"/>
    </row>
    <row r="67" spans="1:7" ht="12.75" customHeight="1">
      <c r="A67" s="44"/>
      <c r="B67" s="54"/>
      <c r="D67" s="67" t="s">
        <v>24</v>
      </c>
      <c r="E67" s="68"/>
      <c r="F67" s="121">
        <f>8234.41+(10979.21*6.14/100)</f>
        <v>8908.533494</v>
      </c>
      <c r="G67" s="104"/>
    </row>
    <row r="68" spans="1:7" ht="12.75" customHeight="1">
      <c r="A68" s="44"/>
      <c r="B68" s="54"/>
      <c r="D68" s="67" t="s">
        <v>25</v>
      </c>
      <c r="E68" s="68"/>
      <c r="F68" s="121">
        <v>0</v>
      </c>
      <c r="G68" s="104"/>
    </row>
    <row r="69" spans="1:7" ht="12.75" customHeight="1">
      <c r="A69" s="44"/>
      <c r="B69" s="54"/>
      <c r="D69" s="67" t="s">
        <v>126</v>
      </c>
      <c r="E69" s="68"/>
      <c r="F69" s="121">
        <f>1532.1+(6500.17*6.14/100)</f>
        <v>1931.2104379999998</v>
      </c>
      <c r="G69" s="104"/>
    </row>
    <row r="70" spans="1:7" ht="12.75" customHeight="1">
      <c r="A70" s="44"/>
      <c r="B70" s="54"/>
      <c r="D70" s="67"/>
      <c r="E70" s="68"/>
      <c r="F70" s="121"/>
      <c r="G70" s="104"/>
    </row>
    <row r="71" spans="1:7" ht="12.75" customHeight="1">
      <c r="A71" s="44"/>
      <c r="B71" s="54"/>
      <c r="C71" s="44" t="s">
        <v>27</v>
      </c>
      <c r="D71" s="44"/>
      <c r="E71" s="65"/>
      <c r="F71" s="114">
        <f>SUM(F72:F76)</f>
        <v>3461.59785</v>
      </c>
      <c r="G71" s="104"/>
    </row>
    <row r="72" spans="1:7" ht="12.75" customHeight="1">
      <c r="A72" s="44"/>
      <c r="B72" s="54"/>
      <c r="C72" s="44"/>
      <c r="D72" s="67" t="s">
        <v>28</v>
      </c>
      <c r="E72" s="68"/>
      <c r="F72" s="121">
        <f>1542.4+(2877.79*6.14/100)</f>
        <v>1719.0963060000001</v>
      </c>
      <c r="G72" s="104"/>
    </row>
    <row r="73" spans="1:7" ht="12.75" customHeight="1">
      <c r="A73" s="44"/>
      <c r="B73" s="54"/>
      <c r="D73" s="67" t="s">
        <v>29</v>
      </c>
      <c r="E73" s="69"/>
      <c r="F73" s="121">
        <f>1612.95+(2109.96*6.14/100)</f>
        <v>1742.501544</v>
      </c>
      <c r="G73" s="104"/>
    </row>
    <row r="74" spans="1:7" ht="12.75" customHeight="1">
      <c r="A74" s="44"/>
      <c r="B74" s="54"/>
      <c r="D74" s="67" t="s">
        <v>31</v>
      </c>
      <c r="E74" s="68"/>
      <c r="F74" s="121">
        <v>0</v>
      </c>
      <c r="G74" s="104"/>
    </row>
    <row r="75" spans="1:7" ht="12.75" customHeight="1">
      <c r="A75" s="44"/>
      <c r="B75" s="54"/>
      <c r="D75" s="67" t="s">
        <v>32</v>
      </c>
      <c r="E75" s="68"/>
      <c r="F75" s="121"/>
      <c r="G75" s="104"/>
    </row>
    <row r="76" spans="1:7" ht="12.75" customHeight="1">
      <c r="A76" s="44"/>
      <c r="B76" s="54"/>
      <c r="D76" s="67"/>
      <c r="E76" s="69" t="s">
        <v>33</v>
      </c>
      <c r="F76" s="121">
        <v>0</v>
      </c>
      <c r="G76" s="104"/>
    </row>
    <row r="77" spans="1:7" ht="12.75" customHeight="1">
      <c r="A77" s="44"/>
      <c r="B77" s="54"/>
      <c r="D77" s="67"/>
      <c r="E77" s="69"/>
      <c r="F77" s="101"/>
      <c r="G77" s="104"/>
    </row>
    <row r="78" spans="1:7" ht="12.75" customHeight="1">
      <c r="A78" s="44"/>
      <c r="B78" s="54"/>
      <c r="C78" s="44" t="s">
        <v>34</v>
      </c>
      <c r="D78" s="44"/>
      <c r="E78" s="65"/>
      <c r="F78" s="95"/>
      <c r="G78" s="104"/>
    </row>
    <row r="79" spans="1:7" ht="12.75" customHeight="1">
      <c r="A79" s="44"/>
      <c r="B79" s="54"/>
      <c r="D79" s="44"/>
      <c r="E79" s="70" t="s">
        <v>35</v>
      </c>
      <c r="F79" s="124">
        <f>213978.85-188257.03</f>
        <v>25721.820000000007</v>
      </c>
      <c r="G79" s="104"/>
    </row>
    <row r="80" spans="1:7" ht="12.75" customHeight="1">
      <c r="A80" s="44"/>
      <c r="B80" s="54"/>
      <c r="D80" s="44"/>
      <c r="E80" s="70"/>
      <c r="F80" s="95"/>
      <c r="G80" s="104"/>
    </row>
    <row r="81" spans="1:7" ht="12.75" customHeight="1">
      <c r="A81" s="44"/>
      <c r="B81" s="54"/>
      <c r="C81" s="44" t="s">
        <v>36</v>
      </c>
      <c r="D81" s="44"/>
      <c r="E81" s="65"/>
      <c r="F81" s="124">
        <f>121593.7*6.14/100</f>
        <v>7465.85318</v>
      </c>
      <c r="G81" s="104"/>
    </row>
    <row r="82" spans="1:7" ht="12.75" customHeight="1">
      <c r="A82" s="44"/>
      <c r="B82" s="54"/>
      <c r="C82" s="44"/>
      <c r="D82" s="44"/>
      <c r="E82" s="65"/>
      <c r="F82" s="124"/>
      <c r="G82" s="104"/>
    </row>
    <row r="83" spans="1:7" ht="12.75" customHeight="1">
      <c r="A83" s="44"/>
      <c r="B83" s="54"/>
      <c r="C83" s="44" t="s">
        <v>37</v>
      </c>
      <c r="D83" s="44"/>
      <c r="E83" s="65"/>
      <c r="F83" s="124">
        <v>0</v>
      </c>
      <c r="G83" s="104"/>
    </row>
    <row r="84" spans="1:7" ht="12.75" customHeight="1">
      <c r="A84" s="44"/>
      <c r="B84" s="54"/>
      <c r="C84" s="44"/>
      <c r="D84" s="44"/>
      <c r="E84" s="65"/>
      <c r="F84" s="124"/>
      <c r="G84" s="104"/>
    </row>
    <row r="85" spans="1:7" ht="12.75" customHeight="1">
      <c r="A85" s="44"/>
      <c r="B85" s="54"/>
      <c r="C85" s="44" t="s">
        <v>38</v>
      </c>
      <c r="D85" s="44"/>
      <c r="E85" s="65"/>
      <c r="F85" s="124">
        <f>SUM(F86:F92)</f>
        <v>2670.1799279999996</v>
      </c>
      <c r="G85" s="104"/>
    </row>
    <row r="86" spans="1:7" ht="12.75" customHeight="1">
      <c r="A86" s="44"/>
      <c r="B86" s="54"/>
      <c r="C86" s="44"/>
      <c r="D86" s="44"/>
      <c r="E86" s="65" t="s">
        <v>123</v>
      </c>
      <c r="F86" s="101">
        <v>27.88</v>
      </c>
      <c r="G86" s="104"/>
    </row>
    <row r="87" spans="1:7" ht="13.5" customHeight="1">
      <c r="A87" s="44"/>
      <c r="B87" s="54"/>
      <c r="C87" s="44"/>
      <c r="D87" s="44" t="s">
        <v>0</v>
      </c>
      <c r="E87" s="66" t="s">
        <v>140</v>
      </c>
      <c r="F87" s="121">
        <v>558.29</v>
      </c>
      <c r="G87" s="104"/>
    </row>
    <row r="88" spans="1:7" ht="13.5" customHeight="1">
      <c r="A88" s="44"/>
      <c r="B88" s="54"/>
      <c r="C88" s="44"/>
      <c r="D88" s="44"/>
      <c r="E88" s="66" t="s">
        <v>201</v>
      </c>
      <c r="F88" s="121">
        <v>452.96</v>
      </c>
      <c r="G88" s="104"/>
    </row>
    <row r="89" spans="1:7" ht="12.75" customHeight="1">
      <c r="A89" s="44"/>
      <c r="B89" s="54"/>
      <c r="C89" s="44"/>
      <c r="D89" s="44"/>
      <c r="E89" s="71" t="s">
        <v>202</v>
      </c>
      <c r="F89" s="121">
        <v>192.5</v>
      </c>
      <c r="G89" s="104"/>
    </row>
    <row r="90" spans="1:7" ht="12.75" customHeight="1">
      <c r="A90" s="44"/>
      <c r="B90" s="54"/>
      <c r="C90" s="44"/>
      <c r="D90" s="44"/>
      <c r="E90" s="66" t="s">
        <v>60</v>
      </c>
      <c r="F90" s="121">
        <v>772.76</v>
      </c>
      <c r="G90" s="104"/>
    </row>
    <row r="91" spans="1:7" ht="12.75" customHeight="1">
      <c r="A91" s="44"/>
      <c r="B91" s="54"/>
      <c r="C91" s="44"/>
      <c r="D91" s="44"/>
      <c r="E91" s="66" t="s">
        <v>125</v>
      </c>
      <c r="F91" s="101">
        <v>4.48</v>
      </c>
      <c r="G91" s="104"/>
    </row>
    <row r="92" spans="1:7" ht="12.75" customHeight="1">
      <c r="A92" s="44"/>
      <c r="B92" s="54"/>
      <c r="C92" s="44"/>
      <c r="D92" s="44"/>
      <c r="E92" s="66" t="s">
        <v>190</v>
      </c>
      <c r="F92" s="99">
        <f>10770.52*6.14/100</f>
        <v>661.3099279999999</v>
      </c>
      <c r="G92" s="104"/>
    </row>
    <row r="93" spans="1:7" ht="12.75" customHeight="1">
      <c r="A93" s="44"/>
      <c r="B93" s="54"/>
      <c r="C93" s="44"/>
      <c r="D93" s="44"/>
      <c r="E93" s="70"/>
      <c r="F93" s="95" t="s">
        <v>0</v>
      </c>
      <c r="G93" s="104"/>
    </row>
    <row r="94" spans="1:9" ht="14.25" customHeight="1">
      <c r="A94" s="72"/>
      <c r="B94" s="57" t="s">
        <v>39</v>
      </c>
      <c r="C94" s="73"/>
      <c r="D94" s="73"/>
      <c r="E94" s="66"/>
      <c r="F94" s="95" t="s">
        <v>0</v>
      </c>
      <c r="G94" s="120">
        <f>G19+G33-0.01</f>
        <v>273260.347422</v>
      </c>
      <c r="I94" s="145"/>
    </row>
    <row r="95" spans="1:7" ht="12.75" customHeight="1">
      <c r="A95" s="44"/>
      <c r="B95" s="74" t="s">
        <v>40</v>
      </c>
      <c r="C95" s="44"/>
      <c r="D95" s="44"/>
      <c r="E95" s="70"/>
      <c r="F95" s="95" t="s">
        <v>0</v>
      </c>
      <c r="G95" s="106"/>
    </row>
    <row r="96" spans="2:7" ht="12" customHeight="1">
      <c r="B96" s="76"/>
      <c r="E96" s="65"/>
      <c r="F96" s="95" t="s">
        <v>0</v>
      </c>
      <c r="G96" s="106"/>
    </row>
    <row r="97" spans="2:7" ht="14.25" customHeight="1">
      <c r="B97" s="57" t="s">
        <v>77</v>
      </c>
      <c r="C97" s="62"/>
      <c r="D97" s="62"/>
      <c r="E97" s="77"/>
      <c r="F97" s="96"/>
      <c r="G97" s="120">
        <f>F99+F100-F101</f>
        <v>571.098</v>
      </c>
    </row>
    <row r="98" spans="2:7" ht="12">
      <c r="B98" s="76"/>
      <c r="E98" s="65"/>
      <c r="F98" s="95"/>
      <c r="G98" s="106"/>
    </row>
    <row r="99" spans="2:7" ht="14.25">
      <c r="B99" s="54"/>
      <c r="C99" s="44" t="s">
        <v>74</v>
      </c>
      <c r="D99" s="44"/>
      <c r="E99" s="65"/>
      <c r="F99" s="116">
        <v>0</v>
      </c>
      <c r="G99" s="106"/>
    </row>
    <row r="100" spans="2:7" ht="14.25">
      <c r="B100" s="76"/>
      <c r="C100" s="44" t="s">
        <v>75</v>
      </c>
      <c r="E100" s="65"/>
      <c r="F100" s="124">
        <f>361.94+(11622.59*6.14/100)</f>
        <v>1075.567026</v>
      </c>
      <c r="G100" s="106"/>
    </row>
    <row r="101" spans="2:7" ht="14.25">
      <c r="B101" s="76"/>
      <c r="C101" s="44" t="s">
        <v>76</v>
      </c>
      <c r="E101" s="65"/>
      <c r="F101" s="151">
        <f>(129.77+(697+5405.59)*6.14/100)</f>
        <v>504.469026</v>
      </c>
      <c r="G101" s="106"/>
    </row>
    <row r="102" spans="2:7" ht="12">
      <c r="B102" s="76"/>
      <c r="E102" s="65"/>
      <c r="F102" s="95"/>
      <c r="G102" s="106"/>
    </row>
    <row r="103" spans="2:7" ht="15.75">
      <c r="B103" s="57" t="s">
        <v>78</v>
      </c>
      <c r="C103" s="62"/>
      <c r="D103" s="62"/>
      <c r="E103" s="77"/>
      <c r="F103" s="128">
        <v>0</v>
      </c>
      <c r="G103" s="120">
        <v>0</v>
      </c>
    </row>
    <row r="104" spans="2:7" ht="12">
      <c r="B104" s="76"/>
      <c r="E104" s="65"/>
      <c r="F104" s="95"/>
      <c r="G104" s="106"/>
    </row>
    <row r="105" spans="2:7" ht="15.75">
      <c r="B105" s="57" t="s">
        <v>73</v>
      </c>
      <c r="C105" s="62"/>
      <c r="D105" s="62"/>
      <c r="E105" s="77"/>
      <c r="F105" s="96"/>
      <c r="G105" s="120">
        <f>F107-F109</f>
        <v>-1533.329918</v>
      </c>
    </row>
    <row r="106" spans="2:7" ht="12">
      <c r="B106" s="76"/>
      <c r="E106" s="65"/>
      <c r="F106" s="95"/>
      <c r="G106" s="106"/>
    </row>
    <row r="107" spans="2:7" ht="14.25">
      <c r="B107" s="76"/>
      <c r="C107" s="44" t="s">
        <v>79</v>
      </c>
      <c r="E107" s="65"/>
      <c r="F107" s="124">
        <f>SUM(F108:F108)</f>
        <v>108.31</v>
      </c>
      <c r="G107" s="106"/>
    </row>
    <row r="108" spans="2:7" ht="12">
      <c r="B108" s="76"/>
      <c r="C108" s="44"/>
      <c r="D108" s="152" t="s">
        <v>249</v>
      </c>
      <c r="E108" s="153"/>
      <c r="F108" s="95">
        <v>108.31</v>
      </c>
      <c r="G108" s="106"/>
    </row>
    <row r="109" spans="2:7" ht="14.25">
      <c r="B109" s="76"/>
      <c r="C109" s="44" t="s">
        <v>80</v>
      </c>
      <c r="E109" s="65"/>
      <c r="F109" s="124">
        <f>717.67+(15048.37*6.14/100)</f>
        <v>1641.6399179999999</v>
      </c>
      <c r="G109" s="106"/>
    </row>
    <row r="110" spans="2:7" ht="12">
      <c r="B110" s="76"/>
      <c r="E110" s="65"/>
      <c r="F110" s="95"/>
      <c r="G110" s="106"/>
    </row>
    <row r="111" spans="2:7" ht="15.75">
      <c r="B111" s="79" t="s">
        <v>81</v>
      </c>
      <c r="C111" s="63"/>
      <c r="D111" s="63"/>
      <c r="E111" s="77"/>
      <c r="F111" s="124">
        <f>111976.37*6.14/100</f>
        <v>6875.349117999999</v>
      </c>
      <c r="G111" s="120">
        <f>F111</f>
        <v>6875.349117999999</v>
      </c>
    </row>
    <row r="112" spans="2:7" ht="12">
      <c r="B112" s="76"/>
      <c r="E112" s="65"/>
      <c r="F112" s="95"/>
      <c r="G112" s="106"/>
    </row>
    <row r="113" spans="2:7" ht="15.75">
      <c r="B113" s="57"/>
      <c r="E113" s="80" t="s">
        <v>82</v>
      </c>
      <c r="F113" s="95"/>
      <c r="G113" s="125">
        <f>G94+G97+G105-G111</f>
        <v>265422.76638600003</v>
      </c>
    </row>
    <row r="114" spans="2:7" ht="12">
      <c r="B114" s="81"/>
      <c r="C114" s="82"/>
      <c r="D114" s="82"/>
      <c r="E114" s="83"/>
      <c r="F114" s="107"/>
      <c r="G114" s="108"/>
    </row>
  </sheetData>
  <mergeCells count="5">
    <mergeCell ref="D108:E108"/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6" r:id="rId1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64">
      <selection activeCell="F82" sqref="F8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100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F20+F23+F24+F25+F27</f>
        <v>13210.92817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12274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107</v>
      </c>
      <c r="F21" s="110">
        <v>12274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124">
        <v>0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124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124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124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116">
        <f>SUM(F28:F30)</f>
        <v>936.92817</v>
      </c>
      <c r="G27" s="104"/>
    </row>
    <row r="28" spans="1:7" ht="12.75" customHeight="1">
      <c r="A28" s="44"/>
      <c r="B28" s="54"/>
      <c r="C28" s="44"/>
      <c r="D28" s="60" t="s">
        <v>30</v>
      </c>
      <c r="E28" s="45" t="s">
        <v>237</v>
      </c>
      <c r="F28" s="110">
        <v>816</v>
      </c>
      <c r="G28" s="104"/>
    </row>
    <row r="29" spans="1:7" ht="12.75" customHeight="1">
      <c r="A29" s="44"/>
      <c r="B29" s="54"/>
      <c r="C29" s="44"/>
      <c r="D29" s="60" t="s">
        <v>30</v>
      </c>
      <c r="E29" s="45" t="s">
        <v>54</v>
      </c>
      <c r="F29" s="110">
        <v>23.22</v>
      </c>
      <c r="G29" s="104"/>
    </row>
    <row r="30" spans="1:7" ht="12.75" customHeight="1">
      <c r="A30" s="44"/>
      <c r="B30" s="54"/>
      <c r="C30" s="44"/>
      <c r="D30" s="60" t="s">
        <v>30</v>
      </c>
      <c r="E30" s="45" t="s">
        <v>188</v>
      </c>
      <c r="F30" s="110">
        <f>195416.34*0.05/100</f>
        <v>97.70817000000001</v>
      </c>
      <c r="G30" s="105"/>
    </row>
    <row r="31" spans="1:7" ht="12.75" customHeight="1">
      <c r="A31" s="44"/>
      <c r="B31" s="54"/>
      <c r="C31" s="44"/>
      <c r="D31" s="44"/>
      <c r="E31" s="44"/>
      <c r="F31" s="95"/>
      <c r="G31" s="104"/>
    </row>
    <row r="32" spans="1:7" s="64" customFormat="1" ht="15" customHeight="1">
      <c r="A32" s="62"/>
      <c r="B32" s="57" t="s">
        <v>16</v>
      </c>
      <c r="C32" s="62"/>
      <c r="D32" s="62"/>
      <c r="E32" s="63"/>
      <c r="F32" s="96"/>
      <c r="G32" s="115">
        <f>-(F34+F40+F48+F51+F58+F65+F67+F69+F71)</f>
        <v>-20042.033305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04"/>
    </row>
    <row r="34" spans="1:7" ht="12.75" customHeight="1">
      <c r="A34" s="44"/>
      <c r="B34" s="54"/>
      <c r="D34" s="44" t="s">
        <v>18</v>
      </c>
      <c r="E34" s="65"/>
      <c r="F34" s="114">
        <f>SUM(F35:F38)</f>
        <v>7156.060909999999</v>
      </c>
      <c r="G34" s="104"/>
    </row>
    <row r="35" spans="1:7" ht="12.75" customHeight="1">
      <c r="A35" s="44"/>
      <c r="B35" s="54"/>
      <c r="D35" s="44"/>
      <c r="E35" s="65" t="s">
        <v>238</v>
      </c>
      <c r="F35" s="97">
        <v>96</v>
      </c>
      <c r="G35" s="104"/>
    </row>
    <row r="36" spans="1:7" ht="12.75" customHeight="1">
      <c r="A36" s="44"/>
      <c r="B36" s="54"/>
      <c r="D36" s="44"/>
      <c r="E36" s="65" t="s">
        <v>173</v>
      </c>
      <c r="F36" s="97">
        <v>641.4</v>
      </c>
      <c r="G36" s="104"/>
    </row>
    <row r="37" spans="1:7" ht="12.75" customHeight="1">
      <c r="A37" s="44"/>
      <c r="B37" s="54"/>
      <c r="C37" s="44"/>
      <c r="D37" s="44"/>
      <c r="E37" s="66" t="s">
        <v>70</v>
      </c>
      <c r="F37" s="121">
        <v>6413.15</v>
      </c>
      <c r="G37" s="104"/>
    </row>
    <row r="38" spans="1:7" ht="12.75" customHeight="1">
      <c r="A38" s="44"/>
      <c r="B38" s="54"/>
      <c r="D38" s="44"/>
      <c r="E38" s="65" t="s">
        <v>189</v>
      </c>
      <c r="F38" s="95">
        <f>11021.82*0.05/100</f>
        <v>5.51091</v>
      </c>
      <c r="G38" s="104"/>
    </row>
    <row r="39" spans="1:7" ht="12.75" customHeight="1">
      <c r="A39" s="44"/>
      <c r="B39" s="54"/>
      <c r="D39" s="44"/>
      <c r="E39" s="65"/>
      <c r="F39" s="101"/>
      <c r="G39" s="104"/>
    </row>
    <row r="40" spans="1:7" ht="12.75" customHeight="1">
      <c r="A40" s="44"/>
      <c r="B40" s="54"/>
      <c r="C40" s="44" t="s">
        <v>19</v>
      </c>
      <c r="D40" s="44"/>
      <c r="E40" s="65"/>
      <c r="F40" s="114">
        <f>SUM(F41:F46)</f>
        <v>12362.376475000001</v>
      </c>
      <c r="G40" s="104"/>
    </row>
    <row r="41" spans="1:7" ht="12.75" customHeight="1">
      <c r="A41" s="44"/>
      <c r="B41" s="54"/>
      <c r="C41" s="44"/>
      <c r="D41" s="44"/>
      <c r="E41" s="66" t="s">
        <v>128</v>
      </c>
      <c r="F41" s="121">
        <v>6159.22</v>
      </c>
      <c r="G41" s="104"/>
    </row>
    <row r="42" spans="1:7" ht="12.75" customHeight="1">
      <c r="A42" s="44"/>
      <c r="B42" s="54"/>
      <c r="C42" s="44"/>
      <c r="D42" s="44"/>
      <c r="E42" s="66" t="s">
        <v>141</v>
      </c>
      <c r="F42" s="121">
        <v>1019.81</v>
      </c>
      <c r="G42" s="104"/>
    </row>
    <row r="43" spans="1:7" ht="12.75" customHeight="1">
      <c r="A43" s="44"/>
      <c r="B43" s="54"/>
      <c r="C43" s="44"/>
      <c r="D43" s="44"/>
      <c r="E43" s="66" t="s">
        <v>120</v>
      </c>
      <c r="F43" s="121">
        <v>337.55</v>
      </c>
      <c r="G43" s="104"/>
    </row>
    <row r="44" spans="1:7" ht="12.75" customHeight="1">
      <c r="A44" s="44"/>
      <c r="B44" s="54"/>
      <c r="C44" s="44"/>
      <c r="D44" s="44"/>
      <c r="E44" s="66" t="s">
        <v>121</v>
      </c>
      <c r="F44" s="121">
        <v>2187.27</v>
      </c>
      <c r="G44" s="104"/>
    </row>
    <row r="45" spans="1:7" ht="12.75" customHeight="1">
      <c r="A45" s="44"/>
      <c r="B45" s="54"/>
      <c r="C45" s="44"/>
      <c r="D45" s="44"/>
      <c r="E45" s="66" t="s">
        <v>71</v>
      </c>
      <c r="F45" s="121">
        <v>2474.9</v>
      </c>
      <c r="G45" s="104"/>
    </row>
    <row r="46" spans="1:7" ht="12.75" customHeight="1">
      <c r="A46" s="44"/>
      <c r="B46" s="54"/>
      <c r="C46" s="44"/>
      <c r="D46" s="44"/>
      <c r="E46" s="66" t="s">
        <v>190</v>
      </c>
      <c r="F46" s="121">
        <f>(248110.76+124547.78-5405.59)*0.05/100</f>
        <v>183.62647500000003</v>
      </c>
      <c r="G46" s="104"/>
    </row>
    <row r="47" spans="1:7" ht="12.75" customHeight="1">
      <c r="A47" s="44"/>
      <c r="B47" s="54"/>
      <c r="C47" s="44"/>
      <c r="D47" s="44"/>
      <c r="E47" s="66"/>
      <c r="F47" s="101"/>
      <c r="G47" s="104"/>
    </row>
    <row r="48" spans="1:7" ht="12.75" customHeight="1">
      <c r="A48" s="44"/>
      <c r="B48" s="54"/>
      <c r="C48" s="44" t="s">
        <v>20</v>
      </c>
      <c r="D48" s="44"/>
      <c r="E48" s="65"/>
      <c r="F48" s="116">
        <f>SUM(F49)</f>
        <v>2.8613350000000004</v>
      </c>
      <c r="G48" s="104"/>
    </row>
    <row r="49" spans="1:7" ht="12.75" customHeight="1">
      <c r="A49" s="44"/>
      <c r="B49" s="54"/>
      <c r="C49" s="44"/>
      <c r="D49" s="44"/>
      <c r="E49" s="65" t="s">
        <v>189</v>
      </c>
      <c r="F49" s="99">
        <f>5722.67*0.05/100</f>
        <v>2.8613350000000004</v>
      </c>
      <c r="G49" s="104"/>
    </row>
    <row r="50" spans="1:7" ht="12.75" customHeight="1">
      <c r="A50" s="44"/>
      <c r="B50" s="54"/>
      <c r="C50" s="44"/>
      <c r="D50" s="44"/>
      <c r="E50" s="65"/>
      <c r="F50" s="99"/>
      <c r="G50" s="104"/>
    </row>
    <row r="51" spans="1:7" ht="12.75" customHeight="1">
      <c r="A51" s="44"/>
      <c r="B51" s="54"/>
      <c r="C51" s="44" t="s">
        <v>21</v>
      </c>
      <c r="D51" s="44"/>
      <c r="E51" s="65"/>
      <c r="F51" s="114">
        <f>SUM(F52:F56)</f>
        <v>230.73860000000002</v>
      </c>
      <c r="G51" s="104"/>
    </row>
    <row r="52" spans="1:7" ht="12.75" customHeight="1">
      <c r="A52" s="44"/>
      <c r="B52" s="54"/>
      <c r="D52" s="67" t="s">
        <v>22</v>
      </c>
      <c r="E52" s="68"/>
      <c r="F52" s="121">
        <f>(256108.02+5072.34+17493.67+67700)*0.05/100+21.22-2.71</f>
        <v>191.697015</v>
      </c>
      <c r="G52" s="104"/>
    </row>
    <row r="53" spans="1:7" ht="12.75" customHeight="1">
      <c r="A53" s="44"/>
      <c r="B53" s="54"/>
      <c r="D53" s="67" t="s">
        <v>23</v>
      </c>
      <c r="E53" s="68"/>
      <c r="F53" s="121">
        <f>(37162.28+1268.09+4373.42+17800)*0.05/100</f>
        <v>30.301895</v>
      </c>
      <c r="G53" s="104"/>
    </row>
    <row r="54" spans="1:7" ht="12.75" customHeight="1">
      <c r="A54" s="44"/>
      <c r="B54" s="54"/>
      <c r="D54" s="67" t="s">
        <v>24</v>
      </c>
      <c r="E54" s="68"/>
      <c r="F54" s="121">
        <f>10979.21*0.05/100</f>
        <v>5.489605</v>
      </c>
      <c r="G54" s="104"/>
    </row>
    <row r="55" spans="1:7" ht="12.75" customHeight="1">
      <c r="A55" s="44"/>
      <c r="B55" s="54"/>
      <c r="D55" s="67" t="s">
        <v>25</v>
      </c>
      <c r="E55" s="68"/>
      <c r="F55" s="121">
        <v>0</v>
      </c>
      <c r="G55" s="104"/>
    </row>
    <row r="56" spans="1:7" ht="12.75" customHeight="1">
      <c r="A56" s="44"/>
      <c r="B56" s="54"/>
      <c r="D56" s="67" t="s">
        <v>126</v>
      </c>
      <c r="E56" s="68"/>
      <c r="F56" s="121">
        <f>6500.17*0.05/100</f>
        <v>3.2500850000000003</v>
      </c>
      <c r="G56" s="104"/>
    </row>
    <row r="57" spans="1:7" ht="12.75" customHeight="1">
      <c r="A57" s="44"/>
      <c r="B57" s="54"/>
      <c r="D57" s="67"/>
      <c r="E57" s="68"/>
      <c r="F57" s="98"/>
      <c r="G57" s="104"/>
    </row>
    <row r="58" spans="1:7" ht="12.75" customHeight="1">
      <c r="A58" s="44"/>
      <c r="B58" s="54"/>
      <c r="C58" s="44" t="s">
        <v>27</v>
      </c>
      <c r="D58" s="44"/>
      <c r="E58" s="65"/>
      <c r="F58" s="114">
        <f>SUM(F59:F63)</f>
        <v>2.493875</v>
      </c>
      <c r="G58" s="104"/>
    </row>
    <row r="59" spans="1:7" ht="12.75" customHeight="1">
      <c r="A59" s="44"/>
      <c r="B59" s="54"/>
      <c r="C59" s="44"/>
      <c r="D59" s="67" t="s">
        <v>28</v>
      </c>
      <c r="E59" s="68"/>
      <c r="F59" s="121">
        <f>2877.79*0.05/100</f>
        <v>1.438895</v>
      </c>
      <c r="G59" s="104"/>
    </row>
    <row r="60" spans="1:7" ht="12.75" customHeight="1">
      <c r="A60" s="44"/>
      <c r="B60" s="54"/>
      <c r="D60" s="67" t="s">
        <v>29</v>
      </c>
      <c r="E60" s="69"/>
      <c r="F60" s="121">
        <f>2109.96*0.05/100</f>
        <v>1.05498</v>
      </c>
      <c r="G60" s="104"/>
    </row>
    <row r="61" spans="1:7" ht="12.75" customHeight="1">
      <c r="A61" s="44"/>
      <c r="B61" s="54"/>
      <c r="D61" s="67" t="s">
        <v>31</v>
      </c>
      <c r="E61" s="68"/>
      <c r="F61" s="121">
        <v>0</v>
      </c>
      <c r="G61" s="104"/>
    </row>
    <row r="62" spans="1:7" ht="12.75" customHeight="1">
      <c r="A62" s="44"/>
      <c r="B62" s="54"/>
      <c r="D62" s="67" t="s">
        <v>32</v>
      </c>
      <c r="E62" s="68"/>
      <c r="F62" s="121"/>
      <c r="G62" s="104"/>
    </row>
    <row r="63" spans="1:7" ht="12.75" customHeight="1">
      <c r="A63" s="44"/>
      <c r="B63" s="54"/>
      <c r="D63" s="67"/>
      <c r="E63" s="69" t="s">
        <v>33</v>
      </c>
      <c r="F63" s="121">
        <v>0</v>
      </c>
      <c r="G63" s="104"/>
    </row>
    <row r="64" spans="1:7" ht="12.75" customHeight="1">
      <c r="A64" s="44"/>
      <c r="B64" s="54"/>
      <c r="C64" s="44" t="s">
        <v>34</v>
      </c>
      <c r="D64" s="44"/>
      <c r="E64" s="65"/>
      <c r="F64" s="95"/>
      <c r="G64" s="104"/>
    </row>
    <row r="65" spans="1:7" ht="12.75" customHeight="1">
      <c r="A65" s="44"/>
      <c r="B65" s="54"/>
      <c r="D65" s="44"/>
      <c r="E65" s="70" t="s">
        <v>35</v>
      </c>
      <c r="F65" s="124">
        <v>0</v>
      </c>
      <c r="G65" s="104"/>
    </row>
    <row r="66" spans="1:7" ht="12.75" customHeight="1">
      <c r="A66" s="44"/>
      <c r="B66" s="54"/>
      <c r="D66" s="44"/>
      <c r="E66" s="70"/>
      <c r="F66" s="124"/>
      <c r="G66" s="104"/>
    </row>
    <row r="67" spans="1:7" ht="12.75" customHeight="1">
      <c r="A67" s="44"/>
      <c r="B67" s="54"/>
      <c r="C67" s="44" t="s">
        <v>36</v>
      </c>
      <c r="D67" s="44"/>
      <c r="E67" s="65"/>
      <c r="F67" s="124">
        <f>121593.7*0.05/100</f>
        <v>60.796850000000006</v>
      </c>
      <c r="G67" s="104"/>
    </row>
    <row r="68" spans="1:7" ht="12.75" customHeight="1">
      <c r="A68" s="44"/>
      <c r="B68" s="54"/>
      <c r="C68" s="44"/>
      <c r="D68" s="44"/>
      <c r="E68" s="65"/>
      <c r="F68" s="95"/>
      <c r="G68" s="104"/>
    </row>
    <row r="69" spans="1:7" ht="12.75" customHeight="1">
      <c r="A69" s="44"/>
      <c r="B69" s="54"/>
      <c r="C69" s="44" t="s">
        <v>37</v>
      </c>
      <c r="D69" s="44"/>
      <c r="E69" s="65"/>
      <c r="F69" s="124">
        <v>0</v>
      </c>
      <c r="G69" s="104"/>
    </row>
    <row r="70" spans="1:7" ht="12.75" customHeight="1">
      <c r="A70" s="44"/>
      <c r="B70" s="54"/>
      <c r="C70" s="44"/>
      <c r="D70" s="44"/>
      <c r="E70" s="65"/>
      <c r="F70" s="124"/>
      <c r="G70" s="104"/>
    </row>
    <row r="71" spans="1:7" ht="12.75" customHeight="1">
      <c r="A71" s="44"/>
      <c r="B71" s="54"/>
      <c r="C71" s="44" t="s">
        <v>38</v>
      </c>
      <c r="D71" s="44"/>
      <c r="E71" s="65"/>
      <c r="F71" s="124">
        <f>SUM(F72:F73)</f>
        <v>226.70525999999998</v>
      </c>
      <c r="G71" s="104"/>
    </row>
    <row r="72" spans="1:7" ht="12.75" customHeight="1">
      <c r="A72" s="44"/>
      <c r="B72" s="54"/>
      <c r="C72" s="44"/>
      <c r="D72" s="44"/>
      <c r="E72" s="65" t="s">
        <v>175</v>
      </c>
      <c r="F72" s="101">
        <v>221.32</v>
      </c>
      <c r="G72" s="104"/>
    </row>
    <row r="73" spans="1:7" ht="12.75" customHeight="1">
      <c r="A73" s="44"/>
      <c r="B73" s="54"/>
      <c r="C73" s="44"/>
      <c r="D73" s="44"/>
      <c r="E73" s="66" t="s">
        <v>190</v>
      </c>
      <c r="F73" s="99">
        <f>10770.52*0.05/100</f>
        <v>5.385260000000001</v>
      </c>
      <c r="G73" s="104"/>
    </row>
    <row r="74" spans="1:7" ht="12.75" customHeight="1">
      <c r="A74" s="44"/>
      <c r="B74" s="54"/>
      <c r="C74" s="44"/>
      <c r="D74" s="44"/>
      <c r="E74" s="70"/>
      <c r="F74" s="95" t="s">
        <v>0</v>
      </c>
      <c r="G74" s="104"/>
    </row>
    <row r="75" spans="1:7" ht="15" customHeight="1">
      <c r="A75" s="72"/>
      <c r="B75" s="57" t="s">
        <v>39</v>
      </c>
      <c r="C75" s="73"/>
      <c r="D75" s="73"/>
      <c r="E75" s="66"/>
      <c r="F75" s="95" t="s">
        <v>0</v>
      </c>
      <c r="G75" s="120">
        <f>G19+G32+0.01</f>
        <v>-6831.095135000001</v>
      </c>
    </row>
    <row r="76" spans="1:7" ht="12.75" customHeight="1">
      <c r="A76" s="44"/>
      <c r="B76" s="74" t="s">
        <v>40</v>
      </c>
      <c r="C76" s="44"/>
      <c r="D76" s="44"/>
      <c r="E76" s="70"/>
      <c r="F76" s="95" t="s">
        <v>0</v>
      </c>
      <c r="G76" s="106"/>
    </row>
    <row r="77" spans="2:7" ht="12" customHeight="1">
      <c r="B77" s="76"/>
      <c r="E77" s="65"/>
      <c r="F77" s="95" t="s">
        <v>0</v>
      </c>
      <c r="G77" s="106"/>
    </row>
    <row r="78" spans="2:7" ht="15" customHeight="1">
      <c r="B78" s="57" t="s">
        <v>77</v>
      </c>
      <c r="C78" s="62"/>
      <c r="D78" s="62"/>
      <c r="E78" s="77"/>
      <c r="F78" s="96"/>
      <c r="G78" s="120">
        <f>F80+F81-F82</f>
        <v>2.7600000000000002</v>
      </c>
    </row>
    <row r="79" spans="2:7" ht="12">
      <c r="B79" s="76"/>
      <c r="E79" s="65"/>
      <c r="F79" s="95"/>
      <c r="G79" s="106"/>
    </row>
    <row r="80" spans="2:7" ht="14.25">
      <c r="B80" s="54"/>
      <c r="C80" s="44" t="s">
        <v>74</v>
      </c>
      <c r="D80" s="44"/>
      <c r="E80" s="65"/>
      <c r="F80" s="116">
        <v>0</v>
      </c>
      <c r="G80" s="106"/>
    </row>
    <row r="81" spans="2:7" ht="15">
      <c r="B81" s="76"/>
      <c r="C81" s="44" t="s">
        <v>75</v>
      </c>
      <c r="E81" s="65"/>
      <c r="F81" s="119">
        <f>11622.59*0.05/100</f>
        <v>5.811295</v>
      </c>
      <c r="G81" s="106"/>
    </row>
    <row r="82" spans="2:7" ht="15">
      <c r="B82" s="76"/>
      <c r="C82" s="44" t="s">
        <v>76</v>
      </c>
      <c r="E82" s="65"/>
      <c r="F82" s="149">
        <f>(697+5405.59)*0.05/100</f>
        <v>3.051295</v>
      </c>
      <c r="G82" s="106"/>
    </row>
    <row r="83" spans="2:7" ht="12">
      <c r="B83" s="76"/>
      <c r="E83" s="65"/>
      <c r="F83" s="95"/>
      <c r="G83" s="106"/>
    </row>
    <row r="84" spans="2:7" ht="15.75">
      <c r="B84" s="57" t="s">
        <v>78</v>
      </c>
      <c r="C84" s="62"/>
      <c r="D84" s="62"/>
      <c r="E84" s="77"/>
      <c r="F84" s="128">
        <v>0</v>
      </c>
      <c r="G84" s="120">
        <v>0</v>
      </c>
    </row>
    <row r="85" spans="2:7" ht="12">
      <c r="B85" s="76"/>
      <c r="E85" s="65"/>
      <c r="F85" s="95"/>
      <c r="G85" s="106"/>
    </row>
    <row r="86" spans="2:7" ht="15.75">
      <c r="B86" s="57" t="s">
        <v>73</v>
      </c>
      <c r="C86" s="62"/>
      <c r="D86" s="62"/>
      <c r="E86" s="77"/>
      <c r="F86" s="96"/>
      <c r="G86" s="120">
        <f>F88-F89</f>
        <v>-7.524185000000001</v>
      </c>
    </row>
    <row r="87" spans="2:7" ht="12">
      <c r="B87" s="76"/>
      <c r="E87" s="65"/>
      <c r="F87" s="95"/>
      <c r="G87" s="106"/>
    </row>
    <row r="88" spans="2:7" ht="14.25">
      <c r="B88" s="76"/>
      <c r="C88" s="44" t="s">
        <v>79</v>
      </c>
      <c r="E88" s="65"/>
      <c r="F88" s="124">
        <v>0</v>
      </c>
      <c r="G88" s="106"/>
    </row>
    <row r="89" spans="2:7" ht="14.25">
      <c r="B89" s="76"/>
      <c r="C89" s="44" t="s">
        <v>80</v>
      </c>
      <c r="E89" s="65"/>
      <c r="F89" s="124">
        <f>15048.37*0.05/100</f>
        <v>7.524185000000001</v>
      </c>
      <c r="G89" s="106"/>
    </row>
    <row r="90" spans="2:7" ht="12">
      <c r="B90" s="76"/>
      <c r="E90" s="65"/>
      <c r="F90" s="95"/>
      <c r="G90" s="106"/>
    </row>
    <row r="91" spans="2:7" ht="15.75">
      <c r="B91" s="79" t="s">
        <v>81</v>
      </c>
      <c r="C91" s="63"/>
      <c r="D91" s="63"/>
      <c r="E91" s="77"/>
      <c r="F91" s="124">
        <f>111976.37*0.05/100</f>
        <v>55.988185</v>
      </c>
      <c r="G91" s="120">
        <f>F91</f>
        <v>55.988185</v>
      </c>
    </row>
    <row r="92" spans="2:7" ht="12">
      <c r="B92" s="76"/>
      <c r="E92" s="65"/>
      <c r="F92" s="95"/>
      <c r="G92" s="106"/>
    </row>
    <row r="93" spans="2:7" ht="15.75">
      <c r="B93" s="57"/>
      <c r="E93" s="80" t="s">
        <v>82</v>
      </c>
      <c r="F93" s="95"/>
      <c r="G93" s="125">
        <f>G75+G78-G84+G86-G91</f>
        <v>-6891.847505000002</v>
      </c>
    </row>
    <row r="94" spans="2:7" ht="12">
      <c r="B94" s="81"/>
      <c r="C94" s="82"/>
      <c r="D94" s="82"/>
      <c r="E94" s="83"/>
      <c r="F94" s="107"/>
      <c r="G94" s="108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61">
      <selection activeCell="F97" sqref="F97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176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F20+F24+F25+F26+F28+0.01</f>
        <v>303388.933992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SUM(F21:F22)</f>
        <v>234099.91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142</v>
      </c>
      <c r="F21" s="110">
        <v>97402.41</v>
      </c>
      <c r="G21" s="103"/>
    </row>
    <row r="22" spans="1:7" ht="12.75" customHeight="1">
      <c r="A22" s="44"/>
      <c r="B22" s="54"/>
      <c r="C22" s="44"/>
      <c r="D22" s="44" t="s">
        <v>30</v>
      </c>
      <c r="E22" s="45" t="s">
        <v>177</v>
      </c>
      <c r="F22" s="110">
        <v>136697.5</v>
      </c>
      <c r="G22" s="103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03"/>
    </row>
    <row r="24" spans="1:7" ht="12.75" customHeight="1">
      <c r="A24" s="44"/>
      <c r="B24" s="54"/>
      <c r="C24" s="44"/>
      <c r="D24" s="44" t="s">
        <v>10</v>
      </c>
      <c r="F24" s="124">
        <v>0</v>
      </c>
      <c r="G24" s="103"/>
    </row>
    <row r="25" spans="1:7" ht="12.75" customHeight="1">
      <c r="A25" s="44"/>
      <c r="B25" s="54"/>
      <c r="C25" s="44" t="s">
        <v>11</v>
      </c>
      <c r="D25" s="44" t="s">
        <v>12</v>
      </c>
      <c r="F25" s="124">
        <v>0</v>
      </c>
      <c r="G25" s="103"/>
    </row>
    <row r="26" spans="1:7" ht="12.75" customHeight="1">
      <c r="A26" s="44"/>
      <c r="B26" s="54"/>
      <c r="C26" s="44" t="s">
        <v>13</v>
      </c>
      <c r="D26" s="44"/>
      <c r="F26" s="124">
        <v>0</v>
      </c>
      <c r="G26" s="103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04"/>
    </row>
    <row r="28" spans="1:7" ht="12.75" customHeight="1">
      <c r="A28" s="44"/>
      <c r="B28" s="54"/>
      <c r="C28" s="44"/>
      <c r="D28" s="44" t="s">
        <v>15</v>
      </c>
      <c r="F28" s="116">
        <f>SUM(F29:F32)</f>
        <v>69289.013992</v>
      </c>
      <c r="G28" s="104"/>
    </row>
    <row r="29" spans="1:7" ht="12.75" customHeight="1">
      <c r="A29" s="44"/>
      <c r="B29" s="54"/>
      <c r="C29" s="44"/>
      <c r="D29" s="60" t="s">
        <v>30</v>
      </c>
      <c r="E29" s="45" t="s">
        <v>53</v>
      </c>
      <c r="F29" s="110">
        <v>49105.36</v>
      </c>
      <c r="G29" s="105"/>
    </row>
    <row r="30" spans="1:7" ht="12.75" customHeight="1">
      <c r="A30" s="44"/>
      <c r="B30" s="54"/>
      <c r="C30" s="44"/>
      <c r="D30" s="60" t="s">
        <v>30</v>
      </c>
      <c r="E30" s="45" t="s">
        <v>114</v>
      </c>
      <c r="F30" s="110">
        <v>12549.9</v>
      </c>
      <c r="G30" s="105"/>
    </row>
    <row r="31" spans="1:7" ht="12.75" customHeight="1">
      <c r="A31" s="44"/>
      <c r="B31" s="54"/>
      <c r="C31" s="44"/>
      <c r="D31" s="60" t="s">
        <v>30</v>
      </c>
      <c r="E31" s="45" t="s">
        <v>109</v>
      </c>
      <c r="F31" s="110">
        <v>51.6</v>
      </c>
      <c r="G31" s="105"/>
    </row>
    <row r="32" spans="1:7" ht="12.75" customHeight="1">
      <c r="A32" s="44"/>
      <c r="B32" s="54"/>
      <c r="C32" s="44"/>
      <c r="D32" s="60" t="s">
        <v>30</v>
      </c>
      <c r="E32" s="45" t="s">
        <v>188</v>
      </c>
      <c r="F32" s="110">
        <f>195416.34*3.88/100</f>
        <v>7582.153992</v>
      </c>
      <c r="G32" s="105"/>
    </row>
    <row r="33" spans="1:7" ht="12.75" customHeight="1">
      <c r="A33" s="44"/>
      <c r="B33" s="54"/>
      <c r="C33" s="44"/>
      <c r="D33" s="44"/>
      <c r="E33" s="44"/>
      <c r="F33" s="95"/>
      <c r="G33" s="104"/>
    </row>
    <row r="34" spans="1:7" s="64" customFormat="1" ht="14.25" customHeight="1">
      <c r="A34" s="62"/>
      <c r="B34" s="57" t="s">
        <v>16</v>
      </c>
      <c r="C34" s="62"/>
      <c r="D34" s="62"/>
      <c r="E34" s="63"/>
      <c r="F34" s="96"/>
      <c r="G34" s="115">
        <f>-(F36+F42+F58+F63+F70+F77+F79+F81+F83)</f>
        <v>-279009.64646799996</v>
      </c>
    </row>
    <row r="35" spans="1:7" ht="12.75" customHeight="1">
      <c r="A35" s="44"/>
      <c r="B35" s="54"/>
      <c r="C35" s="44" t="s">
        <v>17</v>
      </c>
      <c r="D35" s="44"/>
      <c r="F35" s="95" t="s">
        <v>0</v>
      </c>
      <c r="G35" s="104"/>
    </row>
    <row r="36" spans="1:7" ht="12.75" customHeight="1">
      <c r="A36" s="44"/>
      <c r="B36" s="54"/>
      <c r="D36" s="44" t="s">
        <v>18</v>
      </c>
      <c r="E36" s="65"/>
      <c r="F36" s="114">
        <f>SUM(F37:F40)</f>
        <v>6801.096616000001</v>
      </c>
      <c r="G36" s="104"/>
    </row>
    <row r="37" spans="1:7" ht="12.75" customHeight="1">
      <c r="A37" s="44"/>
      <c r="B37" s="54"/>
      <c r="D37" s="44"/>
      <c r="E37" s="65" t="s">
        <v>157</v>
      </c>
      <c r="F37" s="121">
        <v>352.33</v>
      </c>
      <c r="G37" s="104"/>
    </row>
    <row r="38" spans="1:7" ht="12.75" customHeight="1">
      <c r="A38" s="44"/>
      <c r="B38" s="54"/>
      <c r="D38" s="44"/>
      <c r="E38" s="65" t="s">
        <v>85</v>
      </c>
      <c r="F38" s="121">
        <v>162.9</v>
      </c>
      <c r="G38" s="104"/>
    </row>
    <row r="39" spans="1:7" ht="12.75" customHeight="1">
      <c r="A39" s="44"/>
      <c r="B39" s="54"/>
      <c r="D39" s="44"/>
      <c r="E39" s="65" t="s">
        <v>57</v>
      </c>
      <c r="F39" s="121">
        <v>5858.22</v>
      </c>
      <c r="G39" s="104"/>
    </row>
    <row r="40" spans="1:7" ht="12.75" customHeight="1">
      <c r="A40" s="44"/>
      <c r="B40" s="54"/>
      <c r="D40" s="44"/>
      <c r="E40" s="65" t="s">
        <v>189</v>
      </c>
      <c r="F40" s="95">
        <f>11021.82*3.88/100</f>
        <v>427.646616</v>
      </c>
      <c r="G40" s="104"/>
    </row>
    <row r="41" spans="1:7" ht="12.75" customHeight="1">
      <c r="A41" s="44"/>
      <c r="B41" s="54"/>
      <c r="D41" s="44"/>
      <c r="E41" s="65"/>
      <c r="F41" s="101"/>
      <c r="G41" s="104"/>
    </row>
    <row r="42" spans="1:7" ht="12.75" customHeight="1">
      <c r="A42" s="44"/>
      <c r="B42" s="54"/>
      <c r="C42" s="44" t="s">
        <v>19</v>
      </c>
      <c r="D42" s="44"/>
      <c r="E42" s="65"/>
      <c r="F42" s="114">
        <f>SUM(F43:F56)</f>
        <v>221790.43446000002</v>
      </c>
      <c r="G42" s="104"/>
    </row>
    <row r="43" spans="1:7" ht="12.75" customHeight="1">
      <c r="A43" s="44"/>
      <c r="B43" s="54"/>
      <c r="C43" s="44"/>
      <c r="D43" s="44"/>
      <c r="E43" s="66" t="s">
        <v>46</v>
      </c>
      <c r="F43" s="121">
        <v>508.05</v>
      </c>
      <c r="G43" s="104"/>
    </row>
    <row r="44" spans="1:7" ht="12.75" customHeight="1">
      <c r="A44" s="44"/>
      <c r="B44" s="54"/>
      <c r="C44" s="44"/>
      <c r="D44" s="44"/>
      <c r="E44" s="66" t="s">
        <v>51</v>
      </c>
      <c r="F44" s="121">
        <v>1361.33</v>
      </c>
      <c r="G44" s="104"/>
    </row>
    <row r="45" spans="1:7" ht="12.75" customHeight="1">
      <c r="A45" s="44"/>
      <c r="B45" s="54"/>
      <c r="C45" s="44"/>
      <c r="D45" s="44"/>
      <c r="E45" s="66" t="s">
        <v>178</v>
      </c>
      <c r="F45" s="121">
        <v>528</v>
      </c>
      <c r="G45" s="104"/>
    </row>
    <row r="46" spans="1:7" ht="12.75" customHeight="1">
      <c r="A46" s="44"/>
      <c r="B46" s="54"/>
      <c r="C46" s="44"/>
      <c r="D46" s="44"/>
      <c r="E46" s="66" t="s">
        <v>121</v>
      </c>
      <c r="F46" s="121">
        <v>1847.44</v>
      </c>
      <c r="G46" s="104"/>
    </row>
    <row r="47" spans="1:7" ht="12.75" customHeight="1">
      <c r="A47" s="44"/>
      <c r="B47" s="54"/>
      <c r="C47" s="44"/>
      <c r="D47" s="44"/>
      <c r="E47" s="66" t="s">
        <v>203</v>
      </c>
      <c r="F47" s="121">
        <v>1779.97</v>
      </c>
      <c r="G47" s="104"/>
    </row>
    <row r="48" spans="1:7" ht="12.75" customHeight="1">
      <c r="A48" s="44"/>
      <c r="B48" s="54"/>
      <c r="C48" s="44"/>
      <c r="D48" s="44"/>
      <c r="E48" s="66" t="s">
        <v>239</v>
      </c>
      <c r="F48" s="121">
        <v>672</v>
      </c>
      <c r="G48" s="104"/>
    </row>
    <row r="49" spans="1:7" ht="12.75" customHeight="1">
      <c r="A49" s="44"/>
      <c r="B49" s="54"/>
      <c r="C49" s="44"/>
      <c r="D49" s="44"/>
      <c r="E49" s="66" t="s">
        <v>169</v>
      </c>
      <c r="F49" s="121">
        <v>1060</v>
      </c>
      <c r="G49" s="104"/>
    </row>
    <row r="50" spans="1:7" ht="12.75" customHeight="1">
      <c r="A50" s="44"/>
      <c r="B50" s="54"/>
      <c r="C50" s="44"/>
      <c r="D50" s="44"/>
      <c r="E50" s="66" t="s">
        <v>150</v>
      </c>
      <c r="F50" s="121">
        <v>697.5</v>
      </c>
      <c r="G50" s="104"/>
    </row>
    <row r="51" spans="1:7" ht="12.75" customHeight="1">
      <c r="A51" s="44"/>
      <c r="B51" s="54"/>
      <c r="C51" s="44"/>
      <c r="D51" s="44"/>
      <c r="E51" s="66" t="s">
        <v>232</v>
      </c>
      <c r="F51" s="121">
        <v>428.4</v>
      </c>
      <c r="G51" s="104"/>
    </row>
    <row r="52" spans="1:7" ht="12.75" customHeight="1">
      <c r="A52" s="44"/>
      <c r="B52" s="54"/>
      <c r="C52" s="44"/>
      <c r="D52" s="44"/>
      <c r="E52" s="66" t="s">
        <v>179</v>
      </c>
      <c r="F52" s="121">
        <v>84399.88</v>
      </c>
      <c r="G52" s="104"/>
    </row>
    <row r="53" spans="1:7" ht="12.75" customHeight="1">
      <c r="A53" s="44"/>
      <c r="B53" s="54"/>
      <c r="C53" s="44"/>
      <c r="D53" s="44"/>
      <c r="E53" s="66" t="s">
        <v>180</v>
      </c>
      <c r="F53" s="121">
        <v>79803.24</v>
      </c>
      <c r="G53" s="104"/>
    </row>
    <row r="54" spans="1:7" ht="12.75" customHeight="1">
      <c r="A54" s="44"/>
      <c r="B54" s="54"/>
      <c r="C54" s="44"/>
      <c r="D54" s="44"/>
      <c r="E54" s="66" t="s">
        <v>132</v>
      </c>
      <c r="F54" s="121">
        <v>31134.01</v>
      </c>
      <c r="G54" s="104"/>
    </row>
    <row r="55" spans="1:7" ht="12.75" customHeight="1">
      <c r="A55" s="44"/>
      <c r="B55" s="54"/>
      <c r="C55" s="44"/>
      <c r="D55" s="44"/>
      <c r="E55" s="66" t="s">
        <v>181</v>
      </c>
      <c r="F55" s="121">
        <v>3321.2</v>
      </c>
      <c r="G55" s="104"/>
    </row>
    <row r="56" spans="1:7" ht="12.75" customHeight="1">
      <c r="A56" s="44"/>
      <c r="B56" s="54"/>
      <c r="C56" s="44"/>
      <c r="D56" s="44"/>
      <c r="E56" s="66" t="s">
        <v>189</v>
      </c>
      <c r="F56" s="121">
        <f>(248110.76+124547.78-5405.59)*3.88/100</f>
        <v>14249.41446</v>
      </c>
      <c r="G56" s="104"/>
    </row>
    <row r="57" spans="1:7" ht="12.75" customHeight="1">
      <c r="A57" s="44"/>
      <c r="B57" s="54"/>
      <c r="C57" s="44"/>
      <c r="D57" s="44"/>
      <c r="E57" s="66"/>
      <c r="F57" s="101"/>
      <c r="G57" s="104"/>
    </row>
    <row r="58" spans="1:7" ht="12.75" customHeight="1">
      <c r="A58" s="44"/>
      <c r="B58" s="54"/>
      <c r="C58" s="44" t="s">
        <v>20</v>
      </c>
      <c r="D58" s="44"/>
      <c r="E58" s="65"/>
      <c r="F58" s="116">
        <f>SUM(F59:F61)</f>
        <v>2709.779596</v>
      </c>
      <c r="G58" s="104"/>
    </row>
    <row r="59" spans="1:7" ht="12.75" customHeight="1">
      <c r="A59" s="44"/>
      <c r="B59" s="54"/>
      <c r="C59" s="44"/>
      <c r="D59" s="44"/>
      <c r="E59" s="65" t="s">
        <v>200</v>
      </c>
      <c r="F59" s="99">
        <v>1121.74</v>
      </c>
      <c r="G59" s="104"/>
    </row>
    <row r="60" spans="1:7" ht="12.75" customHeight="1">
      <c r="A60" s="44"/>
      <c r="B60" s="54"/>
      <c r="C60" s="44"/>
      <c r="D60" s="44"/>
      <c r="E60" s="65" t="s">
        <v>122</v>
      </c>
      <c r="F60" s="99">
        <v>1366</v>
      </c>
      <c r="G60" s="104"/>
    </row>
    <row r="61" spans="1:7" ht="12.75" customHeight="1">
      <c r="A61" s="44"/>
      <c r="B61" s="54"/>
      <c r="C61" s="44"/>
      <c r="D61" s="44"/>
      <c r="E61" s="65" t="s">
        <v>189</v>
      </c>
      <c r="F61" s="99">
        <f>5722.67*3.88/100</f>
        <v>222.039596</v>
      </c>
      <c r="G61" s="104"/>
    </row>
    <row r="62" spans="1:7" ht="12.75" customHeight="1">
      <c r="A62" s="44"/>
      <c r="B62" s="54"/>
      <c r="C62" s="44"/>
      <c r="D62" s="44"/>
      <c r="E62" s="65"/>
      <c r="F62" s="99"/>
      <c r="G62" s="104"/>
    </row>
    <row r="63" spans="1:7" ht="12.75" customHeight="1">
      <c r="A63" s="44"/>
      <c r="B63" s="54"/>
      <c r="C63" s="44" t="s">
        <v>21</v>
      </c>
      <c r="D63" s="44"/>
      <c r="E63" s="65"/>
      <c r="F63" s="114">
        <f>SUM(F64:F68)</f>
        <v>32543.259359999996</v>
      </c>
      <c r="G63" s="104"/>
    </row>
    <row r="64" spans="1:7" ht="12.75" customHeight="1">
      <c r="A64" s="44"/>
      <c r="B64" s="54"/>
      <c r="D64" s="67" t="s">
        <v>22</v>
      </c>
      <c r="E64" s="68"/>
      <c r="F64" s="121">
        <f>(11857.42+415.27)+(256108.02+5072.34+17493.67+67700)*3.88/100+1328.51-417.89</f>
        <v>26622.622364</v>
      </c>
      <c r="G64" s="104"/>
    </row>
    <row r="65" spans="1:7" ht="12.75" customHeight="1">
      <c r="A65" s="44"/>
      <c r="B65" s="54"/>
      <c r="D65" s="67" t="s">
        <v>23</v>
      </c>
      <c r="E65" s="68"/>
      <c r="F65" s="121">
        <f>(1159.44+103.82)+(37162.28+1268.09+4373.42+17800)*3.88/100</f>
        <v>3614.6870519999993</v>
      </c>
      <c r="G65" s="104"/>
    </row>
    <row r="66" spans="1:7" ht="12.75" customHeight="1">
      <c r="A66" s="44"/>
      <c r="B66" s="54"/>
      <c r="D66" s="67" t="s">
        <v>24</v>
      </c>
      <c r="E66" s="68"/>
      <c r="F66" s="121">
        <f>1372.4+(10979.21*3.88/100)</f>
        <v>1798.393348</v>
      </c>
      <c r="G66" s="104"/>
    </row>
    <row r="67" spans="1:7" ht="12.75" customHeight="1">
      <c r="A67" s="44"/>
      <c r="B67" s="54"/>
      <c r="D67" s="67" t="s">
        <v>25</v>
      </c>
      <c r="E67" s="68"/>
      <c r="F67" s="121">
        <v>0</v>
      </c>
      <c r="G67" s="104"/>
    </row>
    <row r="68" spans="1:7" ht="12.75" customHeight="1">
      <c r="A68" s="44"/>
      <c r="B68" s="54"/>
      <c r="D68" s="67" t="s">
        <v>126</v>
      </c>
      <c r="E68" s="68"/>
      <c r="F68" s="121">
        <f>255.35+(6500.17*3.88/100)</f>
        <v>507.556596</v>
      </c>
      <c r="G68" s="104"/>
    </row>
    <row r="69" spans="1:7" ht="12.75" customHeight="1">
      <c r="A69" s="44"/>
      <c r="B69" s="54"/>
      <c r="D69" s="67"/>
      <c r="E69" s="68"/>
      <c r="F69" s="121"/>
      <c r="G69" s="104"/>
    </row>
    <row r="70" spans="1:7" ht="12.75" customHeight="1">
      <c r="A70" s="44"/>
      <c r="B70" s="54"/>
      <c r="C70" s="44" t="s">
        <v>27</v>
      </c>
      <c r="D70" s="44"/>
      <c r="E70" s="65"/>
      <c r="F70" s="114">
        <f>SUM(F71:F75)</f>
        <v>9367.7447</v>
      </c>
      <c r="G70" s="104"/>
    </row>
    <row r="71" spans="1:7" ht="12.75" customHeight="1">
      <c r="A71" s="44"/>
      <c r="B71" s="54"/>
      <c r="C71" s="44"/>
      <c r="D71" s="67" t="s">
        <v>28</v>
      </c>
      <c r="E71" s="68"/>
      <c r="F71" s="121">
        <f>115+(2877.79*3.88/100)</f>
        <v>226.658252</v>
      </c>
      <c r="G71" s="104"/>
    </row>
    <row r="72" spans="1:7" ht="12.75" customHeight="1">
      <c r="A72" s="44"/>
      <c r="B72" s="54"/>
      <c r="D72" s="67" t="s">
        <v>29</v>
      </c>
      <c r="E72" s="69"/>
      <c r="F72" s="121">
        <f>9059.22+(2109.96*3.88/100)</f>
        <v>9141.086448</v>
      </c>
      <c r="G72" s="104"/>
    </row>
    <row r="73" spans="1:7" ht="12.75" customHeight="1">
      <c r="A73" s="44"/>
      <c r="B73" s="54"/>
      <c r="D73" s="67" t="s">
        <v>31</v>
      </c>
      <c r="E73" s="68"/>
      <c r="F73" s="121">
        <v>0</v>
      </c>
      <c r="G73" s="104"/>
    </row>
    <row r="74" spans="1:7" ht="12.75" customHeight="1">
      <c r="A74" s="44"/>
      <c r="B74" s="54"/>
      <c r="D74" s="67" t="s">
        <v>32</v>
      </c>
      <c r="E74" s="68"/>
      <c r="F74" s="121"/>
      <c r="G74" s="104"/>
    </row>
    <row r="75" spans="1:7" ht="12.75" customHeight="1">
      <c r="A75" s="44"/>
      <c r="B75" s="54"/>
      <c r="D75" s="67"/>
      <c r="E75" s="69" t="s">
        <v>33</v>
      </c>
      <c r="F75" s="121">
        <v>0</v>
      </c>
      <c r="G75" s="104"/>
    </row>
    <row r="76" spans="1:7" ht="12.75" customHeight="1">
      <c r="A76" s="44"/>
      <c r="B76" s="54"/>
      <c r="C76" s="44" t="s">
        <v>34</v>
      </c>
      <c r="D76" s="44"/>
      <c r="E76" s="65"/>
      <c r="F76" s="95"/>
      <c r="G76" s="104"/>
    </row>
    <row r="77" spans="1:7" ht="12.75" customHeight="1">
      <c r="A77" s="44"/>
      <c r="B77" s="54"/>
      <c r="D77" s="44"/>
      <c r="E77" s="70" t="s">
        <v>35</v>
      </c>
      <c r="F77" s="124">
        <v>0</v>
      </c>
      <c r="G77" s="104"/>
    </row>
    <row r="78" spans="1:7" ht="12.75" customHeight="1">
      <c r="A78" s="44"/>
      <c r="B78" s="54"/>
      <c r="D78" s="44"/>
      <c r="E78" s="70"/>
      <c r="F78" s="124"/>
      <c r="G78" s="104"/>
    </row>
    <row r="79" spans="1:7" ht="12.75" customHeight="1">
      <c r="A79" s="44"/>
      <c r="B79" s="54"/>
      <c r="C79" s="44" t="s">
        <v>36</v>
      </c>
      <c r="D79" s="44"/>
      <c r="E79" s="65"/>
      <c r="F79" s="124">
        <f>121593.7*3.88/100</f>
        <v>4717.8355599999995</v>
      </c>
      <c r="G79" s="104"/>
    </row>
    <row r="80" spans="1:7" ht="12.75" customHeight="1">
      <c r="A80" s="44"/>
      <c r="B80" s="54"/>
      <c r="C80" s="44"/>
      <c r="D80" s="44"/>
      <c r="E80" s="65"/>
      <c r="F80" s="124"/>
      <c r="G80" s="104"/>
    </row>
    <row r="81" spans="1:7" ht="12.75" customHeight="1">
      <c r="A81" s="44"/>
      <c r="B81" s="54"/>
      <c r="C81" s="44" t="s">
        <v>37</v>
      </c>
      <c r="D81" s="44"/>
      <c r="E81" s="65"/>
      <c r="F81" s="124">
        <v>0</v>
      </c>
      <c r="G81" s="104"/>
    </row>
    <row r="82" spans="1:7" ht="12.75" customHeight="1">
      <c r="A82" s="44"/>
      <c r="B82" s="54"/>
      <c r="C82" s="44"/>
      <c r="D82" s="44"/>
      <c r="E82" s="65"/>
      <c r="F82" s="124"/>
      <c r="G82" s="104"/>
    </row>
    <row r="83" spans="1:7" ht="12.75" customHeight="1">
      <c r="A83" s="44"/>
      <c r="B83" s="54"/>
      <c r="C83" s="44" t="s">
        <v>38</v>
      </c>
      <c r="D83" s="44"/>
      <c r="E83" s="65"/>
      <c r="F83" s="124">
        <f>SUM(F84:F88)</f>
        <v>1079.496176</v>
      </c>
      <c r="G83" s="104"/>
    </row>
    <row r="84" spans="1:7" ht="12.75" customHeight="1">
      <c r="A84" s="44"/>
      <c r="B84" s="54"/>
      <c r="C84" s="44"/>
      <c r="D84" s="44"/>
      <c r="E84" s="66" t="s">
        <v>138</v>
      </c>
      <c r="F84" s="101">
        <v>286.47</v>
      </c>
      <c r="G84" s="104"/>
    </row>
    <row r="85" spans="1:7" ht="12.75" customHeight="1">
      <c r="A85" s="44"/>
      <c r="B85" s="54"/>
      <c r="C85" s="44"/>
      <c r="D85" s="44"/>
      <c r="E85" s="66" t="s">
        <v>61</v>
      </c>
      <c r="F85" s="101">
        <v>177.8</v>
      </c>
      <c r="G85" s="104"/>
    </row>
    <row r="86" spans="1:7" ht="12.75" customHeight="1">
      <c r="A86" s="44"/>
      <c r="B86" s="54"/>
      <c r="C86" s="44"/>
      <c r="D86" s="44"/>
      <c r="E86" s="66" t="s">
        <v>240</v>
      </c>
      <c r="F86" s="101">
        <v>136.74</v>
      </c>
      <c r="G86" s="104"/>
    </row>
    <row r="87" spans="1:7" ht="12.75" customHeight="1">
      <c r="A87" s="44"/>
      <c r="B87" s="54"/>
      <c r="C87" s="44"/>
      <c r="D87" s="44"/>
      <c r="E87" s="71" t="s">
        <v>125</v>
      </c>
      <c r="F87" s="121">
        <v>60.59</v>
      </c>
      <c r="G87" s="104"/>
    </row>
    <row r="88" spans="1:7" ht="12.75" customHeight="1">
      <c r="A88" s="44"/>
      <c r="B88" s="54"/>
      <c r="C88" s="44"/>
      <c r="D88" s="44"/>
      <c r="E88" s="66" t="s">
        <v>189</v>
      </c>
      <c r="F88" s="99">
        <f>10770.52*3.88/100</f>
        <v>417.89617599999997</v>
      </c>
      <c r="G88" s="104"/>
    </row>
    <row r="89" spans="1:7" ht="12.75" customHeight="1">
      <c r="A89" s="44"/>
      <c r="B89" s="54"/>
      <c r="C89" s="44"/>
      <c r="D89" s="44"/>
      <c r="E89" s="70"/>
      <c r="F89" s="95" t="s">
        <v>0</v>
      </c>
      <c r="G89" s="104"/>
    </row>
    <row r="90" spans="1:7" ht="15.75" customHeight="1">
      <c r="A90" s="72"/>
      <c r="B90" s="57" t="s">
        <v>39</v>
      </c>
      <c r="C90" s="73"/>
      <c r="D90" s="73"/>
      <c r="E90" s="66"/>
      <c r="F90" s="95" t="s">
        <v>0</v>
      </c>
      <c r="G90" s="120">
        <f>G19+G34-0.01</f>
        <v>24379.277524000045</v>
      </c>
    </row>
    <row r="91" spans="1:7" ht="12.75" customHeight="1">
      <c r="A91" s="44"/>
      <c r="B91" s="74" t="s">
        <v>40</v>
      </c>
      <c r="C91" s="44"/>
      <c r="D91" s="44"/>
      <c r="E91" s="70"/>
      <c r="F91" s="95" t="s">
        <v>0</v>
      </c>
      <c r="G91" s="106"/>
    </row>
    <row r="92" spans="2:7" ht="12" customHeight="1">
      <c r="B92" s="76"/>
      <c r="E92" s="65"/>
      <c r="F92" s="95" t="s">
        <v>0</v>
      </c>
      <c r="G92" s="106"/>
    </row>
    <row r="93" spans="2:7" ht="14.25" customHeight="1">
      <c r="B93" s="57" t="s">
        <v>77</v>
      </c>
      <c r="C93" s="62"/>
      <c r="D93" s="62"/>
      <c r="E93" s="77"/>
      <c r="F93" s="96"/>
      <c r="G93" s="120">
        <f>F95+F96-F97</f>
        <v>214.17600000000002</v>
      </c>
    </row>
    <row r="94" spans="2:7" ht="12">
      <c r="B94" s="76"/>
      <c r="E94" s="65"/>
      <c r="F94" s="95"/>
      <c r="G94" s="106"/>
    </row>
    <row r="95" spans="2:7" ht="14.25">
      <c r="B95" s="54"/>
      <c r="C95" s="44" t="s">
        <v>74</v>
      </c>
      <c r="D95" s="44"/>
      <c r="E95" s="65"/>
      <c r="F95" s="116">
        <v>0</v>
      </c>
      <c r="G95" s="106"/>
    </row>
    <row r="96" spans="2:7" ht="14.25">
      <c r="B96" s="76"/>
      <c r="C96" s="44" t="s">
        <v>75</v>
      </c>
      <c r="E96" s="65"/>
      <c r="F96" s="124">
        <f>11622.59*3.88/100</f>
        <v>450.956492</v>
      </c>
      <c r="G96" s="106"/>
    </row>
    <row r="97" spans="2:7" ht="14.25">
      <c r="B97" s="76"/>
      <c r="C97" s="44" t="s">
        <v>76</v>
      </c>
      <c r="E97" s="65"/>
      <c r="F97" s="151">
        <f>(697+5405.59)*3.88/100</f>
        <v>236.780492</v>
      </c>
      <c r="G97" s="106"/>
    </row>
    <row r="98" spans="2:7" ht="12">
      <c r="B98" s="76"/>
      <c r="E98" s="65"/>
      <c r="F98" s="95"/>
      <c r="G98" s="106"/>
    </row>
    <row r="99" spans="2:7" ht="15.75">
      <c r="B99" s="57" t="s">
        <v>78</v>
      </c>
      <c r="C99" s="62"/>
      <c r="D99" s="62"/>
      <c r="E99" s="77"/>
      <c r="F99" s="128">
        <v>0</v>
      </c>
      <c r="G99" s="120">
        <v>0</v>
      </c>
    </row>
    <row r="100" spans="2:7" ht="12">
      <c r="B100" s="76"/>
      <c r="E100" s="65"/>
      <c r="F100" s="95"/>
      <c r="G100" s="106"/>
    </row>
    <row r="101" spans="2:7" ht="15.75">
      <c r="B101" s="57" t="s">
        <v>73</v>
      </c>
      <c r="C101" s="62"/>
      <c r="D101" s="62"/>
      <c r="E101" s="77"/>
      <c r="F101" s="96"/>
      <c r="G101" s="120">
        <f>F103-F105</f>
        <v>-25886.076756000002</v>
      </c>
    </row>
    <row r="102" spans="2:7" ht="12">
      <c r="B102" s="76"/>
      <c r="E102" s="65"/>
      <c r="F102" s="95"/>
      <c r="G102" s="106"/>
    </row>
    <row r="103" spans="2:7" ht="14.25">
      <c r="B103" s="76"/>
      <c r="C103" s="44" t="s">
        <v>79</v>
      </c>
      <c r="E103" s="65"/>
      <c r="F103" s="124">
        <f>SUM(F104:F104)</f>
        <v>642.51</v>
      </c>
      <c r="G103" s="106"/>
    </row>
    <row r="104" spans="2:7" ht="12">
      <c r="B104" s="76"/>
      <c r="C104" s="44"/>
      <c r="D104" s="152" t="s">
        <v>249</v>
      </c>
      <c r="E104" s="153"/>
      <c r="F104" s="95">
        <v>642.51</v>
      </c>
      <c r="G104" s="106"/>
    </row>
    <row r="105" spans="2:7" ht="14.25">
      <c r="B105" s="76"/>
      <c r="C105" s="44" t="s">
        <v>80</v>
      </c>
      <c r="E105" s="65"/>
      <c r="F105" s="124">
        <f>25944.71+(15048.37*3.88/100)</f>
        <v>26528.586756</v>
      </c>
      <c r="G105" s="106"/>
    </row>
    <row r="106" spans="2:7" ht="12">
      <c r="B106" s="76"/>
      <c r="E106" s="65"/>
      <c r="F106" s="95"/>
      <c r="G106" s="106"/>
    </row>
    <row r="107" spans="2:7" ht="15.75">
      <c r="B107" s="79" t="s">
        <v>81</v>
      </c>
      <c r="C107" s="63"/>
      <c r="D107" s="63"/>
      <c r="E107" s="77"/>
      <c r="F107" s="124">
        <f>111976.37*3.88/100</f>
        <v>4344.683156</v>
      </c>
      <c r="G107" s="120">
        <f>F107</f>
        <v>4344.683156</v>
      </c>
    </row>
    <row r="108" spans="2:7" ht="12">
      <c r="B108" s="76"/>
      <c r="E108" s="65"/>
      <c r="F108" s="95"/>
      <c r="G108" s="106"/>
    </row>
    <row r="109" spans="2:7" ht="15.75">
      <c r="B109" s="57"/>
      <c r="E109" s="80" t="s">
        <v>82</v>
      </c>
      <c r="F109" s="95"/>
      <c r="G109" s="125">
        <f>G90+G93-G99+G101-G107</f>
        <v>-5637.306387999958</v>
      </c>
    </row>
    <row r="110" spans="2:7" ht="12">
      <c r="B110" s="81"/>
      <c r="C110" s="82"/>
      <c r="D110" s="82"/>
      <c r="E110" s="83"/>
      <c r="F110" s="107"/>
      <c r="G110" s="108"/>
    </row>
  </sheetData>
  <mergeCells count="5">
    <mergeCell ref="D104:E104"/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76">
      <selection activeCell="F79" sqref="F79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101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F20+F23+F24+F25+F27</f>
        <v>88625.60327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13284.08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116</v>
      </c>
      <c r="F21" s="110">
        <v>13284.08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124">
        <v>0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124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124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116">
        <f>SUM(F28:F30)</f>
        <v>75341.52327</v>
      </c>
      <c r="G27" s="104"/>
    </row>
    <row r="28" spans="1:7" ht="12.75" customHeight="1">
      <c r="A28" s="44"/>
      <c r="B28" s="54"/>
      <c r="C28" s="44"/>
      <c r="D28" s="60" t="s">
        <v>30</v>
      </c>
      <c r="E28" s="45" t="s">
        <v>204</v>
      </c>
      <c r="F28" s="110">
        <v>72248.07</v>
      </c>
      <c r="G28" s="104"/>
    </row>
    <row r="29" spans="1:7" ht="12.75" customHeight="1">
      <c r="A29" s="44"/>
      <c r="B29" s="54"/>
      <c r="C29" s="44"/>
      <c r="D29" s="60" t="s">
        <v>30</v>
      </c>
      <c r="E29" s="45" t="s">
        <v>54</v>
      </c>
      <c r="F29" s="110">
        <v>64.5</v>
      </c>
      <c r="G29" s="105"/>
    </row>
    <row r="30" spans="1:7" ht="12.75" customHeight="1">
      <c r="A30" s="44"/>
      <c r="B30" s="54"/>
      <c r="C30" s="44"/>
      <c r="D30" s="60" t="s">
        <v>30</v>
      </c>
      <c r="E30" s="45" t="s">
        <v>188</v>
      </c>
      <c r="F30" s="110">
        <f>195416.34*1.55/100</f>
        <v>3028.95327</v>
      </c>
      <c r="G30" s="105"/>
    </row>
    <row r="31" spans="1:7" ht="12.75" customHeight="1">
      <c r="A31" s="44"/>
      <c r="B31" s="54"/>
      <c r="C31" s="44"/>
      <c r="D31" s="44"/>
      <c r="E31" s="44"/>
      <c r="F31" s="95"/>
      <c r="G31" s="104"/>
    </row>
    <row r="32" spans="1:7" s="64" customFormat="1" ht="15" customHeight="1">
      <c r="A32" s="62"/>
      <c r="B32" s="57" t="s">
        <v>16</v>
      </c>
      <c r="C32" s="62"/>
      <c r="D32" s="62"/>
      <c r="E32" s="63"/>
      <c r="F32" s="96"/>
      <c r="G32" s="115">
        <f>-(F34+F37+F45+F48+F55+F63+F65+F67+F69)</f>
        <v>-114669.122455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04"/>
    </row>
    <row r="34" spans="1:7" ht="12.75" customHeight="1">
      <c r="A34" s="44"/>
      <c r="B34" s="54"/>
      <c r="D34" s="44" t="s">
        <v>18</v>
      </c>
      <c r="E34" s="65"/>
      <c r="F34" s="114">
        <f>SUM(F35:F35)</f>
        <v>170.83821</v>
      </c>
      <c r="G34" s="104"/>
    </row>
    <row r="35" spans="1:7" ht="12.75" customHeight="1">
      <c r="A35" s="44"/>
      <c r="B35" s="54"/>
      <c r="D35" s="44"/>
      <c r="E35" s="65" t="s">
        <v>189</v>
      </c>
      <c r="F35" s="95">
        <f>11021.82*1.55/100</f>
        <v>170.83821</v>
      </c>
      <c r="G35" s="104"/>
    </row>
    <row r="36" spans="1:7" ht="12.75" customHeight="1">
      <c r="A36" s="44"/>
      <c r="B36" s="54"/>
      <c r="D36" s="44"/>
      <c r="E36" s="65"/>
      <c r="F36" s="101"/>
      <c r="G36" s="104"/>
    </row>
    <row r="37" spans="1:7" ht="12.75" customHeight="1">
      <c r="A37" s="44"/>
      <c r="B37" s="54"/>
      <c r="C37" s="44" t="s">
        <v>19</v>
      </c>
      <c r="D37" s="44"/>
      <c r="E37" s="65"/>
      <c r="F37" s="114">
        <f>SUM(F38:F43)</f>
        <v>72214.590725</v>
      </c>
      <c r="G37" s="104"/>
    </row>
    <row r="38" spans="1:7" ht="12.75" customHeight="1">
      <c r="A38" s="44"/>
      <c r="B38" s="54"/>
      <c r="C38" s="44"/>
      <c r="D38" s="44"/>
      <c r="E38" s="65" t="s">
        <v>241</v>
      </c>
      <c r="F38" s="97">
        <v>112.8</v>
      </c>
      <c r="G38" s="104"/>
    </row>
    <row r="39" spans="1:7" ht="12.75" customHeight="1">
      <c r="A39" s="44"/>
      <c r="B39" s="54"/>
      <c r="C39" s="44"/>
      <c r="D39" s="44"/>
      <c r="E39" s="65" t="s">
        <v>242</v>
      </c>
      <c r="F39" s="97">
        <v>11790</v>
      </c>
      <c r="G39" s="104"/>
    </row>
    <row r="40" spans="1:7" ht="12.75" customHeight="1">
      <c r="A40" s="44"/>
      <c r="B40" s="54"/>
      <c r="C40" s="44"/>
      <c r="D40" s="44"/>
      <c r="E40" s="65" t="s">
        <v>258</v>
      </c>
      <c r="F40" s="97">
        <v>158.48</v>
      </c>
      <c r="G40" s="104"/>
    </row>
    <row r="41" spans="1:7" ht="12.75" customHeight="1">
      <c r="A41" s="44"/>
      <c r="B41" s="54"/>
      <c r="C41" s="44"/>
      <c r="D41" s="44"/>
      <c r="E41" s="65" t="s">
        <v>174</v>
      </c>
      <c r="F41" s="97">
        <v>49062.53</v>
      </c>
      <c r="G41" s="104"/>
    </row>
    <row r="42" spans="1:7" ht="12.75" customHeight="1">
      <c r="A42" s="44"/>
      <c r="B42" s="54"/>
      <c r="C42" s="44"/>
      <c r="D42" s="44"/>
      <c r="E42" s="66" t="s">
        <v>181</v>
      </c>
      <c r="F42" s="121">
        <v>5398.36</v>
      </c>
      <c r="G42" s="104"/>
    </row>
    <row r="43" spans="1:7" ht="12.75" customHeight="1">
      <c r="A43" s="44"/>
      <c r="B43" s="54"/>
      <c r="C43" s="44"/>
      <c r="D43" s="44"/>
      <c r="E43" s="66" t="s">
        <v>190</v>
      </c>
      <c r="F43" s="121">
        <f>(248110.76+124547.78-5405.59)*1.55/100</f>
        <v>5692.420725</v>
      </c>
      <c r="G43" s="104"/>
    </row>
    <row r="44" spans="1:7" ht="12.75" customHeight="1">
      <c r="A44" s="44"/>
      <c r="B44" s="54"/>
      <c r="C44" s="44"/>
      <c r="D44" s="44"/>
      <c r="E44" s="66"/>
      <c r="F44" s="101"/>
      <c r="G44" s="104"/>
    </row>
    <row r="45" spans="1:7" ht="12.75" customHeight="1">
      <c r="A45" s="44"/>
      <c r="B45" s="54"/>
      <c r="C45" s="44" t="s">
        <v>20</v>
      </c>
      <c r="D45" s="44"/>
      <c r="E45" s="65"/>
      <c r="F45" s="116">
        <f>SUM(F46)</f>
        <v>88.70138500000002</v>
      </c>
      <c r="G45" s="104"/>
    </row>
    <row r="46" spans="1:7" ht="12.75" customHeight="1">
      <c r="A46" s="44"/>
      <c r="B46" s="54"/>
      <c r="C46" s="44"/>
      <c r="D46" s="44"/>
      <c r="E46" s="65" t="s">
        <v>189</v>
      </c>
      <c r="F46" s="99">
        <f>5722.67*1.55/100</f>
        <v>88.70138500000002</v>
      </c>
      <c r="G46" s="104"/>
    </row>
    <row r="47" spans="1:7" ht="12.75" customHeight="1">
      <c r="A47" s="44"/>
      <c r="B47" s="54"/>
      <c r="C47" s="44"/>
      <c r="D47" s="44"/>
      <c r="E47" s="65"/>
      <c r="F47" s="99"/>
      <c r="G47" s="104"/>
    </row>
    <row r="48" spans="1:7" ht="12.75" customHeight="1">
      <c r="A48" s="44"/>
      <c r="B48" s="54"/>
      <c r="C48" s="44" t="s">
        <v>21</v>
      </c>
      <c r="D48" s="44"/>
      <c r="E48" s="65"/>
      <c r="F48" s="114">
        <f>SUM(F49:F53)</f>
        <v>40066.0366</v>
      </c>
      <c r="G48" s="104"/>
    </row>
    <row r="49" spans="1:7" ht="12.75" customHeight="1">
      <c r="A49" s="44"/>
      <c r="B49" s="54"/>
      <c r="D49" s="67" t="s">
        <v>22</v>
      </c>
      <c r="E49" s="68"/>
      <c r="F49" s="121">
        <f>(18837.18+281.8+2575.99)+(256108.02+5072.34+17493.67+67700)*1.55/100+531.34-158.47</f>
        <v>27436.637465</v>
      </c>
      <c r="G49" s="104"/>
    </row>
    <row r="50" spans="1:7" ht="12.75" customHeight="1">
      <c r="A50" s="44"/>
      <c r="B50" s="54"/>
      <c r="D50" s="67" t="s">
        <v>23</v>
      </c>
      <c r="E50" s="68"/>
      <c r="F50" s="121">
        <f>(4733.84+70.45+103.82)+(37162.28+1268.09+4373.42+17800)*1.55/100</f>
        <v>5847.468744999999</v>
      </c>
      <c r="G50" s="104"/>
    </row>
    <row r="51" spans="1:7" ht="12.75" customHeight="1">
      <c r="A51" s="44"/>
      <c r="B51" s="54"/>
      <c r="D51" s="67" t="s">
        <v>24</v>
      </c>
      <c r="E51" s="68"/>
      <c r="F51" s="121">
        <f>5489.6+(10979.21*1.55/100)</f>
        <v>5659.777755</v>
      </c>
      <c r="G51" s="104"/>
    </row>
    <row r="52" spans="1:7" ht="12.75" customHeight="1">
      <c r="A52" s="44"/>
      <c r="B52" s="54"/>
      <c r="D52" s="67" t="s">
        <v>25</v>
      </c>
      <c r="E52" s="68"/>
      <c r="F52" s="121">
        <v>0</v>
      </c>
      <c r="G52" s="104"/>
    </row>
    <row r="53" spans="1:7" ht="12.75" customHeight="1">
      <c r="A53" s="44"/>
      <c r="B53" s="54"/>
      <c r="D53" s="67" t="s">
        <v>126</v>
      </c>
      <c r="E53" s="68"/>
      <c r="F53" s="121">
        <f>1021.4+(6500.17*1.55/100)</f>
        <v>1122.152635</v>
      </c>
      <c r="G53" s="104"/>
    </row>
    <row r="54" spans="1:7" ht="12.75" customHeight="1">
      <c r="A54" s="44"/>
      <c r="B54" s="54"/>
      <c r="D54" s="67"/>
      <c r="E54" s="68"/>
      <c r="F54" s="121"/>
      <c r="G54" s="104"/>
    </row>
    <row r="55" spans="1:7" ht="12.75" customHeight="1">
      <c r="A55" s="44"/>
      <c r="B55" s="54"/>
      <c r="C55" s="44" t="s">
        <v>27</v>
      </c>
      <c r="D55" s="44"/>
      <c r="E55" s="65"/>
      <c r="F55" s="114">
        <f>SUM(F56:F60)</f>
        <v>77.310125</v>
      </c>
      <c r="G55" s="104"/>
    </row>
    <row r="56" spans="1:7" ht="12.75" customHeight="1">
      <c r="A56" s="44"/>
      <c r="B56" s="54"/>
      <c r="C56" s="44"/>
      <c r="D56" s="67" t="s">
        <v>28</v>
      </c>
      <c r="E56" s="68"/>
      <c r="F56" s="121">
        <f>2877.79*1.55/100</f>
        <v>44.605745</v>
      </c>
      <c r="G56" s="104"/>
    </row>
    <row r="57" spans="1:7" ht="12.75" customHeight="1">
      <c r="A57" s="44"/>
      <c r="B57" s="54"/>
      <c r="D57" s="67" t="s">
        <v>29</v>
      </c>
      <c r="E57" s="69"/>
      <c r="F57" s="121">
        <f>2109.96*1.55/100</f>
        <v>32.70438</v>
      </c>
      <c r="G57" s="104"/>
    </row>
    <row r="58" spans="1:7" ht="12.75" customHeight="1">
      <c r="A58" s="44"/>
      <c r="B58" s="54"/>
      <c r="D58" s="67" t="s">
        <v>31</v>
      </c>
      <c r="E58" s="68"/>
      <c r="F58" s="121">
        <v>0</v>
      </c>
      <c r="G58" s="104"/>
    </row>
    <row r="59" spans="1:7" ht="12.75" customHeight="1">
      <c r="A59" s="44"/>
      <c r="B59" s="54"/>
      <c r="D59" s="67" t="s">
        <v>32</v>
      </c>
      <c r="E59" s="68"/>
      <c r="F59" s="121"/>
      <c r="G59" s="104"/>
    </row>
    <row r="60" spans="1:7" ht="12.75" customHeight="1">
      <c r="A60" s="44"/>
      <c r="B60" s="54"/>
      <c r="D60" s="67"/>
      <c r="E60" s="69" t="s">
        <v>33</v>
      </c>
      <c r="F60" s="121">
        <v>0</v>
      </c>
      <c r="G60" s="104"/>
    </row>
    <row r="61" spans="1:7" ht="12.75" customHeight="1">
      <c r="A61" s="44"/>
      <c r="B61" s="54"/>
      <c r="D61" s="67"/>
      <c r="E61" s="69"/>
      <c r="F61" s="101"/>
      <c r="G61" s="104"/>
    </row>
    <row r="62" spans="1:7" ht="12.75" customHeight="1">
      <c r="A62" s="44"/>
      <c r="B62" s="54"/>
      <c r="C62" s="44" t="s">
        <v>34</v>
      </c>
      <c r="D62" s="44"/>
      <c r="E62" s="65"/>
      <c r="F62" s="95"/>
      <c r="G62" s="104"/>
    </row>
    <row r="63" spans="1:7" ht="12.75" customHeight="1">
      <c r="A63" s="44"/>
      <c r="B63" s="54"/>
      <c r="D63" s="44"/>
      <c r="E63" s="70" t="s">
        <v>35</v>
      </c>
      <c r="F63" s="124">
        <v>0</v>
      </c>
      <c r="G63" s="104"/>
    </row>
    <row r="64" spans="1:7" ht="12.75" customHeight="1">
      <c r="A64" s="44"/>
      <c r="B64" s="54"/>
      <c r="D64" s="44"/>
      <c r="E64" s="70"/>
      <c r="F64" s="124"/>
      <c r="G64" s="104"/>
    </row>
    <row r="65" spans="1:7" ht="12.75" customHeight="1">
      <c r="A65" s="44"/>
      <c r="B65" s="54"/>
      <c r="C65" s="44" t="s">
        <v>36</v>
      </c>
      <c r="D65" s="44"/>
      <c r="E65" s="65"/>
      <c r="F65" s="124">
        <f>121593.7*1.55/100</f>
        <v>1884.7023500000003</v>
      </c>
      <c r="G65" s="104"/>
    </row>
    <row r="66" spans="1:7" ht="12.75" customHeight="1">
      <c r="A66" s="44"/>
      <c r="B66" s="54"/>
      <c r="C66" s="44"/>
      <c r="D66" s="44"/>
      <c r="E66" s="65"/>
      <c r="F66" s="124"/>
      <c r="G66" s="104"/>
    </row>
    <row r="67" spans="1:7" ht="12.75" customHeight="1">
      <c r="A67" s="44"/>
      <c r="B67" s="54"/>
      <c r="C67" s="44" t="s">
        <v>37</v>
      </c>
      <c r="D67" s="44"/>
      <c r="E67" s="65"/>
      <c r="F67" s="124">
        <v>0</v>
      </c>
      <c r="G67" s="104"/>
    </row>
    <row r="68" spans="1:7" ht="12.75" customHeight="1">
      <c r="A68" s="44"/>
      <c r="B68" s="54"/>
      <c r="C68" s="44"/>
      <c r="D68" s="44"/>
      <c r="E68" s="65"/>
      <c r="F68" s="124"/>
      <c r="G68" s="104"/>
    </row>
    <row r="69" spans="1:7" ht="12.75" customHeight="1">
      <c r="A69" s="44"/>
      <c r="B69" s="54"/>
      <c r="C69" s="44" t="s">
        <v>38</v>
      </c>
      <c r="D69" s="44"/>
      <c r="E69" s="65"/>
      <c r="F69" s="124">
        <f>SUM(F70:F70)</f>
        <v>166.94306</v>
      </c>
      <c r="G69" s="104"/>
    </row>
    <row r="70" spans="1:7" ht="12.75" customHeight="1">
      <c r="A70" s="44"/>
      <c r="B70" s="54"/>
      <c r="C70" s="44"/>
      <c r="D70" s="44"/>
      <c r="E70" s="66" t="s">
        <v>190</v>
      </c>
      <c r="F70" s="99">
        <f>10770.52*1.55/100</f>
        <v>166.94306</v>
      </c>
      <c r="G70" s="104"/>
    </row>
    <row r="71" spans="1:7" ht="12.75" customHeight="1">
      <c r="A71" s="44"/>
      <c r="B71" s="54"/>
      <c r="C71" s="44"/>
      <c r="D71" s="44"/>
      <c r="E71" s="70"/>
      <c r="F71" s="95" t="s">
        <v>0</v>
      </c>
      <c r="G71" s="104"/>
    </row>
    <row r="72" spans="1:7" ht="15" customHeight="1">
      <c r="A72" s="72"/>
      <c r="B72" s="57" t="s">
        <v>39</v>
      </c>
      <c r="C72" s="73"/>
      <c r="D72" s="73"/>
      <c r="E72" s="66"/>
      <c r="F72" s="95" t="s">
        <v>0</v>
      </c>
      <c r="G72" s="120">
        <f>G19+G32</f>
        <v>-26043.519184999997</v>
      </c>
    </row>
    <row r="73" spans="1:7" ht="12.75" customHeight="1">
      <c r="A73" s="44"/>
      <c r="B73" s="74" t="s">
        <v>40</v>
      </c>
      <c r="C73" s="44"/>
      <c r="D73" s="44"/>
      <c r="E73" s="70"/>
      <c r="F73" s="95" t="s">
        <v>0</v>
      </c>
      <c r="G73" s="106"/>
    </row>
    <row r="74" spans="2:7" ht="12" customHeight="1">
      <c r="B74" s="76"/>
      <c r="E74" s="65"/>
      <c r="F74" s="95" t="s">
        <v>0</v>
      </c>
      <c r="G74" s="106"/>
    </row>
    <row r="75" spans="2:7" ht="14.25" customHeight="1">
      <c r="B75" s="57" t="s">
        <v>77</v>
      </c>
      <c r="C75" s="62"/>
      <c r="D75" s="62"/>
      <c r="E75" s="77"/>
      <c r="F75" s="96"/>
      <c r="G75" s="120">
        <f>F77+F78-F79</f>
        <v>80.33000000000001</v>
      </c>
    </row>
    <row r="76" spans="2:7" ht="12">
      <c r="B76" s="76"/>
      <c r="E76" s="65"/>
      <c r="F76" s="95"/>
      <c r="G76" s="106"/>
    </row>
    <row r="77" spans="2:7" ht="14.25">
      <c r="B77" s="54"/>
      <c r="C77" s="44" t="s">
        <v>74</v>
      </c>
      <c r="D77" s="44"/>
      <c r="E77" s="65"/>
      <c r="F77" s="116">
        <v>0</v>
      </c>
      <c r="G77" s="106"/>
    </row>
    <row r="78" spans="2:7" ht="14.25">
      <c r="B78" s="76"/>
      <c r="C78" s="44" t="s">
        <v>75</v>
      </c>
      <c r="E78" s="65"/>
      <c r="F78" s="124">
        <f>101.86+(11622.59*1.55/100)</f>
        <v>282.010145</v>
      </c>
      <c r="G78" s="106"/>
    </row>
    <row r="79" spans="2:7" ht="14.25">
      <c r="B79" s="76"/>
      <c r="C79" s="44" t="s">
        <v>76</v>
      </c>
      <c r="E79" s="65"/>
      <c r="F79" s="151">
        <f>(107.09+(697+5405.59)*1.55/100)</f>
        <v>201.680145</v>
      </c>
      <c r="G79" s="106"/>
    </row>
    <row r="80" spans="2:7" ht="12">
      <c r="B80" s="76"/>
      <c r="E80" s="65"/>
      <c r="F80" s="95"/>
      <c r="G80" s="106"/>
    </row>
    <row r="81" spans="2:7" ht="15.75">
      <c r="B81" s="57" t="s">
        <v>78</v>
      </c>
      <c r="C81" s="62"/>
      <c r="D81" s="62"/>
      <c r="E81" s="77"/>
      <c r="F81" s="128">
        <v>0</v>
      </c>
      <c r="G81" s="120">
        <v>0</v>
      </c>
    </row>
    <row r="82" spans="2:7" ht="12">
      <c r="B82" s="76"/>
      <c r="E82" s="65"/>
      <c r="F82" s="95"/>
      <c r="G82" s="106"/>
    </row>
    <row r="83" spans="2:7" ht="15.75">
      <c r="B83" s="57" t="s">
        <v>73</v>
      </c>
      <c r="C83" s="62"/>
      <c r="D83" s="62"/>
      <c r="E83" s="77"/>
      <c r="F83" s="96"/>
      <c r="G83" s="120">
        <f>F85-F86</f>
        <v>-233.24973500000004</v>
      </c>
    </row>
    <row r="84" spans="2:7" ht="12">
      <c r="B84" s="76"/>
      <c r="E84" s="65"/>
      <c r="F84" s="95"/>
      <c r="G84" s="106"/>
    </row>
    <row r="85" spans="2:7" ht="14.25">
      <c r="B85" s="76"/>
      <c r="C85" s="44" t="s">
        <v>79</v>
      </c>
      <c r="E85" s="65"/>
      <c r="F85" s="124">
        <v>0</v>
      </c>
      <c r="G85" s="106"/>
    </row>
    <row r="86" spans="2:7" ht="14.25">
      <c r="B86" s="76"/>
      <c r="C86" s="44" t="s">
        <v>80</v>
      </c>
      <c r="E86" s="65"/>
      <c r="F86" s="124">
        <f>15048.37*1.55/100</f>
        <v>233.24973500000004</v>
      </c>
      <c r="G86" s="106"/>
    </row>
    <row r="87" spans="2:7" ht="12">
      <c r="B87" s="76"/>
      <c r="E87" s="65"/>
      <c r="F87" s="95"/>
      <c r="G87" s="106"/>
    </row>
    <row r="88" spans="2:7" ht="15.75">
      <c r="B88" s="79" t="s">
        <v>81</v>
      </c>
      <c r="C88" s="63"/>
      <c r="D88" s="63"/>
      <c r="E88" s="77"/>
      <c r="F88" s="124">
        <f>111976.37*1.55/100</f>
        <v>1735.633735</v>
      </c>
      <c r="G88" s="120">
        <f>F88</f>
        <v>1735.633735</v>
      </c>
    </row>
    <row r="89" spans="2:7" ht="12">
      <c r="B89" s="76"/>
      <c r="E89" s="65"/>
      <c r="F89" s="95"/>
      <c r="G89" s="106"/>
    </row>
    <row r="90" spans="2:7" ht="15.75">
      <c r="B90" s="57"/>
      <c r="E90" s="80" t="s">
        <v>82</v>
      </c>
      <c r="F90" s="95"/>
      <c r="G90" s="125">
        <f>G72+G75-G81+G83-G88</f>
        <v>-27932.072654999996</v>
      </c>
    </row>
    <row r="91" spans="2:7" ht="12">
      <c r="B91" s="81"/>
      <c r="C91" s="82"/>
      <c r="D91" s="82"/>
      <c r="E91" s="83"/>
      <c r="F91" s="107"/>
      <c r="G91" s="108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60">
      <selection activeCell="F84" sqref="F84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144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F20+F23+F24+F25+F27-0.01</f>
        <v>275904.635626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219946.56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117</v>
      </c>
      <c r="F21" s="110">
        <v>219946.56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124">
        <v>0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124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124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116">
        <f>SUM(F28:F31)</f>
        <v>55958.085626</v>
      </c>
      <c r="G27" s="104"/>
    </row>
    <row r="28" spans="1:7" ht="12.75" customHeight="1">
      <c r="A28" s="44"/>
      <c r="B28" s="54"/>
      <c r="C28" s="44"/>
      <c r="D28" s="44" t="s">
        <v>30</v>
      </c>
      <c r="E28" s="45" t="s">
        <v>245</v>
      </c>
      <c r="F28" s="110">
        <v>44529.47</v>
      </c>
      <c r="G28" s="104"/>
    </row>
    <row r="29" spans="1:7" ht="12.75" customHeight="1">
      <c r="A29" s="44"/>
      <c r="B29" s="54"/>
      <c r="C29" s="44"/>
      <c r="D29" s="44" t="s">
        <v>30</v>
      </c>
      <c r="E29" s="45" t="s">
        <v>246</v>
      </c>
      <c r="F29" s="110">
        <v>3739.2</v>
      </c>
      <c r="G29" s="104"/>
    </row>
    <row r="30" spans="1:7" ht="12.75" customHeight="1">
      <c r="A30" s="44"/>
      <c r="B30" s="54"/>
      <c r="C30" s="44"/>
      <c r="D30" s="60" t="s">
        <v>30</v>
      </c>
      <c r="E30" s="45" t="s">
        <v>54</v>
      </c>
      <c r="F30" s="110">
        <f>70.95+16.77</f>
        <v>87.72</v>
      </c>
      <c r="G30" s="105"/>
    </row>
    <row r="31" spans="1:7" ht="12.75" customHeight="1">
      <c r="A31" s="44"/>
      <c r="B31" s="54"/>
      <c r="C31" s="44"/>
      <c r="D31" s="60" t="s">
        <v>30</v>
      </c>
      <c r="E31" s="45" t="s">
        <v>188</v>
      </c>
      <c r="F31" s="110">
        <f>195416.34*3.89/100</f>
        <v>7601.695626000001</v>
      </c>
      <c r="G31" s="105"/>
    </row>
    <row r="32" spans="1:7" ht="12.75" customHeight="1">
      <c r="A32" s="44"/>
      <c r="B32" s="54"/>
      <c r="C32" s="44"/>
      <c r="D32" s="44"/>
      <c r="E32" s="44"/>
      <c r="F32" s="95"/>
      <c r="G32" s="104"/>
    </row>
    <row r="33" spans="1:7" s="64" customFormat="1" ht="14.25" customHeight="1">
      <c r="A33" s="62"/>
      <c r="B33" s="57" t="s">
        <v>16</v>
      </c>
      <c r="C33" s="62"/>
      <c r="D33" s="62"/>
      <c r="E33" s="63"/>
      <c r="F33" s="96"/>
      <c r="G33" s="115">
        <f>-(F35+F38+F54+F58+F65+F73+F75+F77+F79)</f>
        <v>-274271.827129</v>
      </c>
    </row>
    <row r="34" spans="1:7" ht="12.75" customHeight="1">
      <c r="A34" s="44"/>
      <c r="B34" s="54"/>
      <c r="C34" s="44" t="s">
        <v>17</v>
      </c>
      <c r="D34" s="44"/>
      <c r="F34" s="95" t="s">
        <v>0</v>
      </c>
      <c r="G34" s="104"/>
    </row>
    <row r="35" spans="1:7" ht="12.75" customHeight="1">
      <c r="A35" s="44"/>
      <c r="B35" s="54"/>
      <c r="D35" s="44" t="s">
        <v>18</v>
      </c>
      <c r="E35" s="65"/>
      <c r="F35" s="114">
        <f>SUM(F36:F36)</f>
        <v>428.748798</v>
      </c>
      <c r="G35" s="104"/>
    </row>
    <row r="36" spans="1:7" ht="12.75" customHeight="1">
      <c r="A36" s="44"/>
      <c r="B36" s="54"/>
      <c r="D36" s="44"/>
      <c r="E36" s="65" t="s">
        <v>189</v>
      </c>
      <c r="F36" s="95">
        <f>11021.82*3.89/100</f>
        <v>428.748798</v>
      </c>
      <c r="G36" s="104"/>
    </row>
    <row r="37" spans="1:7" ht="12.75" customHeight="1">
      <c r="A37" s="44"/>
      <c r="B37" s="54"/>
      <c r="D37" s="44"/>
      <c r="E37" s="65"/>
      <c r="F37" s="101"/>
      <c r="G37" s="104"/>
    </row>
    <row r="38" spans="1:7" ht="12.75" customHeight="1">
      <c r="A38" s="44"/>
      <c r="B38" s="54"/>
      <c r="C38" s="44" t="s">
        <v>19</v>
      </c>
      <c r="D38" s="44"/>
      <c r="E38" s="65"/>
      <c r="F38" s="114">
        <f>SUM(F39:F52)</f>
        <v>244869.949755</v>
      </c>
      <c r="G38" s="104"/>
    </row>
    <row r="39" spans="1:7" ht="12.75" customHeight="1">
      <c r="A39" s="44"/>
      <c r="B39" s="54"/>
      <c r="C39" s="44"/>
      <c r="D39" s="44"/>
      <c r="E39" s="66" t="s">
        <v>46</v>
      </c>
      <c r="F39" s="121">
        <v>2794.24</v>
      </c>
      <c r="G39" s="104"/>
    </row>
    <row r="40" spans="1:7" ht="12.75" customHeight="1">
      <c r="A40" s="44"/>
      <c r="B40" s="54"/>
      <c r="C40" s="44"/>
      <c r="D40" s="44"/>
      <c r="E40" s="66" t="s">
        <v>45</v>
      </c>
      <c r="F40" s="121">
        <v>1858.48</v>
      </c>
      <c r="G40" s="104"/>
    </row>
    <row r="41" spans="1:7" ht="12.75" customHeight="1">
      <c r="A41" s="44"/>
      <c r="B41" s="54"/>
      <c r="C41" s="44"/>
      <c r="D41" s="44"/>
      <c r="E41" s="66" t="s">
        <v>51</v>
      </c>
      <c r="F41" s="121">
        <v>1054.61</v>
      </c>
      <c r="G41" s="104"/>
    </row>
    <row r="42" spans="1:7" ht="12.75" customHeight="1">
      <c r="A42" s="44"/>
      <c r="B42" s="54"/>
      <c r="C42" s="44"/>
      <c r="D42" s="44"/>
      <c r="E42" s="66" t="s">
        <v>50</v>
      </c>
      <c r="F42" s="121">
        <v>462.78</v>
      </c>
      <c r="G42" s="104"/>
    </row>
    <row r="43" spans="1:7" ht="12.75" customHeight="1">
      <c r="A43" s="44"/>
      <c r="B43" s="54"/>
      <c r="C43" s="44"/>
      <c r="D43" s="44"/>
      <c r="E43" s="66" t="s">
        <v>247</v>
      </c>
      <c r="F43" s="121">
        <v>234</v>
      </c>
      <c r="G43" s="104"/>
    </row>
    <row r="44" spans="1:7" ht="12.75" customHeight="1">
      <c r="A44" s="44"/>
      <c r="B44" s="54"/>
      <c r="C44" s="44"/>
      <c r="D44" s="44"/>
      <c r="E44" s="66" t="s">
        <v>121</v>
      </c>
      <c r="F44" s="121">
        <v>695.13</v>
      </c>
      <c r="G44" s="104"/>
    </row>
    <row r="45" spans="1:7" ht="12.75" customHeight="1">
      <c r="A45" s="44"/>
      <c r="B45" s="54"/>
      <c r="C45" s="44"/>
      <c r="D45" s="44"/>
      <c r="E45" s="66" t="s">
        <v>239</v>
      </c>
      <c r="F45" s="121">
        <v>336</v>
      </c>
      <c r="G45" s="104"/>
    </row>
    <row r="46" spans="1:7" ht="12.75" customHeight="1">
      <c r="A46" s="44"/>
      <c r="B46" s="54"/>
      <c r="C46" s="44"/>
      <c r="D46" s="44"/>
      <c r="E46" s="66" t="s">
        <v>258</v>
      </c>
      <c r="F46" s="121">
        <v>14.19</v>
      </c>
      <c r="G46" s="104"/>
    </row>
    <row r="47" spans="1:7" ht="12.75" customHeight="1">
      <c r="A47" s="44"/>
      <c r="B47" s="54"/>
      <c r="C47" s="44"/>
      <c r="D47" s="44"/>
      <c r="E47" s="66" t="s">
        <v>203</v>
      </c>
      <c r="F47" s="121">
        <v>1609.99</v>
      </c>
      <c r="G47" s="104"/>
    </row>
    <row r="48" spans="1:7" ht="12.75" customHeight="1">
      <c r="A48" s="44"/>
      <c r="B48" s="54"/>
      <c r="C48" s="44"/>
      <c r="D48" s="44"/>
      <c r="E48" s="66" t="s">
        <v>248</v>
      </c>
      <c r="F48" s="121">
        <v>428.4</v>
      </c>
      <c r="G48" s="104"/>
    </row>
    <row r="49" spans="1:7" ht="12.75" customHeight="1">
      <c r="A49" s="44"/>
      <c r="B49" s="54"/>
      <c r="C49" s="44"/>
      <c r="D49" s="44"/>
      <c r="E49" s="66" t="s">
        <v>183</v>
      </c>
      <c r="F49" s="121">
        <v>213146.44</v>
      </c>
      <c r="G49" s="104"/>
    </row>
    <row r="50" spans="1:7" ht="12.75" customHeight="1">
      <c r="A50" s="44"/>
      <c r="B50" s="54"/>
      <c r="C50" s="44"/>
      <c r="D50" s="44"/>
      <c r="E50" s="66" t="s">
        <v>205</v>
      </c>
      <c r="F50" s="121">
        <v>6726.75</v>
      </c>
      <c r="G50" s="104"/>
    </row>
    <row r="51" spans="1:7" ht="12.75" customHeight="1">
      <c r="A51" s="44"/>
      <c r="B51" s="54"/>
      <c r="C51" s="44"/>
      <c r="D51" s="44"/>
      <c r="E51" s="66" t="s">
        <v>206</v>
      </c>
      <c r="F51" s="121">
        <v>1222.8</v>
      </c>
      <c r="G51" s="104"/>
    </row>
    <row r="52" spans="1:7" ht="12.75" customHeight="1">
      <c r="A52" s="44"/>
      <c r="B52" s="54"/>
      <c r="C52" s="44"/>
      <c r="D52" s="44"/>
      <c r="E52" s="66" t="s">
        <v>190</v>
      </c>
      <c r="F52" s="121">
        <f>(248110.76+124547.78-5405.59)*3.89/100</f>
        <v>14286.139755000002</v>
      </c>
      <c r="G52" s="104"/>
    </row>
    <row r="53" spans="1:7" ht="12.75" customHeight="1">
      <c r="A53" s="44"/>
      <c r="B53" s="54"/>
      <c r="C53" s="44"/>
      <c r="D53" s="44"/>
      <c r="E53" s="66"/>
      <c r="F53" s="101"/>
      <c r="G53" s="104"/>
    </row>
    <row r="54" spans="1:7" ht="12.75" customHeight="1">
      <c r="A54" s="44"/>
      <c r="B54" s="54"/>
      <c r="C54" s="44" t="s">
        <v>20</v>
      </c>
      <c r="D54" s="44"/>
      <c r="E54" s="65"/>
      <c r="F54" s="116">
        <f>SUM(F55:F56)</f>
        <v>3788.921863</v>
      </c>
      <c r="G54" s="104"/>
    </row>
    <row r="55" spans="1:7" ht="12.75" customHeight="1">
      <c r="A55" s="44"/>
      <c r="B55" s="54"/>
      <c r="C55" s="44"/>
      <c r="D55" s="44"/>
      <c r="E55" s="66" t="s">
        <v>113</v>
      </c>
      <c r="F55" s="99">
        <v>3566.31</v>
      </c>
      <c r="G55" s="104"/>
    </row>
    <row r="56" spans="1:7" ht="12.75" customHeight="1">
      <c r="A56" s="44"/>
      <c r="B56" s="54"/>
      <c r="C56" s="44"/>
      <c r="D56" s="44"/>
      <c r="E56" s="66" t="s">
        <v>190</v>
      </c>
      <c r="F56" s="99">
        <f>5722.67*3.89/100</f>
        <v>222.611863</v>
      </c>
      <c r="G56" s="104"/>
    </row>
    <row r="57" spans="1:7" ht="12.75" customHeight="1">
      <c r="A57" s="44"/>
      <c r="B57" s="54"/>
      <c r="C57" s="44"/>
      <c r="D57" s="44"/>
      <c r="E57" s="66"/>
      <c r="F57" s="99"/>
      <c r="G57" s="104"/>
    </row>
    <row r="58" spans="1:7" ht="12.75" customHeight="1">
      <c r="A58" s="44"/>
      <c r="B58" s="54"/>
      <c r="C58" s="44" t="s">
        <v>21</v>
      </c>
      <c r="D58" s="44"/>
      <c r="E58" s="65"/>
      <c r="F58" s="114">
        <f>SUM(F59:F63)</f>
        <v>17411.42508</v>
      </c>
      <c r="G58" s="104"/>
    </row>
    <row r="59" spans="1:7" ht="12.75" customHeight="1">
      <c r="A59" s="44"/>
      <c r="B59" s="54"/>
      <c r="D59" s="67" t="s">
        <v>22</v>
      </c>
      <c r="E59" s="68"/>
      <c r="F59" s="121">
        <f>(256108.02+5072.34+17493.67+67700)*3.89/100+916.37-16.33</f>
        <v>14373.989767000001</v>
      </c>
      <c r="G59" s="104"/>
    </row>
    <row r="60" spans="1:7" ht="12.75" customHeight="1">
      <c r="A60" s="44"/>
      <c r="B60" s="54"/>
      <c r="D60" s="67" t="s">
        <v>23</v>
      </c>
      <c r="E60" s="68"/>
      <c r="F60" s="121">
        <f>(37162.28+1268.09+4373.42+17800)*3.89/100</f>
        <v>2357.487431</v>
      </c>
      <c r="G60" s="104"/>
    </row>
    <row r="61" spans="1:7" ht="12.75" customHeight="1">
      <c r="A61" s="44"/>
      <c r="B61" s="54"/>
      <c r="D61" s="67" t="s">
        <v>24</v>
      </c>
      <c r="E61" s="68"/>
      <c r="F61" s="121">
        <f>10979.21*3.89/100</f>
        <v>427.09126899999995</v>
      </c>
      <c r="G61" s="104"/>
    </row>
    <row r="62" spans="1:7" ht="12.75" customHeight="1">
      <c r="A62" s="44"/>
      <c r="B62" s="54"/>
      <c r="D62" s="67" t="s">
        <v>25</v>
      </c>
      <c r="E62" s="68"/>
      <c r="F62" s="121">
        <v>0</v>
      </c>
      <c r="G62" s="104"/>
    </row>
    <row r="63" spans="1:7" ht="12.75" customHeight="1">
      <c r="A63" s="44"/>
      <c r="B63" s="54"/>
      <c r="D63" s="67" t="s">
        <v>126</v>
      </c>
      <c r="E63" s="68"/>
      <c r="F63" s="121">
        <f>6500.17*3.89/100</f>
        <v>252.856613</v>
      </c>
      <c r="G63" s="104"/>
    </row>
    <row r="64" spans="1:7" ht="12.75" customHeight="1">
      <c r="A64" s="44"/>
      <c r="B64" s="54"/>
      <c r="D64" s="67"/>
      <c r="E64" s="68"/>
      <c r="F64" s="121"/>
      <c r="G64" s="104"/>
    </row>
    <row r="65" spans="1:7" ht="12.75" customHeight="1">
      <c r="A65" s="44"/>
      <c r="B65" s="54"/>
      <c r="C65" s="44" t="s">
        <v>27</v>
      </c>
      <c r="D65" s="44"/>
      <c r="E65" s="65"/>
      <c r="F65" s="114">
        <f>SUM(F66:F70)</f>
        <v>2339.343475</v>
      </c>
      <c r="G65" s="104"/>
    </row>
    <row r="66" spans="1:7" ht="12.75" customHeight="1">
      <c r="A66" s="44"/>
      <c r="B66" s="54"/>
      <c r="C66" s="44"/>
      <c r="D66" s="67" t="s">
        <v>28</v>
      </c>
      <c r="E66" s="68"/>
      <c r="F66" s="121">
        <f>173.53+(2877.79*3.89/100)</f>
        <v>285.47603100000003</v>
      </c>
      <c r="G66" s="104"/>
    </row>
    <row r="67" spans="1:7" ht="12.75" customHeight="1">
      <c r="A67" s="44"/>
      <c r="B67" s="54"/>
      <c r="D67" s="67" t="s">
        <v>29</v>
      </c>
      <c r="E67" s="69"/>
      <c r="F67" s="121">
        <f>1971.79+(2109.96*3.89/100)</f>
        <v>2053.867444</v>
      </c>
      <c r="G67" s="104"/>
    </row>
    <row r="68" spans="1:7" ht="12.75" customHeight="1">
      <c r="A68" s="44"/>
      <c r="B68" s="54"/>
      <c r="D68" s="67" t="s">
        <v>31</v>
      </c>
      <c r="E68" s="68"/>
      <c r="F68" s="121">
        <v>0</v>
      </c>
      <c r="G68" s="104"/>
    </row>
    <row r="69" spans="1:7" ht="12.75" customHeight="1">
      <c r="A69" s="44"/>
      <c r="B69" s="54"/>
      <c r="D69" s="67" t="s">
        <v>32</v>
      </c>
      <c r="E69" s="68"/>
      <c r="F69" s="121"/>
      <c r="G69" s="104"/>
    </row>
    <row r="70" spans="1:7" ht="12.75" customHeight="1">
      <c r="A70" s="44"/>
      <c r="B70" s="54"/>
      <c r="D70" s="67"/>
      <c r="E70" s="69" t="s">
        <v>33</v>
      </c>
      <c r="F70" s="130">
        <v>0</v>
      </c>
      <c r="G70" s="104"/>
    </row>
    <row r="71" spans="1:7" ht="12.75" customHeight="1">
      <c r="A71" s="44"/>
      <c r="B71" s="54"/>
      <c r="D71" s="67"/>
      <c r="E71" s="69"/>
      <c r="F71" s="131"/>
      <c r="G71" s="104"/>
    </row>
    <row r="72" spans="1:7" ht="12.75" customHeight="1">
      <c r="A72" s="44"/>
      <c r="B72" s="54"/>
      <c r="C72" s="44" t="s">
        <v>34</v>
      </c>
      <c r="D72" s="44"/>
      <c r="E72" s="65"/>
      <c r="F72" s="124"/>
      <c r="G72" s="104"/>
    </row>
    <row r="73" spans="1:7" ht="12.75" customHeight="1">
      <c r="A73" s="44"/>
      <c r="B73" s="54"/>
      <c r="D73" s="44"/>
      <c r="E73" s="70" t="s">
        <v>35</v>
      </c>
      <c r="F73" s="124">
        <v>0</v>
      </c>
      <c r="G73" s="104"/>
    </row>
    <row r="74" spans="1:7" ht="12.75" customHeight="1">
      <c r="A74" s="44"/>
      <c r="B74" s="54"/>
      <c r="D74" s="44"/>
      <c r="E74" s="70"/>
      <c r="F74" s="124"/>
      <c r="G74" s="104"/>
    </row>
    <row r="75" spans="1:7" ht="12.75" customHeight="1">
      <c r="A75" s="44"/>
      <c r="B75" s="54"/>
      <c r="C75" s="44" t="s">
        <v>36</v>
      </c>
      <c r="D75" s="44"/>
      <c r="E75" s="65"/>
      <c r="F75" s="124">
        <f>121593.7*3.89/100</f>
        <v>4729.99493</v>
      </c>
      <c r="G75" s="104"/>
    </row>
    <row r="76" spans="1:7" ht="12.75" customHeight="1">
      <c r="A76" s="44"/>
      <c r="B76" s="54"/>
      <c r="C76" s="44"/>
      <c r="D76" s="44"/>
      <c r="E76" s="65"/>
      <c r="F76" s="124"/>
      <c r="G76" s="104"/>
    </row>
    <row r="77" spans="1:7" ht="12.75" customHeight="1">
      <c r="A77" s="44"/>
      <c r="B77" s="54"/>
      <c r="C77" s="44" t="s">
        <v>37</v>
      </c>
      <c r="D77" s="44"/>
      <c r="E77" s="65"/>
      <c r="F77" s="124">
        <v>0</v>
      </c>
      <c r="G77" s="104"/>
    </row>
    <row r="78" spans="1:7" ht="12.75" customHeight="1">
      <c r="A78" s="44"/>
      <c r="B78" s="54"/>
      <c r="C78" s="44"/>
      <c r="D78" s="44"/>
      <c r="E78" s="65"/>
      <c r="F78" s="124"/>
      <c r="G78" s="104"/>
    </row>
    <row r="79" spans="1:7" ht="12.75" customHeight="1">
      <c r="A79" s="44"/>
      <c r="B79" s="54"/>
      <c r="C79" s="44" t="s">
        <v>38</v>
      </c>
      <c r="D79" s="44"/>
      <c r="E79" s="65"/>
      <c r="F79" s="124">
        <f>SUM(F80:F85)</f>
        <v>703.4432280000001</v>
      </c>
      <c r="G79" s="104"/>
    </row>
    <row r="80" spans="1:7" ht="12.75" customHeight="1">
      <c r="A80" s="44"/>
      <c r="B80" s="54"/>
      <c r="C80" s="44"/>
      <c r="D80" s="44"/>
      <c r="E80" s="66" t="s">
        <v>129</v>
      </c>
      <c r="F80" s="101">
        <v>41.82</v>
      </c>
      <c r="G80" s="104"/>
    </row>
    <row r="81" spans="1:7" ht="12.75" customHeight="1">
      <c r="A81" s="44"/>
      <c r="B81" s="54"/>
      <c r="C81" s="44"/>
      <c r="D81" s="44"/>
      <c r="E81" s="66" t="s">
        <v>124</v>
      </c>
      <c r="F81" s="101">
        <v>7.75</v>
      </c>
      <c r="G81" s="104"/>
    </row>
    <row r="82" spans="1:7" ht="12.75" customHeight="1">
      <c r="A82" s="44"/>
      <c r="B82" s="54"/>
      <c r="C82" s="44"/>
      <c r="D82" s="44"/>
      <c r="E82" s="66" t="s">
        <v>138</v>
      </c>
      <c r="F82" s="101">
        <v>53.6</v>
      </c>
      <c r="G82" s="104"/>
    </row>
    <row r="83" spans="1:7" ht="13.5" customHeight="1">
      <c r="A83" s="44"/>
      <c r="B83" s="54"/>
      <c r="C83" s="44"/>
      <c r="D83" s="44" t="s">
        <v>0</v>
      </c>
      <c r="E83" s="66" t="s">
        <v>61</v>
      </c>
      <c r="F83" s="121">
        <v>177.8</v>
      </c>
      <c r="G83" s="104"/>
    </row>
    <row r="84" spans="1:7" ht="12.75" customHeight="1">
      <c r="A84" s="44"/>
      <c r="B84" s="54"/>
      <c r="C84" s="44"/>
      <c r="D84" s="44"/>
      <c r="E84" s="66" t="s">
        <v>125</v>
      </c>
      <c r="F84" s="121">
        <v>3.5</v>
      </c>
      <c r="G84" s="104"/>
    </row>
    <row r="85" spans="1:7" ht="12.75" customHeight="1">
      <c r="A85" s="44"/>
      <c r="B85" s="54"/>
      <c r="C85" s="44"/>
      <c r="D85" s="44"/>
      <c r="E85" s="66" t="s">
        <v>190</v>
      </c>
      <c r="F85" s="99">
        <f>10770.52*3.89/100</f>
        <v>418.973228</v>
      </c>
      <c r="G85" s="104"/>
    </row>
    <row r="86" spans="1:7" ht="12.75" customHeight="1">
      <c r="A86" s="44"/>
      <c r="B86" s="54"/>
      <c r="C86" s="44"/>
      <c r="D86" s="44"/>
      <c r="E86" s="70"/>
      <c r="F86" s="95" t="s">
        <v>0</v>
      </c>
      <c r="G86" s="104"/>
    </row>
    <row r="87" spans="1:7" ht="14.25" customHeight="1">
      <c r="A87" s="72"/>
      <c r="B87" s="57" t="s">
        <v>39</v>
      </c>
      <c r="C87" s="73"/>
      <c r="D87" s="73"/>
      <c r="E87" s="66"/>
      <c r="F87" s="95" t="s">
        <v>0</v>
      </c>
      <c r="G87" s="120">
        <f>G19+G33</f>
        <v>1632.80849700002</v>
      </c>
    </row>
    <row r="88" spans="1:7" ht="12.75" customHeight="1">
      <c r="A88" s="44"/>
      <c r="B88" s="74" t="s">
        <v>40</v>
      </c>
      <c r="C88" s="44"/>
      <c r="D88" s="44"/>
      <c r="E88" s="70"/>
      <c r="F88" s="95" t="s">
        <v>0</v>
      </c>
      <c r="G88" s="106"/>
    </row>
    <row r="89" spans="2:7" ht="12" customHeight="1">
      <c r="B89" s="76"/>
      <c r="E89" s="65"/>
      <c r="F89" s="95" t="s">
        <v>0</v>
      </c>
      <c r="G89" s="106"/>
    </row>
    <row r="90" spans="2:7" ht="14.25" customHeight="1">
      <c r="B90" s="57" t="s">
        <v>77</v>
      </c>
      <c r="C90" s="62"/>
      <c r="D90" s="62"/>
      <c r="E90" s="77"/>
      <c r="F90" s="96"/>
      <c r="G90" s="120">
        <f>F92+F93-F94</f>
        <v>214.098</v>
      </c>
    </row>
    <row r="91" spans="2:7" ht="12">
      <c r="B91" s="76"/>
      <c r="E91" s="65"/>
      <c r="F91" s="95"/>
      <c r="G91" s="106"/>
    </row>
    <row r="92" spans="2:7" ht="14.25">
      <c r="B92" s="54"/>
      <c r="C92" s="44" t="s">
        <v>74</v>
      </c>
      <c r="D92" s="44"/>
      <c r="E92" s="65"/>
      <c r="F92" s="116">
        <v>0</v>
      </c>
      <c r="G92" s="106"/>
    </row>
    <row r="93" spans="2:7" ht="14.25">
      <c r="B93" s="76"/>
      <c r="C93" s="44" t="s">
        <v>75</v>
      </c>
      <c r="E93" s="65"/>
      <c r="F93" s="124">
        <f>11622.59*3.89/100</f>
        <v>452.11875100000003</v>
      </c>
      <c r="G93" s="106"/>
    </row>
    <row r="94" spans="2:7" ht="14.25">
      <c r="B94" s="76"/>
      <c r="C94" s="44" t="s">
        <v>76</v>
      </c>
      <c r="E94" s="65"/>
      <c r="F94" s="151">
        <f>(697+5405.59)*3.89/100+0.63</f>
        <v>238.02075100000002</v>
      </c>
      <c r="G94" s="106"/>
    </row>
    <row r="95" spans="2:7" ht="12">
      <c r="B95" s="76"/>
      <c r="E95" s="65"/>
      <c r="F95" s="95"/>
      <c r="G95" s="106"/>
    </row>
    <row r="96" spans="2:7" ht="15.75">
      <c r="B96" s="57" t="s">
        <v>78</v>
      </c>
      <c r="C96" s="62"/>
      <c r="D96" s="62"/>
      <c r="E96" s="77"/>
      <c r="F96" s="128">
        <v>0</v>
      </c>
      <c r="G96" s="120">
        <v>0</v>
      </c>
    </row>
    <row r="97" spans="2:7" ht="12">
      <c r="B97" s="76"/>
      <c r="E97" s="65"/>
      <c r="F97" s="95"/>
      <c r="G97" s="106"/>
    </row>
    <row r="98" spans="2:7" ht="15.75">
      <c r="B98" s="57" t="s">
        <v>73</v>
      </c>
      <c r="C98" s="62"/>
      <c r="D98" s="62"/>
      <c r="E98" s="77"/>
      <c r="F98" s="96"/>
      <c r="G98" s="120">
        <f>F100-F102</f>
        <v>-2742.6515929999996</v>
      </c>
    </row>
    <row r="99" spans="2:7" ht="12">
      <c r="B99" s="76"/>
      <c r="E99" s="65"/>
      <c r="F99" s="95"/>
      <c r="G99" s="106"/>
    </row>
    <row r="100" spans="2:7" ht="14.25">
      <c r="B100" s="76"/>
      <c r="C100" s="44" t="s">
        <v>79</v>
      </c>
      <c r="E100" s="65"/>
      <c r="F100" s="124">
        <f>SUM(F101:F101)</f>
        <v>1418.8</v>
      </c>
      <c r="G100" s="106"/>
    </row>
    <row r="101" spans="2:7" ht="12">
      <c r="B101" s="76"/>
      <c r="C101" s="44"/>
      <c r="D101" s="152" t="s">
        <v>249</v>
      </c>
      <c r="E101" s="153"/>
      <c r="F101" s="95">
        <v>1418.8</v>
      </c>
      <c r="G101" s="106"/>
    </row>
    <row r="102" spans="2:7" ht="14.25">
      <c r="B102" s="76"/>
      <c r="C102" s="44" t="s">
        <v>80</v>
      </c>
      <c r="E102" s="65"/>
      <c r="F102" s="124">
        <f>3574.57+(15048.37*3.89/100)+1.5</f>
        <v>4161.451593</v>
      </c>
      <c r="G102" s="106"/>
    </row>
    <row r="103" spans="2:7" ht="14.25">
      <c r="B103" s="76"/>
      <c r="E103" s="65"/>
      <c r="F103" s="124"/>
      <c r="G103" s="106"/>
    </row>
    <row r="104" spans="2:7" ht="15.75">
      <c r="B104" s="79" t="s">
        <v>81</v>
      </c>
      <c r="C104" s="63"/>
      <c r="D104" s="63"/>
      <c r="E104" s="77"/>
      <c r="F104" s="124">
        <f>111976.37*3.89/100</f>
        <v>4355.880793</v>
      </c>
      <c r="G104" s="120">
        <f>F104</f>
        <v>4355.880793</v>
      </c>
    </row>
    <row r="105" spans="2:7" ht="12">
      <c r="B105" s="76"/>
      <c r="E105" s="65"/>
      <c r="F105" s="95"/>
      <c r="G105" s="106"/>
    </row>
    <row r="106" spans="2:7" ht="15.75">
      <c r="B106" s="57"/>
      <c r="E106" s="80" t="s">
        <v>82</v>
      </c>
      <c r="F106" s="95"/>
      <c r="G106" s="125">
        <f>G87+G90-G96+G98-G104</f>
        <v>-5251.62588899998</v>
      </c>
    </row>
    <row r="107" spans="2:7" ht="12">
      <c r="B107" s="81"/>
      <c r="C107" s="82"/>
      <c r="D107" s="82"/>
      <c r="E107" s="83"/>
      <c r="F107" s="84"/>
      <c r="G107" s="85"/>
    </row>
  </sheetData>
  <mergeCells count="5">
    <mergeCell ref="D101:E101"/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97" r:id="rId1"/>
  <rowBreaks count="1" manualBreakCount="1">
    <brk id="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7"/>
  <sheetViews>
    <sheetView showGridLines="0" zoomScale="90" zoomScaleNormal="90" workbookViewId="0" topLeftCell="A13">
      <selection activeCell="I26" sqref="I26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3.00390625" style="5" customWidth="1"/>
    <col min="8" max="8" width="14.375" style="5" customWidth="1"/>
    <col min="9" max="9" width="17.875" style="5" customWidth="1"/>
    <col min="10" max="10" width="2.875" style="1" customWidth="1"/>
    <col min="11" max="12" width="9.875" style="1" customWidth="1"/>
    <col min="13" max="16384" width="11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7"/>
      <c r="E7" s="8"/>
      <c r="F7" s="8"/>
      <c r="G7" s="8"/>
      <c r="H7" s="9"/>
      <c r="I7" s="1"/>
    </row>
    <row r="8" spans="1:9" ht="15">
      <c r="A8" s="1"/>
      <c r="B8" s="1"/>
      <c r="C8" s="10"/>
      <c r="D8" s="10"/>
      <c r="E8" s="13" t="s">
        <v>193</v>
      </c>
      <c r="F8" s="11"/>
      <c r="G8" s="11"/>
      <c r="H8" s="142" t="s">
        <v>259</v>
      </c>
      <c r="I8" s="1"/>
    </row>
    <row r="9" spans="1:9" ht="15">
      <c r="A9" s="1"/>
      <c r="B9" s="1"/>
      <c r="C9" s="10"/>
      <c r="D9" s="10"/>
      <c r="E9" s="13"/>
      <c r="F9" s="11"/>
      <c r="G9" s="11"/>
      <c r="H9" s="12"/>
      <c r="I9" s="1"/>
    </row>
    <row r="10" spans="1:9" ht="15">
      <c r="A10" s="1"/>
      <c r="B10" s="1"/>
      <c r="C10" s="10"/>
      <c r="D10" s="10"/>
      <c r="E10" s="13"/>
      <c r="F10" s="11"/>
      <c r="G10" s="11"/>
      <c r="H10" s="12"/>
      <c r="I10" s="1"/>
    </row>
    <row r="11" spans="1:9" ht="15">
      <c r="A11" s="1"/>
      <c r="B11" s="1"/>
      <c r="C11" s="10"/>
      <c r="D11" s="10"/>
      <c r="E11" s="13" t="s">
        <v>243</v>
      </c>
      <c r="F11" s="111">
        <f>'RSA I.D''ESTE'!G146</f>
        <v>-430490.529965</v>
      </c>
      <c r="G11" s="11"/>
      <c r="H11" s="143">
        <f>'RSA I.D''ESTE'!G127</f>
        <v>-342259.573969</v>
      </c>
      <c r="I11" s="1"/>
    </row>
    <row r="12" spans="1:9" ht="15">
      <c r="A12" s="1"/>
      <c r="B12" s="1"/>
      <c r="C12" s="10"/>
      <c r="D12" s="10"/>
      <c r="E12" s="13" t="s">
        <v>244</v>
      </c>
      <c r="F12" s="111">
        <f>'RSA L.BIANCHI'!G127</f>
        <v>-383314.03607100004</v>
      </c>
      <c r="G12" s="11"/>
      <c r="H12" s="138">
        <f>'RSA L.BIANCHI'!G109</f>
        <v>-364225.641417</v>
      </c>
      <c r="I12" s="1"/>
    </row>
    <row r="13" spans="1:9" ht="15">
      <c r="A13" s="1"/>
      <c r="B13" s="1"/>
      <c r="C13" s="10"/>
      <c r="D13" s="10"/>
      <c r="E13" s="13" t="s">
        <v>92</v>
      </c>
      <c r="F13" s="111">
        <f>Ristorazione!G95</f>
        <v>-5302.071458000032</v>
      </c>
      <c r="G13" s="11"/>
      <c r="H13" s="138">
        <f>Ristorazione!G77</f>
        <v>526.8456339999684</v>
      </c>
      <c r="I13" s="1"/>
    </row>
    <row r="14" spans="1:9" ht="13.5" customHeight="1">
      <c r="A14" s="1"/>
      <c r="B14" s="1"/>
      <c r="C14" s="10"/>
      <c r="D14" s="137"/>
      <c r="E14" s="13" t="s">
        <v>41</v>
      </c>
      <c r="F14" s="111">
        <f>SAD!G115</f>
        <v>-108441.72087999996</v>
      </c>
      <c r="G14" s="13"/>
      <c r="H14" s="138">
        <f>SAD!G96</f>
        <v>-97808.10375999997</v>
      </c>
      <c r="I14" s="1"/>
    </row>
    <row r="15" spans="1:9" ht="13.5" customHeight="1">
      <c r="A15" s="1"/>
      <c r="B15" s="1"/>
      <c r="C15" s="10"/>
      <c r="D15" s="137"/>
      <c r="E15" s="13" t="s">
        <v>67</v>
      </c>
      <c r="F15" s="111">
        <f>CDI!G98</f>
        <v>-415.14424599997665</v>
      </c>
      <c r="G15" s="13"/>
      <c r="H15" s="138">
        <f>CDI!G80</f>
        <v>2245.8095600000233</v>
      </c>
      <c r="I15" s="1"/>
    </row>
    <row r="16" spans="1:9" ht="13.5" customHeight="1">
      <c r="A16" s="1"/>
      <c r="B16" s="1"/>
      <c r="C16" s="10"/>
      <c r="D16" s="137"/>
      <c r="E16" s="13" t="s">
        <v>184</v>
      </c>
      <c r="F16" s="111">
        <f>'AGENZIA DI LOCAZIONE'!G98</f>
        <v>-3121.295509000002</v>
      </c>
      <c r="G16" s="13"/>
      <c r="H16" s="144">
        <f>'AGENZIA DI LOCAZIONE'!G80</f>
        <v>-2975.3812430000016</v>
      </c>
      <c r="I16" s="1"/>
    </row>
    <row r="17" spans="1:9" ht="13.5" customHeight="1">
      <c r="A17" s="1"/>
      <c r="B17" s="1"/>
      <c r="C17" s="10"/>
      <c r="D17" s="137"/>
      <c r="E17" s="13" t="s">
        <v>185</v>
      </c>
      <c r="F17" s="111">
        <f>DORMITORIO!G105</f>
        <v>-98795.36968099998</v>
      </c>
      <c r="G17" s="13"/>
      <c r="H17" s="138">
        <f>DORMITORIO!G86</f>
        <v>-82450.05388699997</v>
      </c>
      <c r="I17" s="1"/>
    </row>
    <row r="18" spans="1:9" ht="13.5" customHeight="1">
      <c r="A18" s="1"/>
      <c r="B18" s="1"/>
      <c r="C18" s="10"/>
      <c r="D18" s="137"/>
      <c r="E18" s="13" t="s">
        <v>62</v>
      </c>
      <c r="F18" s="111">
        <f>'DUE PINI'!G111</f>
        <v>95752.28955999992</v>
      </c>
      <c r="G18" s="135"/>
      <c r="H18" s="138">
        <f>'DUE PINI'!G92</f>
        <v>100705.77811999992</v>
      </c>
      <c r="I18" s="1"/>
    </row>
    <row r="19" spans="1:9" ht="13.5" customHeight="1">
      <c r="A19" s="1"/>
      <c r="B19" s="1"/>
      <c r="C19" s="10"/>
      <c r="D19" s="137"/>
      <c r="E19" s="13" t="s">
        <v>63</v>
      </c>
      <c r="F19" s="111">
        <f>GRAMSCI!G113</f>
        <v>265422.76638600003</v>
      </c>
      <c r="G19" s="135"/>
      <c r="H19" s="144">
        <f>GRAMSCI!G94</f>
        <v>273260.347422</v>
      </c>
      <c r="I19" s="1"/>
    </row>
    <row r="20" spans="1:9" ht="13.5" customHeight="1">
      <c r="A20" s="1"/>
      <c r="B20" s="1"/>
      <c r="C20" s="10"/>
      <c r="D20" s="137"/>
      <c r="E20" s="13" t="s">
        <v>72</v>
      </c>
      <c r="F20" s="111">
        <f>TRASPORTI!G93</f>
        <v>-6891.847505000002</v>
      </c>
      <c r="G20" s="135"/>
      <c r="H20" s="144">
        <f>TRASPORTI!G75</f>
        <v>-6831.095135000001</v>
      </c>
      <c r="I20" s="1"/>
    </row>
    <row r="21" spans="1:9" ht="13.5" customHeight="1">
      <c r="A21" s="1"/>
      <c r="B21" s="1"/>
      <c r="C21" s="10"/>
      <c r="D21" s="137"/>
      <c r="E21" s="13" t="s">
        <v>143</v>
      </c>
      <c r="F21" s="111">
        <f>'Pensionato sociale'!G92</f>
        <v>-2512.392035999991</v>
      </c>
      <c r="G21" s="135"/>
      <c r="H21" s="138">
        <f>'Pensionato sociale'!G73</f>
        <v>3897.445028000009</v>
      </c>
      <c r="I21" s="1"/>
    </row>
    <row r="22" spans="3:8" s="3" customFormat="1" ht="15">
      <c r="C22" s="17"/>
      <c r="D22" s="137"/>
      <c r="E22" s="13" t="s">
        <v>186</v>
      </c>
      <c r="F22" s="111">
        <f>'AREA MINORI'!G109</f>
        <v>-5637.306387999958</v>
      </c>
      <c r="G22" s="135"/>
      <c r="H22" s="144">
        <f>'AREA MINORI'!G90</f>
        <v>24379.277524000045</v>
      </c>
    </row>
    <row r="23" spans="3:8" s="3" customFormat="1" ht="13.5" customHeight="1">
      <c r="C23" s="17"/>
      <c r="D23" s="137"/>
      <c r="E23" s="13" t="s">
        <v>64</v>
      </c>
      <c r="F23" s="111">
        <f>SND!G90</f>
        <v>-27932.072654999996</v>
      </c>
      <c r="G23" s="135"/>
      <c r="H23" s="138">
        <f>SND!G72</f>
        <v>-26043.519184999997</v>
      </c>
    </row>
    <row r="24" spans="3:8" s="3" customFormat="1" ht="13.5" customHeight="1">
      <c r="C24" s="17"/>
      <c r="D24" s="137"/>
      <c r="E24" s="13" t="s">
        <v>187</v>
      </c>
      <c r="F24" s="111">
        <f>'C.A.H.'!G106</f>
        <v>-5251.62588899998</v>
      </c>
      <c r="G24" s="135"/>
      <c r="H24" s="138">
        <f>'C.A.H.'!G87</f>
        <v>1632.80849700002</v>
      </c>
    </row>
    <row r="25" spans="3:8" s="3" customFormat="1" ht="13.5" customHeight="1">
      <c r="C25" s="17"/>
      <c r="D25" s="137"/>
      <c r="E25" s="13"/>
      <c r="F25" s="111"/>
      <c r="G25" s="135"/>
      <c r="H25" s="138"/>
    </row>
    <row r="26" spans="3:8" s="3" customFormat="1" ht="13.5" customHeight="1">
      <c r="C26" s="17"/>
      <c r="D26" s="137"/>
      <c r="E26" s="13"/>
      <c r="F26" s="14"/>
      <c r="G26" s="135"/>
      <c r="H26" s="136"/>
    </row>
    <row r="27" spans="1:9" ht="15.75" customHeight="1">
      <c r="A27" s="1"/>
      <c r="B27" s="1"/>
      <c r="C27" s="10"/>
      <c r="D27" s="137"/>
      <c r="E27" s="13" t="s">
        <v>65</v>
      </c>
      <c r="F27" s="111">
        <f>SUM(F11:F24)</f>
        <v>-716930.3563369998</v>
      </c>
      <c r="G27" s="135"/>
      <c r="H27" s="138">
        <v>-515945.03</v>
      </c>
      <c r="I27" s="1"/>
    </row>
    <row r="28" spans="1:9" ht="15.75" customHeight="1">
      <c r="A28" s="1"/>
      <c r="B28" s="1"/>
      <c r="C28" s="10"/>
      <c r="D28" s="137"/>
      <c r="E28" s="13"/>
      <c r="F28" s="111"/>
      <c r="G28" s="135"/>
      <c r="H28" s="138"/>
      <c r="I28" s="1"/>
    </row>
    <row r="29" spans="1:9" ht="15.75" customHeight="1">
      <c r="A29" s="1"/>
      <c r="B29" s="1"/>
      <c r="C29" s="10"/>
      <c r="D29" s="137"/>
      <c r="E29" s="13" t="s">
        <v>250</v>
      </c>
      <c r="F29" s="111"/>
      <c r="G29" s="135"/>
      <c r="H29" s="138">
        <f>'RSA I.D''ESTE'!G130+'RSA L.BIANCHI'!G112+Ristorazione!G80+SAD!G99+CDI!G83+DORMITORIO!G89+'Pensionato sociale'!G76+'AGENZIA DI LOCAZIONE'!G83+'DUE PINI'!G95+GRAMSCI!G97+TRASPORTI!G78+'AREA MINORI'!G93+SND!G75+'C.A.H.'!G90+0.01</f>
        <v>6305.058000000002</v>
      </c>
      <c r="I29" s="1"/>
    </row>
    <row r="30" spans="1:9" ht="15.75" customHeight="1">
      <c r="A30" s="1"/>
      <c r="B30" s="1"/>
      <c r="C30" s="10"/>
      <c r="D30" s="137"/>
      <c r="E30" s="13" t="s">
        <v>251</v>
      </c>
      <c r="F30" s="111"/>
      <c r="G30" s="135"/>
      <c r="H30" s="138">
        <f>'RSA I.D''ESTE'!G138+'RSA L.BIANCHI'!G120+Ristorazione!G88+SAD!G107+CDI!G91+DORMITORIO!G97+'Pensionato sociale'!G84+'AGENZIA DI LOCAZIONE'!G91+'DUE PINI'!G103+GRAMSCI!G105+TRASPORTI!G86+'AREA MINORI'!G101+SND!G83+'C.A.H.'!G98-0.04</f>
        <v>-95314.025163</v>
      </c>
      <c r="I30" s="1"/>
    </row>
    <row r="31" spans="1:9" ht="15.75" customHeight="1">
      <c r="A31" s="1"/>
      <c r="B31" s="1"/>
      <c r="C31" s="10"/>
      <c r="D31" s="137"/>
      <c r="E31" s="13" t="s">
        <v>252</v>
      </c>
      <c r="F31" s="111"/>
      <c r="G31" s="135"/>
      <c r="H31" s="138">
        <f>-'RSA I.D''ESTE'!G144-'RSA L.BIANCHI'!G125-Ristorazione!G93-SAD!G113-CDI!G96-DORMITORIO!G103-'Pensionato sociale'!G90-'AGENZIA DI LOCAZIONE'!G96-'DUE PINI'!G109-GRAMSCI!G111-TRASPORTI!G91-'AREA MINORI'!G107-SND!G88-'C.A.H.'!G104</f>
        <v>-111976.362363</v>
      </c>
      <c r="I31" s="1"/>
    </row>
    <row r="32" spans="1:9" ht="15.75" customHeight="1">
      <c r="A32" s="1"/>
      <c r="B32" s="1"/>
      <c r="C32" s="10"/>
      <c r="D32" s="137"/>
      <c r="E32" s="13"/>
      <c r="F32" s="111"/>
      <c r="G32" s="135"/>
      <c r="H32" s="138"/>
      <c r="I32" s="1"/>
    </row>
    <row r="33" spans="1:9" ht="13.5" customHeight="1">
      <c r="A33" s="1"/>
      <c r="B33" s="1"/>
      <c r="C33" s="10"/>
      <c r="D33" s="137"/>
      <c r="E33" s="21" t="s">
        <v>253</v>
      </c>
      <c r="F33" s="112">
        <f>F27</f>
        <v>-716930.3563369998</v>
      </c>
      <c r="G33" s="135"/>
      <c r="H33" s="139">
        <f>SUM(H27:H31)</f>
        <v>-716930.359526</v>
      </c>
      <c r="I33" s="1"/>
    </row>
    <row r="34" spans="1:9" ht="15" customHeight="1">
      <c r="A34" s="1"/>
      <c r="B34" s="1"/>
      <c r="C34" s="10"/>
      <c r="D34" s="137"/>
      <c r="E34" s="13" t="s">
        <v>260</v>
      </c>
      <c r="F34" s="111">
        <v>914673.26</v>
      </c>
      <c r="G34" s="13"/>
      <c r="H34" s="138">
        <v>914673.26</v>
      </c>
      <c r="I34" s="1"/>
    </row>
    <row r="35" spans="1:9" ht="15.75" customHeight="1">
      <c r="A35" s="1"/>
      <c r="B35" s="1"/>
      <c r="C35" s="10"/>
      <c r="D35" s="137"/>
      <c r="E35" s="21" t="s">
        <v>253</v>
      </c>
      <c r="F35" s="112">
        <f>SUM(F33:F34)</f>
        <v>197742.9036630002</v>
      </c>
      <c r="G35" s="13"/>
      <c r="H35" s="139">
        <f>SUM(H33:H34)</f>
        <v>197742.90047400002</v>
      </c>
      <c r="I35" s="1"/>
    </row>
    <row r="36" spans="1:9" ht="12.75" customHeight="1">
      <c r="A36" s="1"/>
      <c r="B36" s="1"/>
      <c r="C36" s="10"/>
      <c r="D36" s="137"/>
      <c r="E36" s="13"/>
      <c r="F36" s="13"/>
      <c r="G36" s="13"/>
      <c r="H36" s="15"/>
      <c r="I36" s="1"/>
    </row>
    <row r="37" spans="1:9" ht="12.75" customHeight="1">
      <c r="A37" s="1"/>
      <c r="B37" s="1"/>
      <c r="C37" s="18"/>
      <c r="D37" s="18"/>
      <c r="E37" s="19"/>
      <c r="F37" s="19"/>
      <c r="G37" s="19"/>
      <c r="H37" s="20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="2" customFormat="1" ht="12.75" customHeight="1"/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="2" customFormat="1" ht="12.75" customHeight="1"/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="2" customFormat="1" ht="12.75" customHeight="1"/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="2" customFormat="1" ht="12.75" customHeight="1"/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.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">
      <c r="A357" s="1"/>
      <c r="B357" s="1"/>
      <c r="C357" s="1"/>
      <c r="D357" s="1"/>
      <c r="E357" s="1"/>
      <c r="F357" s="1"/>
      <c r="G357" s="1"/>
      <c r="H357" s="1"/>
      <c r="I357" s="1"/>
    </row>
  </sheetData>
  <sheetProtection password="C052"/>
  <printOptions horizontalCentered="1"/>
  <pageMargins left="0" right="0" top="0.7874015748031497" bottom="0.5905511811023623" header="0.5118110236220472" footer="0.5118110236220472"/>
  <pageSetup fitToHeight="2" fitToWidth="1" horizontalDpi="600" verticalDpi="600" orientation="portrait" paperSize="9" r:id="rId1"/>
  <rowBreaks count="1" manualBreakCount="1">
    <brk id="442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2"/>
  <sheetViews>
    <sheetView workbookViewId="0" topLeftCell="A9">
      <selection activeCell="H27" sqref="H27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3.00390625" style="5" customWidth="1"/>
    <col min="8" max="8" width="24.25390625" style="5" customWidth="1"/>
    <col min="9" max="9" width="17.875" style="5" customWidth="1"/>
    <col min="10" max="10" width="2.875" style="1" customWidth="1"/>
    <col min="11" max="12" width="9.875" style="1" customWidth="1"/>
    <col min="13" max="255" width="11.875" style="1" customWidth="1"/>
    <col min="256" max="16384" width="10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8"/>
      <c r="E7" s="8"/>
      <c r="F7" s="8"/>
      <c r="G7" s="8"/>
      <c r="H7" s="9"/>
      <c r="I7" s="1"/>
    </row>
    <row r="8" spans="1:9" ht="15">
      <c r="A8" s="1"/>
      <c r="B8" s="1"/>
      <c r="C8" s="10"/>
      <c r="D8" s="11"/>
      <c r="E8" s="13" t="s">
        <v>254</v>
      </c>
      <c r="F8" s="11"/>
      <c r="G8" s="13" t="s">
        <v>255</v>
      </c>
      <c r="H8" s="12"/>
      <c r="I8" s="1"/>
    </row>
    <row r="9" spans="1:9" ht="15">
      <c r="A9" s="1"/>
      <c r="B9" s="1"/>
      <c r="C9" s="10"/>
      <c r="D9" s="11"/>
      <c r="E9" s="13"/>
      <c r="F9" s="11"/>
      <c r="G9" s="11"/>
      <c r="H9" s="12"/>
      <c r="I9" s="1"/>
    </row>
    <row r="10" spans="1:9" ht="15">
      <c r="A10" s="1"/>
      <c r="B10" s="1"/>
      <c r="C10" s="10"/>
      <c r="D10" s="11"/>
      <c r="E10" s="13"/>
      <c r="F10" s="11"/>
      <c r="G10" s="11"/>
      <c r="H10" s="12"/>
      <c r="I10" s="1"/>
    </row>
    <row r="11" spans="1:9" ht="15">
      <c r="A11" s="1"/>
      <c r="B11" s="1"/>
      <c r="C11" s="10"/>
      <c r="D11" s="11"/>
      <c r="E11" s="13" t="s">
        <v>256</v>
      </c>
      <c r="F11" s="111">
        <f>'RSA I.D''ESTE'!G19</f>
        <v>3313798.31627</v>
      </c>
      <c r="G11" s="14"/>
      <c r="H11" s="140">
        <f>'RSA I.D''ESTE'!G36</f>
        <v>-3656057.890239</v>
      </c>
      <c r="I11" s="1"/>
    </row>
    <row r="12" spans="1:9" ht="15">
      <c r="A12" s="1"/>
      <c r="B12" s="1"/>
      <c r="C12" s="10"/>
      <c r="D12" s="11"/>
      <c r="E12" s="13" t="s">
        <v>257</v>
      </c>
      <c r="F12" s="111">
        <f>'RSA L.BIANCHI'!G19</f>
        <v>859605.2970140001</v>
      </c>
      <c r="G12" s="14"/>
      <c r="H12" s="140">
        <f>'RSA L.BIANCHI'!G36</f>
        <v>-1223830.938431</v>
      </c>
      <c r="I12" s="1"/>
    </row>
    <row r="13" spans="1:9" ht="15">
      <c r="A13" s="1"/>
      <c r="B13" s="1"/>
      <c r="C13" s="10"/>
      <c r="D13" s="11"/>
      <c r="E13" s="13" t="s">
        <v>92</v>
      </c>
      <c r="F13" s="111">
        <f>Ristorazione!F23+Ristorazione!F28+Ristorazione!F29</f>
        <v>6604.638371999999</v>
      </c>
      <c r="G13" s="14"/>
      <c r="H13" s="140">
        <f>Ristorazione!G31</f>
        <v>-502530.392738</v>
      </c>
      <c r="I13" s="1"/>
    </row>
    <row r="14" spans="1:9" ht="13.5" customHeight="1">
      <c r="A14" s="1"/>
      <c r="B14" s="1"/>
      <c r="C14" s="10"/>
      <c r="D14" s="13"/>
      <c r="E14" s="13" t="s">
        <v>41</v>
      </c>
      <c r="F14" s="111">
        <f>SAD!G19</f>
        <v>531479.43792</v>
      </c>
      <c r="G14" s="14"/>
      <c r="H14" s="140">
        <f>SAD!G36</f>
        <v>-629287.54168</v>
      </c>
      <c r="I14" s="1"/>
    </row>
    <row r="15" spans="1:9" ht="13.5" customHeight="1">
      <c r="A15" s="1"/>
      <c r="B15" s="1"/>
      <c r="C15" s="10"/>
      <c r="D15" s="13"/>
      <c r="E15" s="13" t="s">
        <v>67</v>
      </c>
      <c r="F15" s="111">
        <f>CDI!G19</f>
        <v>157150.27784599998</v>
      </c>
      <c r="G15" s="14"/>
      <c r="H15" s="140">
        <f>CDI!G32</f>
        <v>-154904.46828599996</v>
      </c>
      <c r="I15" s="1"/>
    </row>
    <row r="16" spans="1:9" ht="13.5" customHeight="1">
      <c r="A16" s="1"/>
      <c r="B16" s="1"/>
      <c r="C16" s="10"/>
      <c r="D16" s="13"/>
      <c r="E16" s="13" t="s">
        <v>185</v>
      </c>
      <c r="F16" s="111">
        <f>DORMITORIO!G22</f>
        <v>62549.385754</v>
      </c>
      <c r="G16" s="14"/>
      <c r="H16" s="140">
        <f>DORMITORIO!G36</f>
        <v>-144999.43964099998</v>
      </c>
      <c r="I16" s="1"/>
    </row>
    <row r="17" spans="1:9" ht="13.5" customHeight="1">
      <c r="A17" s="1"/>
      <c r="B17" s="1"/>
      <c r="C17" s="10"/>
      <c r="D17" s="13"/>
      <c r="E17" s="13" t="s">
        <v>143</v>
      </c>
      <c r="F17" s="111">
        <f>'Pensionato sociale'!G19</f>
        <v>38544.488824</v>
      </c>
      <c r="G17" s="14"/>
      <c r="H17" s="140">
        <f>'Pensionato sociale'!G31</f>
        <v>-34647.04379599999</v>
      </c>
      <c r="I17" s="1"/>
    </row>
    <row r="18" spans="1:9" ht="13.5" customHeight="1">
      <c r="A18" s="1"/>
      <c r="B18" s="1"/>
      <c r="C18" s="10"/>
      <c r="D18" s="13"/>
      <c r="E18" s="13" t="s">
        <v>184</v>
      </c>
      <c r="F18" s="111">
        <f>'AGENZIA DI LOCAZIONE'!G19</f>
        <v>17440.694706</v>
      </c>
      <c r="G18" s="14"/>
      <c r="H18" s="140">
        <f>'AGENZIA DI LOCAZIONE'!G31</f>
        <v>-20416.065949</v>
      </c>
      <c r="I18" s="1"/>
    </row>
    <row r="19" spans="1:9" ht="13.5" customHeight="1">
      <c r="A19" s="1"/>
      <c r="B19" s="1"/>
      <c r="C19" s="10"/>
      <c r="D19" s="13"/>
      <c r="E19" s="13" t="s">
        <v>62</v>
      </c>
      <c r="F19" s="111">
        <f>'DUE PINI'!G19</f>
        <v>1064449.00896</v>
      </c>
      <c r="G19" s="14"/>
      <c r="H19" s="140">
        <f>'DUE PINI'!G33</f>
        <v>-963743.2308400001</v>
      </c>
      <c r="I19" s="1"/>
    </row>
    <row r="20" spans="1:9" ht="13.5" customHeight="1">
      <c r="A20" s="1"/>
      <c r="B20" s="1"/>
      <c r="C20" s="10"/>
      <c r="D20" s="13"/>
      <c r="E20" s="13" t="s">
        <v>63</v>
      </c>
      <c r="F20" s="111">
        <f>GRAMSCI!G19</f>
        <v>1733464.733276</v>
      </c>
      <c r="G20" s="14"/>
      <c r="H20" s="140">
        <f>GRAMSCI!G33</f>
        <v>-1460204.375854</v>
      </c>
      <c r="I20" s="1"/>
    </row>
    <row r="21" spans="1:9" ht="13.5" customHeight="1">
      <c r="A21" s="1"/>
      <c r="B21" s="1"/>
      <c r="C21" s="10"/>
      <c r="D21" s="13"/>
      <c r="E21" s="13" t="s">
        <v>72</v>
      </c>
      <c r="F21" s="111">
        <f>TRASPORTI!G19</f>
        <v>13210.92817</v>
      </c>
      <c r="G21" s="14"/>
      <c r="H21" s="140">
        <f>TRASPORTI!G32</f>
        <v>-20042.033305</v>
      </c>
      <c r="I21" s="1"/>
    </row>
    <row r="22" spans="3:8" s="3" customFormat="1" ht="15">
      <c r="C22" s="17"/>
      <c r="D22" s="13"/>
      <c r="E22" s="13" t="s">
        <v>186</v>
      </c>
      <c r="F22" s="111">
        <f>'AREA MINORI'!G19</f>
        <v>303388.933992</v>
      </c>
      <c r="G22" s="14"/>
      <c r="H22" s="140">
        <f>'AREA MINORI'!G34</f>
        <v>-279009.64646799996</v>
      </c>
    </row>
    <row r="23" spans="3:8" s="3" customFormat="1" ht="13.5" customHeight="1">
      <c r="C23" s="17"/>
      <c r="D23" s="13"/>
      <c r="E23" s="13" t="s">
        <v>64</v>
      </c>
      <c r="F23" s="111">
        <f>SND!G19</f>
        <v>88625.60327</v>
      </c>
      <c r="G23" s="14"/>
      <c r="H23" s="140">
        <f>SND!G32</f>
        <v>-114669.122455</v>
      </c>
    </row>
    <row r="24" spans="3:8" s="3" customFormat="1" ht="13.5" customHeight="1">
      <c r="C24" s="17"/>
      <c r="D24" s="13"/>
      <c r="E24" s="13" t="s">
        <v>187</v>
      </c>
      <c r="F24" s="111">
        <f>'C.A.H.'!G19</f>
        <v>275904.635626</v>
      </c>
      <c r="G24" s="14"/>
      <c r="H24" s="140">
        <f>'C.A.H.'!G33</f>
        <v>-274271.827129</v>
      </c>
    </row>
    <row r="25" spans="3:8" s="3" customFormat="1" ht="13.5" customHeight="1">
      <c r="C25" s="17"/>
      <c r="D25" s="13"/>
      <c r="E25" s="13"/>
      <c r="F25" s="111"/>
      <c r="G25" s="14"/>
      <c r="H25" s="16"/>
    </row>
    <row r="26" spans="3:8" s="3" customFormat="1" ht="13.5" customHeight="1">
      <c r="C26" s="17"/>
      <c r="D26" s="13"/>
      <c r="E26" s="13"/>
      <c r="F26" s="14"/>
      <c r="G26" s="14"/>
      <c r="H26" s="16"/>
    </row>
    <row r="27" spans="1:9" ht="15.75" customHeight="1">
      <c r="A27" s="1"/>
      <c r="B27" s="1"/>
      <c r="C27" s="10"/>
      <c r="D27" s="13"/>
      <c r="E27" s="13" t="s">
        <v>65</v>
      </c>
      <c r="F27" s="111">
        <f>SUM(F11:F24)</f>
        <v>8466216.38</v>
      </c>
      <c r="G27" s="111"/>
      <c r="H27" s="16">
        <f>SUM(H11:H24)</f>
        <v>-9478614.016811004</v>
      </c>
      <c r="I27" s="1"/>
    </row>
    <row r="28" spans="1:9" ht="13.5" customHeight="1">
      <c r="A28" s="1"/>
      <c r="B28" s="1"/>
      <c r="C28" s="10"/>
      <c r="D28" s="13"/>
      <c r="E28" s="13"/>
      <c r="F28" s="14"/>
      <c r="G28" s="14"/>
      <c r="H28" s="16"/>
      <c r="I28" s="1"/>
    </row>
    <row r="29" spans="1:9" ht="12.75" customHeight="1">
      <c r="A29" s="1"/>
      <c r="B29" s="1"/>
      <c r="C29" s="10"/>
      <c r="D29" s="13"/>
      <c r="E29" s="13"/>
      <c r="F29" s="14"/>
      <c r="G29" s="14"/>
      <c r="H29" s="15"/>
      <c r="I29" s="1"/>
    </row>
    <row r="30" spans="1:9" ht="15.75" customHeight="1">
      <c r="A30" s="1"/>
      <c r="B30" s="1"/>
      <c r="C30" s="10"/>
      <c r="D30" s="13"/>
      <c r="E30" s="21" t="s">
        <v>66</v>
      </c>
      <c r="F30" s="14"/>
      <c r="G30" s="112">
        <f>SUM(G27:G29)</f>
        <v>0</v>
      </c>
      <c r="H30" s="15"/>
      <c r="I30" s="1"/>
    </row>
    <row r="31" spans="1:9" ht="12.75" customHeight="1">
      <c r="A31" s="1"/>
      <c r="B31" s="1"/>
      <c r="C31" s="10"/>
      <c r="D31" s="13"/>
      <c r="E31" s="13"/>
      <c r="F31" s="13"/>
      <c r="G31" s="13"/>
      <c r="H31" s="15"/>
      <c r="I31" s="1"/>
    </row>
    <row r="32" spans="1:9" ht="12.75" customHeight="1">
      <c r="A32" s="1"/>
      <c r="B32" s="1"/>
      <c r="C32" s="18"/>
      <c r="D32" s="19"/>
      <c r="E32" s="19"/>
      <c r="F32" s="19"/>
      <c r="G32" s="19"/>
      <c r="H32" s="20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="2" customFormat="1" ht="12.75" customHeight="1"/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 customHeight="1">
      <c r="A83" s="1"/>
      <c r="B83" s="1"/>
      <c r="C83" s="1"/>
      <c r="D83" s="1"/>
      <c r="E83" s="1"/>
      <c r="F83" s="1"/>
      <c r="G83" s="1"/>
      <c r="H83" s="1"/>
      <c r="I83" s="1"/>
    </row>
    <row r="84" s="2" customFormat="1" ht="12.75" customHeight="1"/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="2" customFormat="1" ht="12.75" customHeight="1"/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="2" customFormat="1" ht="12.75" customHeight="1"/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.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">
      <c r="A352" s="1"/>
      <c r="B352" s="1"/>
      <c r="C352" s="1"/>
      <c r="D352" s="1"/>
      <c r="E352" s="1"/>
      <c r="F352" s="1"/>
      <c r="G352" s="1"/>
      <c r="H352" s="1"/>
      <c r="I35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F102" sqref="F10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21.7539062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219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5.75" customHeight="1">
      <c r="A19" s="44"/>
      <c r="B19" s="57" t="s">
        <v>5</v>
      </c>
      <c r="C19" s="44"/>
      <c r="D19" s="44"/>
      <c r="F19" s="55"/>
      <c r="G19" s="115">
        <f>F20+F25+F26+F27+F29</f>
        <v>859605.2970140001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SUM(F21:F23)</f>
        <v>458596.17000000004</v>
      </c>
      <c r="G20" s="58"/>
    </row>
    <row r="21" spans="1:7" ht="12.75" customHeight="1">
      <c r="A21" s="44"/>
      <c r="B21" s="54"/>
      <c r="C21" s="44"/>
      <c r="D21" s="44" t="s">
        <v>30</v>
      </c>
      <c r="E21" s="45" t="s">
        <v>52</v>
      </c>
      <c r="F21" s="110">
        <v>446537.03</v>
      </c>
      <c r="G21" s="58"/>
    </row>
    <row r="22" spans="1:7" ht="12.75" customHeight="1">
      <c r="A22" s="44"/>
      <c r="B22" s="54"/>
      <c r="C22" s="44"/>
      <c r="D22" s="44" t="s">
        <v>30</v>
      </c>
      <c r="E22" s="45" t="s">
        <v>68</v>
      </c>
      <c r="F22" s="110">
        <v>0</v>
      </c>
      <c r="G22" s="58"/>
    </row>
    <row r="23" spans="1:7" ht="12.75" customHeight="1">
      <c r="A23" s="44"/>
      <c r="B23" s="54"/>
      <c r="C23" s="44"/>
      <c r="D23" s="44" t="s">
        <v>30</v>
      </c>
      <c r="E23" s="45" t="s">
        <v>83</v>
      </c>
      <c r="F23" s="110">
        <v>12059.14</v>
      </c>
      <c r="G23" s="58"/>
    </row>
    <row r="24" spans="1:7" ht="12.75" customHeight="1">
      <c r="A24" s="44"/>
      <c r="B24" s="54"/>
      <c r="C24" s="44" t="s">
        <v>8</v>
      </c>
      <c r="D24" s="44" t="s">
        <v>9</v>
      </c>
      <c r="F24" s="95"/>
      <c r="G24" s="58"/>
    </row>
    <row r="25" spans="1:7" ht="12.75" customHeight="1">
      <c r="A25" s="44"/>
      <c r="B25" s="54"/>
      <c r="C25" s="44"/>
      <c r="D25" s="44" t="s">
        <v>10</v>
      </c>
      <c r="F25" s="95">
        <v>0</v>
      </c>
      <c r="G25" s="58"/>
    </row>
    <row r="26" spans="1:7" ht="12.75" customHeight="1">
      <c r="A26" s="44"/>
      <c r="B26" s="54"/>
      <c r="C26" s="44" t="s">
        <v>11</v>
      </c>
      <c r="D26" s="44" t="s">
        <v>12</v>
      </c>
      <c r="F26" s="95">
        <v>0</v>
      </c>
      <c r="G26" s="58"/>
    </row>
    <row r="27" spans="1:7" ht="12.75" customHeight="1">
      <c r="A27" s="44"/>
      <c r="B27" s="54"/>
      <c r="C27" s="44" t="s">
        <v>13</v>
      </c>
      <c r="D27" s="44"/>
      <c r="F27" s="95">
        <v>0</v>
      </c>
      <c r="G27" s="58"/>
    </row>
    <row r="28" spans="1:7" ht="12.75" customHeight="1">
      <c r="A28" s="44"/>
      <c r="B28" s="54"/>
      <c r="C28" s="44" t="s">
        <v>14</v>
      </c>
      <c r="D28" s="44"/>
      <c r="F28" s="95" t="s">
        <v>0</v>
      </c>
      <c r="G28" s="59"/>
    </row>
    <row r="29" spans="1:7" ht="12.75" customHeight="1">
      <c r="A29" s="44"/>
      <c r="B29" s="54"/>
      <c r="C29" s="44"/>
      <c r="D29" s="44" t="s">
        <v>15</v>
      </c>
      <c r="F29" s="93">
        <f>SUM(F30:F34)</f>
        <v>401009.127014</v>
      </c>
      <c r="G29" s="59"/>
    </row>
    <row r="30" spans="1:7" ht="12.75" customHeight="1">
      <c r="A30" s="44"/>
      <c r="B30" s="54"/>
      <c r="C30" s="44"/>
      <c r="D30" s="60" t="s">
        <v>30</v>
      </c>
      <c r="E30" s="45" t="s">
        <v>42</v>
      </c>
      <c r="F30" s="110">
        <v>360181.84</v>
      </c>
      <c r="G30" s="61"/>
    </row>
    <row r="31" spans="1:7" ht="12.75" customHeight="1">
      <c r="A31" s="44"/>
      <c r="B31" s="54"/>
      <c r="C31" s="44"/>
      <c r="D31" s="60" t="s">
        <v>30</v>
      </c>
      <c r="E31" s="45" t="s">
        <v>53</v>
      </c>
      <c r="F31" s="110">
        <v>0</v>
      </c>
      <c r="G31" s="61"/>
    </row>
    <row r="32" spans="1:7" ht="12.75" customHeight="1">
      <c r="A32" s="44"/>
      <c r="B32" s="54"/>
      <c r="C32" s="44"/>
      <c r="D32" s="60" t="s">
        <v>30</v>
      </c>
      <c r="E32" s="45" t="s">
        <v>114</v>
      </c>
      <c r="F32" s="110">
        <v>0</v>
      </c>
      <c r="G32" s="61"/>
    </row>
    <row r="33" spans="1:7" ht="12.75" customHeight="1">
      <c r="A33" s="44"/>
      <c r="B33" s="54"/>
      <c r="C33" s="44"/>
      <c r="D33" s="60" t="s">
        <v>30</v>
      </c>
      <c r="E33" s="45" t="s">
        <v>54</v>
      </c>
      <c r="F33" s="110">
        <f>778.96+521.16+14.76+8812.5</f>
        <v>10127.38</v>
      </c>
      <c r="G33" s="61"/>
    </row>
    <row r="34" spans="1:7" ht="12.75" customHeight="1">
      <c r="A34" s="44"/>
      <c r="B34" s="54"/>
      <c r="C34" s="44"/>
      <c r="D34" s="44" t="s">
        <v>30</v>
      </c>
      <c r="E34" s="44" t="s">
        <v>188</v>
      </c>
      <c r="F34" s="95">
        <f>195416.34*15.71/100</f>
        <v>30699.907014</v>
      </c>
      <c r="G34" s="59"/>
    </row>
    <row r="35" spans="1:7" ht="12.75" customHeight="1">
      <c r="A35" s="44"/>
      <c r="B35" s="54"/>
      <c r="C35" s="44"/>
      <c r="D35" s="44"/>
      <c r="E35" s="44"/>
      <c r="F35" s="95"/>
      <c r="G35" s="59"/>
    </row>
    <row r="36" spans="1:7" s="64" customFormat="1" ht="15.75" customHeight="1">
      <c r="A36" s="62"/>
      <c r="B36" s="57" t="s">
        <v>16</v>
      </c>
      <c r="C36" s="62"/>
      <c r="D36" s="62"/>
      <c r="E36" s="63"/>
      <c r="F36" s="96"/>
      <c r="G36" s="115">
        <f>-(F38+F48+F73+F78+G18+F85+F93+F95+F97+F99)</f>
        <v>-1223830.938431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59"/>
    </row>
    <row r="38" spans="1:7" ht="12.75" customHeight="1">
      <c r="A38" s="44"/>
      <c r="B38" s="54"/>
      <c r="D38" s="44" t="s">
        <v>18</v>
      </c>
      <c r="E38" s="65"/>
      <c r="F38" s="114">
        <f>SUM(F39:F46)</f>
        <v>102553.04792199998</v>
      </c>
      <c r="G38" s="59"/>
    </row>
    <row r="39" spans="1:7" ht="12.75" customHeight="1">
      <c r="A39" s="44"/>
      <c r="B39" s="54"/>
      <c r="D39" s="44"/>
      <c r="E39" s="65" t="s">
        <v>84</v>
      </c>
      <c r="F39" s="121">
        <v>6372.49</v>
      </c>
      <c r="G39" s="59"/>
    </row>
    <row r="40" spans="1:7" ht="12.75" customHeight="1">
      <c r="A40" s="44"/>
      <c r="B40" s="54"/>
      <c r="D40" s="44"/>
      <c r="E40" s="65" t="s">
        <v>43</v>
      </c>
      <c r="F40" s="121">
        <v>27353.93</v>
      </c>
      <c r="G40" s="59"/>
    </row>
    <row r="41" spans="1:7" ht="12.75" customHeight="1">
      <c r="A41" s="44"/>
      <c r="B41" s="54"/>
      <c r="D41" s="44"/>
      <c r="E41" s="65" t="s">
        <v>209</v>
      </c>
      <c r="F41" s="121">
        <v>14926.25</v>
      </c>
      <c r="G41" s="59"/>
    </row>
    <row r="42" spans="1:7" ht="12.75" customHeight="1">
      <c r="A42" s="44"/>
      <c r="B42" s="54"/>
      <c r="D42" s="44"/>
      <c r="E42" s="65" t="s">
        <v>85</v>
      </c>
      <c r="F42" s="121">
        <v>2564.12</v>
      </c>
      <c r="G42" s="59"/>
    </row>
    <row r="43" spans="1:7" ht="12.75" customHeight="1">
      <c r="A43" s="44"/>
      <c r="B43" s="54"/>
      <c r="D43" s="44"/>
      <c r="E43" s="66" t="s">
        <v>44</v>
      </c>
      <c r="F43" s="121">
        <v>421.39</v>
      </c>
      <c r="G43" s="59"/>
    </row>
    <row r="44" spans="1:7" ht="12.75" customHeight="1">
      <c r="A44" s="44"/>
      <c r="B44" s="54"/>
      <c r="D44" s="44"/>
      <c r="E44" s="66" t="s">
        <v>211</v>
      </c>
      <c r="F44" s="121">
        <v>1000.13</v>
      </c>
      <c r="G44" s="59"/>
    </row>
    <row r="45" spans="1:7" ht="12.75" customHeight="1">
      <c r="A45" s="44"/>
      <c r="B45" s="54"/>
      <c r="C45" s="44"/>
      <c r="D45" s="44"/>
      <c r="E45" s="66" t="s">
        <v>57</v>
      </c>
      <c r="F45" s="121">
        <v>48183.21</v>
      </c>
      <c r="G45" s="59"/>
    </row>
    <row r="46" spans="1:7" ht="12.75" customHeight="1">
      <c r="A46" s="44"/>
      <c r="B46" s="54"/>
      <c r="D46" s="44"/>
      <c r="E46" s="65" t="s">
        <v>189</v>
      </c>
      <c r="F46" s="95">
        <f>11021.82*15.71/100</f>
        <v>1731.527922</v>
      </c>
      <c r="G46" s="59"/>
    </row>
    <row r="47" spans="1:7" ht="12.75" customHeight="1">
      <c r="A47" s="44"/>
      <c r="B47" s="54"/>
      <c r="D47" s="44"/>
      <c r="E47" s="65"/>
      <c r="F47" s="109"/>
      <c r="G47" s="59"/>
    </row>
    <row r="48" spans="1:7" ht="12.75" customHeight="1">
      <c r="A48" s="44"/>
      <c r="B48" s="54"/>
      <c r="C48" s="44" t="s">
        <v>19</v>
      </c>
      <c r="D48" s="44"/>
      <c r="E48" s="65"/>
      <c r="F48" s="114">
        <f>SUM(F49:F71)</f>
        <v>805593.558445</v>
      </c>
      <c r="G48" s="59"/>
    </row>
    <row r="49" spans="1:7" ht="12.75" customHeight="1">
      <c r="A49" s="44"/>
      <c r="B49" s="54"/>
      <c r="C49" s="44"/>
      <c r="D49" s="44"/>
      <c r="E49" s="66" t="s">
        <v>49</v>
      </c>
      <c r="F49" s="97">
        <v>212.25</v>
      </c>
      <c r="G49" s="59"/>
    </row>
    <row r="50" spans="1:7" ht="12.75" customHeight="1">
      <c r="A50" s="44"/>
      <c r="B50" s="54"/>
      <c r="C50" s="44"/>
      <c r="D50" s="44"/>
      <c r="E50" s="66" t="s">
        <v>46</v>
      </c>
      <c r="F50" s="121">
        <v>18399.22</v>
      </c>
      <c r="G50" s="59"/>
    </row>
    <row r="51" spans="1:7" ht="12.75" customHeight="1">
      <c r="A51" s="44"/>
      <c r="B51" s="54"/>
      <c r="C51" s="44"/>
      <c r="D51" s="44"/>
      <c r="E51" s="66" t="s">
        <v>45</v>
      </c>
      <c r="F51" s="121">
        <v>4309.14</v>
      </c>
      <c r="G51" s="59"/>
    </row>
    <row r="52" spans="1:7" ht="12.75" customHeight="1">
      <c r="A52" s="44"/>
      <c r="B52" s="54"/>
      <c r="C52" s="44"/>
      <c r="D52" s="44"/>
      <c r="E52" s="66" t="s">
        <v>51</v>
      </c>
      <c r="F52" s="121">
        <v>2820.64</v>
      </c>
      <c r="G52" s="59"/>
    </row>
    <row r="53" spans="1:7" ht="12.75" customHeight="1">
      <c r="A53" s="44"/>
      <c r="B53" s="54"/>
      <c r="C53" s="44"/>
      <c r="D53" s="44"/>
      <c r="E53" s="66" t="s">
        <v>50</v>
      </c>
      <c r="F53" s="121">
        <v>13206.59</v>
      </c>
      <c r="G53" s="59"/>
    </row>
    <row r="54" spans="1:7" ht="12.75" customHeight="1">
      <c r="A54" s="44"/>
      <c r="B54" s="54"/>
      <c r="C54" s="44"/>
      <c r="D54" s="44"/>
      <c r="E54" s="66" t="s">
        <v>145</v>
      </c>
      <c r="F54" s="121">
        <v>898.8</v>
      </c>
      <c r="G54" s="59"/>
    </row>
    <row r="55" spans="1:7" ht="12.75" customHeight="1">
      <c r="A55" s="44"/>
      <c r="B55" s="54"/>
      <c r="C55" s="44"/>
      <c r="D55" s="44"/>
      <c r="E55" s="66" t="s">
        <v>121</v>
      </c>
      <c r="F55" s="121">
        <v>4830.41</v>
      </c>
      <c r="G55" s="59"/>
    </row>
    <row r="56" spans="1:7" ht="12.75" customHeight="1">
      <c r="A56" s="44"/>
      <c r="B56" s="54"/>
      <c r="C56" s="44"/>
      <c r="D56" s="44"/>
      <c r="E56" s="66" t="s">
        <v>47</v>
      </c>
      <c r="F56" s="121">
        <v>760</v>
      </c>
      <c r="G56" s="59"/>
    </row>
    <row r="57" spans="1:7" ht="12.75" customHeight="1">
      <c r="A57" s="44"/>
      <c r="B57" s="54"/>
      <c r="C57" s="44"/>
      <c r="D57" s="44"/>
      <c r="E57" s="66" t="s">
        <v>147</v>
      </c>
      <c r="F57" s="121">
        <v>1680</v>
      </c>
      <c r="G57" s="59"/>
    </row>
    <row r="58" spans="1:7" ht="12.75" customHeight="1">
      <c r="A58" s="44"/>
      <c r="B58" s="54"/>
      <c r="C58" s="44"/>
      <c r="D58" s="44"/>
      <c r="E58" s="66" t="s">
        <v>212</v>
      </c>
      <c r="F58" s="121">
        <v>238.8</v>
      </c>
      <c r="G58" s="59"/>
    </row>
    <row r="59" spans="1:7" ht="12.75" customHeight="1">
      <c r="A59" s="44"/>
      <c r="B59" s="54"/>
      <c r="C59" s="44"/>
      <c r="D59" s="44"/>
      <c r="E59" s="66" t="s">
        <v>213</v>
      </c>
      <c r="F59" s="121">
        <v>900</v>
      </c>
      <c r="G59" s="59"/>
    </row>
    <row r="60" spans="1:7" ht="12.75" customHeight="1">
      <c r="A60" s="44"/>
      <c r="B60" s="54"/>
      <c r="C60" s="44"/>
      <c r="D60" s="44"/>
      <c r="E60" s="66" t="s">
        <v>115</v>
      </c>
      <c r="F60" s="121">
        <v>708</v>
      </c>
      <c r="G60" s="59"/>
    </row>
    <row r="61" spans="1:7" ht="12.75" customHeight="1">
      <c r="A61" s="44"/>
      <c r="B61" s="54"/>
      <c r="C61" s="44"/>
      <c r="D61" s="44"/>
      <c r="E61" s="66" t="s">
        <v>86</v>
      </c>
      <c r="F61" s="121">
        <v>15465.04</v>
      </c>
      <c r="G61" s="59"/>
    </row>
    <row r="62" spans="1:7" ht="12.75" customHeight="1">
      <c r="A62" s="44"/>
      <c r="B62" s="54"/>
      <c r="C62" s="44"/>
      <c r="D62" s="44"/>
      <c r="E62" s="66" t="s">
        <v>48</v>
      </c>
      <c r="F62" s="121">
        <v>43240</v>
      </c>
      <c r="G62" s="59"/>
    </row>
    <row r="63" spans="1:7" ht="12.75" customHeight="1">
      <c r="A63" s="44"/>
      <c r="B63" s="54"/>
      <c r="C63" s="44"/>
      <c r="D63" s="44"/>
      <c r="E63" s="66" t="s">
        <v>59</v>
      </c>
      <c r="F63" s="121">
        <v>51350</v>
      </c>
      <c r="G63" s="59"/>
    </row>
    <row r="64" spans="1:7" ht="12.75" customHeight="1">
      <c r="A64" s="44"/>
      <c r="B64" s="54"/>
      <c r="C64" s="44"/>
      <c r="D64" s="44"/>
      <c r="E64" s="66" t="s">
        <v>118</v>
      </c>
      <c r="F64" s="121">
        <v>2238.03</v>
      </c>
      <c r="G64" s="59"/>
    </row>
    <row r="65" spans="1:7" s="1" customFormat="1" ht="12.75" customHeight="1">
      <c r="A65" s="89"/>
      <c r="B65" s="90"/>
      <c r="C65" s="113"/>
      <c r="D65" s="113"/>
      <c r="E65" s="91" t="s">
        <v>214</v>
      </c>
      <c r="F65" s="123">
        <v>6399.6</v>
      </c>
      <c r="G65" s="92"/>
    </row>
    <row r="66" spans="1:7" ht="12.75" customHeight="1">
      <c r="A66" s="44"/>
      <c r="B66" s="54"/>
      <c r="C66" s="44"/>
      <c r="D66" s="44"/>
      <c r="E66" s="66" t="s">
        <v>89</v>
      </c>
      <c r="F66" s="121">
        <v>91660.8</v>
      </c>
      <c r="G66" s="59"/>
    </row>
    <row r="67" spans="1:7" ht="13.5" customHeight="1">
      <c r="A67" s="44"/>
      <c r="B67" s="54"/>
      <c r="C67" s="44"/>
      <c r="D67" s="44"/>
      <c r="E67" s="66" t="s">
        <v>87</v>
      </c>
      <c r="F67" s="121">
        <v>434129.8</v>
      </c>
      <c r="G67" s="59"/>
    </row>
    <row r="68" spans="1:7" ht="13.5" customHeight="1">
      <c r="A68" s="44"/>
      <c r="B68" s="54"/>
      <c r="C68" s="44"/>
      <c r="D68" s="44"/>
      <c r="E68" s="66" t="s">
        <v>217</v>
      </c>
      <c r="F68" s="121">
        <v>23461</v>
      </c>
      <c r="G68" s="59"/>
    </row>
    <row r="69" spans="1:7" ht="12.75" customHeight="1">
      <c r="A69" s="44"/>
      <c r="B69" s="54"/>
      <c r="C69" s="44"/>
      <c r="D69" s="44"/>
      <c r="E69" s="66" t="s">
        <v>152</v>
      </c>
      <c r="F69" s="121">
        <v>27670</v>
      </c>
      <c r="G69" s="59"/>
    </row>
    <row r="70" spans="1:7" ht="12.75" customHeight="1">
      <c r="A70" s="44"/>
      <c r="B70" s="54"/>
      <c r="C70" s="44"/>
      <c r="D70" s="44"/>
      <c r="E70" s="66" t="s">
        <v>153</v>
      </c>
      <c r="F70" s="121">
        <v>3320</v>
      </c>
      <c r="G70" s="59"/>
    </row>
    <row r="71" spans="1:7" ht="12.75" customHeight="1">
      <c r="A71" s="44"/>
      <c r="B71" s="54"/>
      <c r="C71" s="44"/>
      <c r="D71" s="44"/>
      <c r="E71" s="66" t="s">
        <v>190</v>
      </c>
      <c r="F71" s="121">
        <f>(248110.76+124547.78-5405.59)*15.71/100</f>
        <v>57695.43844500001</v>
      </c>
      <c r="G71" s="98"/>
    </row>
    <row r="72" spans="1:7" ht="12.75" customHeight="1">
      <c r="A72" s="44"/>
      <c r="B72" s="54"/>
      <c r="C72" s="44"/>
      <c r="D72" s="44"/>
      <c r="E72" s="66"/>
      <c r="F72" s="109"/>
      <c r="G72" s="109"/>
    </row>
    <row r="73" spans="1:7" ht="12.75" customHeight="1">
      <c r="A73" s="44"/>
      <c r="B73" s="54"/>
      <c r="C73" s="44" t="s">
        <v>20</v>
      </c>
      <c r="D73" s="44"/>
      <c r="E73" s="65"/>
      <c r="F73" s="117">
        <f>SUM(F74:F76)</f>
        <v>1071.831457</v>
      </c>
      <c r="G73" s="59"/>
    </row>
    <row r="74" spans="1:7" ht="12.75" customHeight="1">
      <c r="A74" s="44"/>
      <c r="B74" s="54"/>
      <c r="C74" s="44"/>
      <c r="D74" s="44"/>
      <c r="E74" s="65" t="s">
        <v>122</v>
      </c>
      <c r="F74" s="99">
        <v>172.8</v>
      </c>
      <c r="G74" s="59"/>
    </row>
    <row r="75" spans="1:7" ht="12.75" customHeight="1">
      <c r="A75" s="44"/>
      <c r="B75" s="54"/>
      <c r="C75" s="44"/>
      <c r="D75" s="44"/>
      <c r="E75" s="66" t="s">
        <v>90</v>
      </c>
      <c r="F75" s="121">
        <v>0</v>
      </c>
      <c r="G75" s="59"/>
    </row>
    <row r="76" spans="1:7" ht="12.75" customHeight="1">
      <c r="A76" s="44"/>
      <c r="B76" s="54"/>
      <c r="C76" s="44"/>
      <c r="D76" s="44"/>
      <c r="E76" s="66" t="s">
        <v>189</v>
      </c>
      <c r="F76" s="121">
        <f>5722.67*15.71/100</f>
        <v>899.031457</v>
      </c>
      <c r="G76" s="59"/>
    </row>
    <row r="77" spans="1:7" ht="12.75" customHeight="1">
      <c r="A77" s="44"/>
      <c r="B77" s="54"/>
      <c r="C77" s="44"/>
      <c r="D77" s="44"/>
      <c r="E77" s="66"/>
      <c r="F77" s="98"/>
      <c r="G77" s="59"/>
    </row>
    <row r="78" spans="1:7" ht="12.75" customHeight="1">
      <c r="A78" s="44"/>
      <c r="B78" s="54"/>
      <c r="C78" s="44" t="s">
        <v>21</v>
      </c>
      <c r="D78" s="44"/>
      <c r="E78" s="65"/>
      <c r="F78" s="118">
        <f>SUM(F79:F83)</f>
        <v>247077.21611999997</v>
      </c>
      <c r="G78" s="59"/>
    </row>
    <row r="79" spans="1:7" ht="12.75" customHeight="1">
      <c r="A79" s="44"/>
      <c r="B79" s="54"/>
      <c r="D79" s="67" t="s">
        <v>22</v>
      </c>
      <c r="E79" s="68"/>
      <c r="F79" s="121">
        <f>(129444.33+7015.9)+((256108.02+5072.34+17493.67)*15.71/100)+(67700*15.71/100)+3637.8</f>
        <v>194513.390113</v>
      </c>
      <c r="G79" s="59"/>
    </row>
    <row r="80" spans="1:7" ht="12.75" customHeight="1">
      <c r="A80" s="44"/>
      <c r="B80" s="54"/>
      <c r="D80" s="67" t="s">
        <v>23</v>
      </c>
      <c r="E80" s="68"/>
      <c r="F80" s="121">
        <f>(27080.6+1822.1)+((37162.28+1268.09+4373.42)*15.71/100)+(17800*15.71/100)</f>
        <v>38423.55540899999</v>
      </c>
      <c r="G80" s="59"/>
    </row>
    <row r="81" spans="1:7" ht="12.75" customHeight="1">
      <c r="A81" s="44"/>
      <c r="B81" s="54"/>
      <c r="D81" s="67" t="s">
        <v>24</v>
      </c>
      <c r="E81" s="68"/>
      <c r="F81" s="121">
        <f>9606.81+(10979.21*15.71/100)</f>
        <v>11331.643891</v>
      </c>
      <c r="G81" s="59"/>
    </row>
    <row r="82" spans="1:7" ht="12.75" customHeight="1">
      <c r="A82" s="44"/>
      <c r="B82" s="54"/>
      <c r="D82" s="67" t="s">
        <v>25</v>
      </c>
      <c r="E82" s="68"/>
      <c r="F82" s="121">
        <v>0</v>
      </c>
      <c r="G82" s="59"/>
    </row>
    <row r="83" spans="1:7" ht="12.75" customHeight="1">
      <c r="A83" s="44"/>
      <c r="B83" s="54"/>
      <c r="D83" s="67" t="s">
        <v>26</v>
      </c>
      <c r="E83" s="68"/>
      <c r="F83" s="121">
        <f>1787.45+(6500.17*15.71/100)</f>
        <v>2808.6267070000004</v>
      </c>
      <c r="G83" s="59"/>
    </row>
    <row r="84" spans="1:7" ht="12.75" customHeight="1">
      <c r="A84" s="44"/>
      <c r="B84" s="54"/>
      <c r="D84" s="67"/>
      <c r="E84" s="68"/>
      <c r="F84" s="98"/>
      <c r="G84" s="59"/>
    </row>
    <row r="85" spans="1:7" ht="12.75" customHeight="1">
      <c r="A85" s="44"/>
      <c r="B85" s="54"/>
      <c r="C85" s="44" t="s">
        <v>27</v>
      </c>
      <c r="D85" s="44"/>
      <c r="E85" s="65"/>
      <c r="F85" s="118">
        <f>SUM(F86:F90)</f>
        <v>19739.175525</v>
      </c>
      <c r="G85" s="59"/>
    </row>
    <row r="86" spans="1:7" ht="12.75" customHeight="1">
      <c r="A86" s="44"/>
      <c r="B86" s="54"/>
      <c r="C86" s="44"/>
      <c r="D86" s="67" t="s">
        <v>28</v>
      </c>
      <c r="E86" s="68"/>
      <c r="F86" s="121">
        <f>5523.38+(2877.79*15.71/100)</f>
        <v>5975.480809000001</v>
      </c>
      <c r="G86" s="59"/>
    </row>
    <row r="87" spans="1:7" ht="12.75" customHeight="1">
      <c r="A87" s="44"/>
      <c r="B87" s="54"/>
      <c r="D87" s="67" t="s">
        <v>29</v>
      </c>
      <c r="E87" s="69"/>
      <c r="F87" s="121">
        <f>13432.22+(2109.96*15.71/100)</f>
        <v>13763.694716</v>
      </c>
      <c r="G87" s="59"/>
    </row>
    <row r="88" spans="1:7" ht="12.75" customHeight="1">
      <c r="A88" s="44"/>
      <c r="B88" s="54"/>
      <c r="D88" s="67" t="s">
        <v>31</v>
      </c>
      <c r="E88" s="68"/>
      <c r="F88" s="121">
        <v>0</v>
      </c>
      <c r="G88" s="59"/>
    </row>
    <row r="89" spans="1:7" ht="12.75" customHeight="1">
      <c r="A89" s="44"/>
      <c r="B89" s="54"/>
      <c r="D89" s="67" t="s">
        <v>32</v>
      </c>
      <c r="E89" s="68"/>
      <c r="F89" s="121"/>
      <c r="G89" s="59"/>
    </row>
    <row r="90" spans="1:7" ht="12.75" customHeight="1">
      <c r="A90" s="44"/>
      <c r="B90" s="54"/>
      <c r="D90" s="67"/>
      <c r="E90" s="69" t="s">
        <v>33</v>
      </c>
      <c r="F90" s="121">
        <v>0</v>
      </c>
      <c r="G90" s="59"/>
    </row>
    <row r="91" spans="1:7" ht="12.75" customHeight="1">
      <c r="A91" s="44"/>
      <c r="B91" s="54"/>
      <c r="D91" s="67"/>
      <c r="E91" s="69"/>
      <c r="F91" s="109"/>
      <c r="G91" s="59"/>
    </row>
    <row r="92" spans="1:7" ht="12.75" customHeight="1">
      <c r="A92" s="44"/>
      <c r="B92" s="54"/>
      <c r="C92" s="44" t="s">
        <v>34</v>
      </c>
      <c r="D92" s="44"/>
      <c r="E92" s="65"/>
      <c r="F92" s="95"/>
      <c r="G92" s="59"/>
    </row>
    <row r="93" spans="1:7" ht="12.75" customHeight="1">
      <c r="A93" s="44"/>
      <c r="B93" s="54"/>
      <c r="D93" s="44"/>
      <c r="E93" s="70" t="s">
        <v>35</v>
      </c>
      <c r="F93" s="119">
        <v>0</v>
      </c>
      <c r="G93" s="59"/>
    </row>
    <row r="94" spans="1:7" ht="12.75" customHeight="1">
      <c r="A94" s="44"/>
      <c r="B94" s="54"/>
      <c r="D94" s="44"/>
      <c r="E94" s="70"/>
      <c r="F94" s="95"/>
      <c r="G94" s="59"/>
    </row>
    <row r="95" spans="1:7" ht="12.75" customHeight="1">
      <c r="A95" s="44"/>
      <c r="B95" s="54"/>
      <c r="C95" s="44" t="s">
        <v>36</v>
      </c>
      <c r="D95" s="44"/>
      <c r="E95" s="65"/>
      <c r="F95" s="119">
        <f>121593.7*15.71/100</f>
        <v>19102.37027</v>
      </c>
      <c r="G95" s="59"/>
    </row>
    <row r="96" spans="1:7" ht="12.75" customHeight="1">
      <c r="A96" s="44"/>
      <c r="B96" s="54"/>
      <c r="C96" s="44"/>
      <c r="D96" s="44"/>
      <c r="E96" s="65"/>
      <c r="F96" s="95"/>
      <c r="G96" s="59"/>
    </row>
    <row r="97" spans="1:7" ht="12.75" customHeight="1">
      <c r="A97" s="44"/>
      <c r="B97" s="54"/>
      <c r="C97" s="44" t="s">
        <v>37</v>
      </c>
      <c r="D97" s="44"/>
      <c r="E97" s="65"/>
      <c r="F97" s="119">
        <v>0</v>
      </c>
      <c r="G97" s="59"/>
    </row>
    <row r="98" spans="1:7" ht="12.75" customHeight="1">
      <c r="A98" s="44"/>
      <c r="B98" s="54"/>
      <c r="C98" s="44"/>
      <c r="D98" s="44"/>
      <c r="E98" s="65"/>
      <c r="F98" s="95"/>
      <c r="G98" s="59"/>
    </row>
    <row r="99" spans="1:7" ht="12.75" customHeight="1">
      <c r="A99" s="44"/>
      <c r="B99" s="54"/>
      <c r="C99" s="44" t="s">
        <v>38</v>
      </c>
      <c r="D99" s="44"/>
      <c r="E99" s="65"/>
      <c r="F99" s="119">
        <f>SUM(F100:F107)</f>
        <v>28693.738692</v>
      </c>
      <c r="G99" s="59"/>
    </row>
    <row r="100" spans="1:7" ht="12.75" customHeight="1">
      <c r="A100" s="44"/>
      <c r="B100" s="54"/>
      <c r="C100" s="44"/>
      <c r="D100" s="44"/>
      <c r="E100" s="65" t="s">
        <v>123</v>
      </c>
      <c r="F100" s="101">
        <v>2.58</v>
      </c>
      <c r="G100" s="59"/>
    </row>
    <row r="101" spans="1:7" ht="12.75" customHeight="1">
      <c r="A101" s="44"/>
      <c r="B101" s="54"/>
      <c r="C101" s="44"/>
      <c r="D101" s="44"/>
      <c r="E101" s="65" t="s">
        <v>201</v>
      </c>
      <c r="F101" s="101">
        <v>32.5</v>
      </c>
      <c r="G101" s="59"/>
    </row>
    <row r="102" spans="1:7" ht="12.75" customHeight="1">
      <c r="A102" s="44"/>
      <c r="B102" s="54"/>
      <c r="C102" s="44"/>
      <c r="D102" s="44"/>
      <c r="E102" s="71" t="s">
        <v>124</v>
      </c>
      <c r="F102" s="101">
        <v>278.4</v>
      </c>
      <c r="G102" s="59"/>
    </row>
    <row r="103" spans="1:7" ht="12.75" customHeight="1">
      <c r="A103" s="44"/>
      <c r="B103" s="54"/>
      <c r="C103" s="44"/>
      <c r="D103" s="44"/>
      <c r="E103" s="66" t="s">
        <v>60</v>
      </c>
      <c r="F103" s="101">
        <v>16389</v>
      </c>
      <c r="G103" s="59"/>
    </row>
    <row r="104" spans="1:7" ht="12.75" customHeight="1">
      <c r="A104" s="44"/>
      <c r="B104" s="54"/>
      <c r="C104" s="44"/>
      <c r="D104" s="44"/>
      <c r="E104" s="66" t="s">
        <v>61</v>
      </c>
      <c r="F104" s="101">
        <v>275</v>
      </c>
      <c r="G104" s="59"/>
    </row>
    <row r="105" spans="1:7" ht="13.5" customHeight="1">
      <c r="A105" s="44"/>
      <c r="B105" s="54"/>
      <c r="C105" s="44"/>
      <c r="D105" s="44" t="s">
        <v>0</v>
      </c>
      <c r="E105" s="66" t="s">
        <v>56</v>
      </c>
      <c r="F105" s="121">
        <v>9680</v>
      </c>
      <c r="G105" s="59"/>
    </row>
    <row r="106" spans="1:7" ht="12.75" customHeight="1">
      <c r="A106" s="44"/>
      <c r="B106" s="54"/>
      <c r="C106" s="44"/>
      <c r="D106" s="44" t="s">
        <v>0</v>
      </c>
      <c r="E106" s="66" t="s">
        <v>125</v>
      </c>
      <c r="F106" s="121">
        <v>344.21</v>
      </c>
      <c r="G106" s="59"/>
    </row>
    <row r="107" spans="1:7" ht="12.75" customHeight="1">
      <c r="A107" s="44"/>
      <c r="B107" s="54"/>
      <c r="C107" s="44"/>
      <c r="D107" s="44"/>
      <c r="E107" s="66" t="s">
        <v>190</v>
      </c>
      <c r="F107" s="93">
        <f>10770.52*15.71/100</f>
        <v>1692.048692</v>
      </c>
      <c r="G107" s="100"/>
    </row>
    <row r="108" spans="1:7" ht="12.75" customHeight="1">
      <c r="A108" s="44"/>
      <c r="B108" s="54"/>
      <c r="C108" s="44"/>
      <c r="D108" s="44"/>
      <c r="E108" s="70"/>
      <c r="F108" s="95" t="s">
        <v>0</v>
      </c>
      <c r="G108" s="59"/>
    </row>
    <row r="109" spans="1:7" ht="15" customHeight="1">
      <c r="A109" s="72"/>
      <c r="B109" s="57" t="s">
        <v>39</v>
      </c>
      <c r="C109" s="73"/>
      <c r="D109" s="73"/>
      <c r="E109" s="66"/>
      <c r="F109" s="95" t="s">
        <v>0</v>
      </c>
      <c r="G109" s="120">
        <f>G19+G36</f>
        <v>-364225.641417</v>
      </c>
    </row>
    <row r="110" spans="1:7" ht="12.75" customHeight="1">
      <c r="A110" s="44"/>
      <c r="B110" s="74" t="s">
        <v>40</v>
      </c>
      <c r="C110" s="44"/>
      <c r="D110" s="44"/>
      <c r="E110" s="70"/>
      <c r="F110" s="95" t="s">
        <v>0</v>
      </c>
      <c r="G110" s="75"/>
    </row>
    <row r="111" spans="2:7" ht="12" customHeight="1">
      <c r="B111" s="76"/>
      <c r="E111" s="65"/>
      <c r="F111" s="95" t="s">
        <v>0</v>
      </c>
      <c r="G111" s="75"/>
    </row>
    <row r="112" spans="2:7" ht="15" customHeight="1">
      <c r="B112" s="57" t="s">
        <v>77</v>
      </c>
      <c r="C112" s="62"/>
      <c r="D112" s="62"/>
      <c r="E112" s="77"/>
      <c r="F112" s="96"/>
      <c r="G112" s="120">
        <f>F114+F115-F116</f>
        <v>867.1920000000002</v>
      </c>
    </row>
    <row r="113" spans="2:7" ht="12">
      <c r="B113" s="76"/>
      <c r="E113" s="65"/>
      <c r="F113" s="95"/>
      <c r="G113" s="75"/>
    </row>
    <row r="114" spans="2:7" ht="14.25">
      <c r="B114" s="54"/>
      <c r="C114" s="44" t="s">
        <v>74</v>
      </c>
      <c r="D114" s="44"/>
      <c r="E114" s="65"/>
      <c r="F114" s="116">
        <v>0</v>
      </c>
      <c r="G114" s="75"/>
    </row>
    <row r="115" spans="2:7" ht="14.25">
      <c r="B115" s="76"/>
      <c r="C115" s="44" t="s">
        <v>75</v>
      </c>
      <c r="E115" s="65"/>
      <c r="F115" s="124">
        <f>11622.59*15.71/100</f>
        <v>1825.9088890000003</v>
      </c>
      <c r="G115" s="75"/>
    </row>
    <row r="116" spans="2:7" ht="14.25">
      <c r="B116" s="76"/>
      <c r="C116" s="44" t="s">
        <v>76</v>
      </c>
      <c r="E116" s="65"/>
      <c r="F116" s="124">
        <f>(697+5405.59)*15.71/100</f>
        <v>958.716889</v>
      </c>
      <c r="G116" s="75"/>
    </row>
    <row r="117" spans="2:7" ht="12">
      <c r="B117" s="76"/>
      <c r="E117" s="65"/>
      <c r="F117" s="95"/>
      <c r="G117" s="75"/>
    </row>
    <row r="118" spans="2:7" ht="15.75">
      <c r="B118" s="57" t="s">
        <v>78</v>
      </c>
      <c r="C118" s="62"/>
      <c r="D118" s="62"/>
      <c r="E118" s="77"/>
      <c r="F118" s="128">
        <v>0</v>
      </c>
      <c r="G118" s="132">
        <v>0</v>
      </c>
    </row>
    <row r="119" spans="2:7" ht="12">
      <c r="B119" s="76"/>
      <c r="E119" s="65"/>
      <c r="F119" s="95"/>
      <c r="G119" s="75"/>
    </row>
    <row r="120" spans="2:7" ht="15.75">
      <c r="B120" s="57" t="s">
        <v>73</v>
      </c>
      <c r="C120" s="62"/>
      <c r="D120" s="62"/>
      <c r="E120" s="77"/>
      <c r="F120" s="96"/>
      <c r="G120" s="120">
        <f>F122-F123</f>
        <v>-2364.0989270000005</v>
      </c>
    </row>
    <row r="121" spans="2:7" ht="12">
      <c r="B121" s="76"/>
      <c r="E121" s="65"/>
      <c r="F121" s="95"/>
      <c r="G121" s="75"/>
    </row>
    <row r="122" spans="2:7" ht="14.25">
      <c r="B122" s="76"/>
      <c r="C122" s="44" t="s">
        <v>79</v>
      </c>
      <c r="E122" s="65"/>
      <c r="F122" s="124">
        <v>0</v>
      </c>
      <c r="G122" s="75"/>
    </row>
    <row r="123" spans="2:7" ht="14.25">
      <c r="B123" s="76"/>
      <c r="C123" s="44" t="s">
        <v>80</v>
      </c>
      <c r="E123" s="65"/>
      <c r="F123" s="124">
        <f>15048.37*15.71/100</f>
        <v>2364.0989270000005</v>
      </c>
      <c r="G123" s="75"/>
    </row>
    <row r="124" spans="2:7" ht="14.25">
      <c r="B124" s="76"/>
      <c r="E124" s="65"/>
      <c r="F124" s="124"/>
      <c r="G124" s="75"/>
    </row>
    <row r="125" spans="2:7" ht="15.75">
      <c r="B125" s="79" t="s">
        <v>81</v>
      </c>
      <c r="C125" s="63"/>
      <c r="D125" s="63"/>
      <c r="E125" s="77"/>
      <c r="F125" s="124">
        <f>111976.37*15.71/100</f>
        <v>17591.487727</v>
      </c>
      <c r="G125" s="120">
        <f>F125</f>
        <v>17591.487727</v>
      </c>
    </row>
    <row r="126" spans="2:7" ht="15">
      <c r="B126" s="76"/>
      <c r="E126" s="65"/>
      <c r="F126" s="95"/>
      <c r="G126" s="129"/>
    </row>
    <row r="127" spans="2:7" ht="15.75">
      <c r="B127" s="57"/>
      <c r="E127" s="80" t="s">
        <v>82</v>
      </c>
      <c r="F127" s="95"/>
      <c r="G127" s="125">
        <f>G109+G112-G118+G120-G125</f>
        <v>-383314.03607100004</v>
      </c>
    </row>
    <row r="128" spans="2:7" ht="12">
      <c r="B128" s="81"/>
      <c r="C128" s="82"/>
      <c r="D128" s="82"/>
      <c r="E128" s="83"/>
      <c r="F128" s="84"/>
      <c r="G128" s="8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5" max="6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F93" sqref="F93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220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6.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F20+F23+F24+F25+F27</f>
        <v>503057.238372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496452.6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93</v>
      </c>
      <c r="F21" s="110">
        <v>496452.6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95">
        <f>5015.15-7708.4</f>
        <v>-2693.25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93">
        <f>SUM(F28:F29)</f>
        <v>9297.888372</v>
      </c>
      <c r="G27" s="104"/>
    </row>
    <row r="28" spans="1:7" ht="12.75" customHeight="1">
      <c r="A28" s="44"/>
      <c r="B28" s="54"/>
      <c r="C28" s="44"/>
      <c r="D28" s="60" t="s">
        <v>30</v>
      </c>
      <c r="E28" s="45" t="s">
        <v>94</v>
      </c>
      <c r="F28" s="110">
        <v>347.82</v>
      </c>
      <c r="G28" s="105"/>
    </row>
    <row r="29" spans="1:7" ht="12.75" customHeight="1">
      <c r="A29" s="44"/>
      <c r="B29" s="54"/>
      <c r="C29" s="44"/>
      <c r="D29" s="60" t="s">
        <v>30</v>
      </c>
      <c r="E29" s="44" t="s">
        <v>188</v>
      </c>
      <c r="F29" s="95">
        <f>195416.34*4.58/100</f>
        <v>8950.068372</v>
      </c>
      <c r="G29" s="105"/>
    </row>
    <row r="30" spans="1:7" ht="12.75" customHeight="1">
      <c r="A30" s="44"/>
      <c r="B30" s="54"/>
      <c r="C30" s="44"/>
      <c r="D30" s="44"/>
      <c r="E30" s="44"/>
      <c r="F30" s="95"/>
      <c r="G30" s="104"/>
    </row>
    <row r="31" spans="1:7" s="64" customFormat="1" ht="15" customHeight="1">
      <c r="A31" s="62"/>
      <c r="B31" s="57" t="s">
        <v>16</v>
      </c>
      <c r="C31" s="62"/>
      <c r="D31" s="62"/>
      <c r="E31" s="63"/>
      <c r="F31" s="96"/>
      <c r="G31" s="115">
        <f>-(F33+F42+F49+F52+F59+F67+F69+F71+F73)</f>
        <v>-502530.392738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04"/>
    </row>
    <row r="33" spans="1:7" ht="12.75" customHeight="1">
      <c r="A33" s="44"/>
      <c r="B33" s="54"/>
      <c r="D33" s="44" t="s">
        <v>18</v>
      </c>
      <c r="E33" s="65"/>
      <c r="F33" s="114">
        <f>SUM(F34:F40)</f>
        <v>208007.50935600005</v>
      </c>
      <c r="G33" s="104"/>
    </row>
    <row r="34" spans="1:7" ht="12.75" customHeight="1">
      <c r="A34" s="44"/>
      <c r="B34" s="54"/>
      <c r="D34" s="44"/>
      <c r="E34" s="65" t="s">
        <v>95</v>
      </c>
      <c r="F34" s="121">
        <v>196528.72</v>
      </c>
      <c r="G34" s="104"/>
    </row>
    <row r="35" spans="1:7" ht="12.75" customHeight="1">
      <c r="A35" s="44"/>
      <c r="B35" s="54"/>
      <c r="D35" s="44"/>
      <c r="E35" s="65" t="s">
        <v>58</v>
      </c>
      <c r="F35" s="121">
        <v>286.14</v>
      </c>
      <c r="G35" s="104"/>
    </row>
    <row r="36" spans="1:7" ht="12.75" customHeight="1">
      <c r="A36" s="44"/>
      <c r="B36" s="54"/>
      <c r="D36" s="44"/>
      <c r="E36" s="65" t="s">
        <v>85</v>
      </c>
      <c r="F36" s="121">
        <v>949.98</v>
      </c>
      <c r="G36" s="104"/>
    </row>
    <row r="37" spans="1:7" ht="12.75" customHeight="1">
      <c r="A37" s="44"/>
      <c r="B37" s="54"/>
      <c r="D37" s="44"/>
      <c r="E37" s="66" t="s">
        <v>44</v>
      </c>
      <c r="F37" s="121">
        <v>642</v>
      </c>
      <c r="G37" s="104"/>
    </row>
    <row r="38" spans="1:7" ht="12.75" customHeight="1">
      <c r="A38" s="44"/>
      <c r="B38" s="54"/>
      <c r="D38" s="44"/>
      <c r="E38" s="65" t="s">
        <v>96</v>
      </c>
      <c r="F38" s="121">
        <v>1342.73</v>
      </c>
      <c r="G38" s="104"/>
    </row>
    <row r="39" spans="1:7" ht="12.75" customHeight="1">
      <c r="A39" s="44"/>
      <c r="B39" s="54"/>
      <c r="C39" s="44"/>
      <c r="D39" s="44"/>
      <c r="E39" s="66" t="s">
        <v>57</v>
      </c>
      <c r="F39" s="121">
        <v>7753.14</v>
      </c>
      <c r="G39" s="104"/>
    </row>
    <row r="40" spans="1:7" ht="12.75" customHeight="1">
      <c r="A40" s="44"/>
      <c r="B40" s="54"/>
      <c r="D40" s="44"/>
      <c r="E40" s="65" t="s">
        <v>189</v>
      </c>
      <c r="F40" s="95">
        <f>11021.82*4.58/100</f>
        <v>504.799356</v>
      </c>
      <c r="G40" s="104"/>
    </row>
    <row r="41" spans="1:7" ht="12.75" customHeight="1">
      <c r="A41" s="44"/>
      <c r="B41" s="54"/>
      <c r="D41" s="44"/>
      <c r="E41" s="65"/>
      <c r="F41" s="101"/>
      <c r="G41" s="104"/>
    </row>
    <row r="42" spans="1:7" ht="12.75" customHeight="1">
      <c r="A42" s="44"/>
      <c r="B42" s="54"/>
      <c r="C42" s="44" t="s">
        <v>19</v>
      </c>
      <c r="D42" s="44"/>
      <c r="E42" s="65"/>
      <c r="F42" s="114">
        <f>SUM(F43:F47)</f>
        <v>33763.45511</v>
      </c>
      <c r="G42" s="104"/>
    </row>
    <row r="43" spans="1:7" ht="12.75" customHeight="1">
      <c r="A43" s="44"/>
      <c r="B43" s="54"/>
      <c r="C43" s="44"/>
      <c r="D43" s="44"/>
      <c r="E43" s="66" t="s">
        <v>46</v>
      </c>
      <c r="F43" s="121">
        <v>6439.73</v>
      </c>
      <c r="G43" s="104"/>
    </row>
    <row r="44" spans="1:7" ht="12.75" customHeight="1">
      <c r="A44" s="44"/>
      <c r="B44" s="54"/>
      <c r="C44" s="44"/>
      <c r="D44" s="44"/>
      <c r="E44" s="66" t="s">
        <v>45</v>
      </c>
      <c r="F44" s="121">
        <v>5386.43</v>
      </c>
      <c r="G44" s="104"/>
    </row>
    <row r="45" spans="1:7" ht="12.75" customHeight="1">
      <c r="A45" s="44"/>
      <c r="B45" s="54"/>
      <c r="C45" s="44"/>
      <c r="D45" s="44"/>
      <c r="E45" s="66" t="s">
        <v>51</v>
      </c>
      <c r="F45" s="121">
        <v>5087.11</v>
      </c>
      <c r="G45" s="104"/>
    </row>
    <row r="46" spans="1:7" ht="12.75" customHeight="1">
      <c r="A46" s="44"/>
      <c r="B46" s="54"/>
      <c r="C46" s="44"/>
      <c r="D46" s="44"/>
      <c r="E46" s="66" t="s">
        <v>182</v>
      </c>
      <c r="F46" s="121">
        <v>30</v>
      </c>
      <c r="G46" s="104"/>
    </row>
    <row r="47" spans="1:7" ht="12.75" customHeight="1">
      <c r="A47" s="44"/>
      <c r="B47" s="54"/>
      <c r="C47" s="44"/>
      <c r="D47" s="44"/>
      <c r="E47" s="66" t="s">
        <v>189</v>
      </c>
      <c r="F47" s="121">
        <f>(248110.76+124547.78-5405.59)*4.58/100</f>
        <v>16820.185110000002</v>
      </c>
      <c r="G47" s="104"/>
    </row>
    <row r="48" spans="1:7" ht="12.75" customHeight="1">
      <c r="A48" s="44"/>
      <c r="B48" s="54"/>
      <c r="C48" s="44"/>
      <c r="D48" s="44"/>
      <c r="E48" s="66"/>
      <c r="F48" s="101"/>
      <c r="G48" s="104"/>
    </row>
    <row r="49" spans="1:7" ht="12.75" customHeight="1">
      <c r="A49" s="44"/>
      <c r="B49" s="54"/>
      <c r="C49" s="44" t="s">
        <v>20</v>
      </c>
      <c r="D49" s="44"/>
      <c r="E49" s="65"/>
      <c r="F49" s="116">
        <f>SUM(F50:F50)</f>
        <v>262.09828600000003</v>
      </c>
      <c r="G49" s="104"/>
    </row>
    <row r="50" spans="1:7" ht="12.75" customHeight="1">
      <c r="A50" s="44"/>
      <c r="B50" s="54"/>
      <c r="C50" s="44"/>
      <c r="D50" s="44"/>
      <c r="E50" s="66" t="s">
        <v>189</v>
      </c>
      <c r="F50" s="99">
        <f>5722.67*4.58/100</f>
        <v>262.09828600000003</v>
      </c>
      <c r="G50" s="104"/>
    </row>
    <row r="51" spans="1:7" ht="12.75" customHeight="1">
      <c r="A51" s="44"/>
      <c r="B51" s="54"/>
      <c r="C51" s="44"/>
      <c r="D51" s="44"/>
      <c r="E51" s="66"/>
      <c r="F51" s="99"/>
      <c r="G51" s="104"/>
    </row>
    <row r="52" spans="1:7" ht="12.75" customHeight="1">
      <c r="A52" s="44"/>
      <c r="B52" s="54"/>
      <c r="C52" s="44" t="s">
        <v>21</v>
      </c>
      <c r="D52" s="44"/>
      <c r="E52" s="65"/>
      <c r="F52" s="114">
        <f>SUM(F53:F57)</f>
        <v>249920.44976000002</v>
      </c>
      <c r="G52" s="104"/>
    </row>
    <row r="53" spans="1:7" ht="12.75" customHeight="1">
      <c r="A53" s="44"/>
      <c r="B53" s="54"/>
      <c r="D53" s="67" t="s">
        <v>22</v>
      </c>
      <c r="E53" s="68"/>
      <c r="F53" s="121">
        <f>(147654.14+5635.93+9952.62)+((256108.02+5072.34+17493.67)*4.58/100)+(67700*4.58/100)+1038.29</f>
        <v>180144.910574</v>
      </c>
      <c r="G53" s="104"/>
    </row>
    <row r="54" spans="1:7" ht="12.75" customHeight="1">
      <c r="A54" s="44"/>
      <c r="B54" s="54"/>
      <c r="D54" s="67" t="s">
        <v>23</v>
      </c>
      <c r="E54" s="68"/>
      <c r="F54" s="121">
        <f>(37885.14+1408.98+2488.16)+((37162.28+1268.09+4373.42)*4.58/100)+(17800*4.58/100)</f>
        <v>44557.933582</v>
      </c>
      <c r="G54" s="104"/>
    </row>
    <row r="55" spans="1:7" ht="12.75" customHeight="1">
      <c r="A55" s="44"/>
      <c r="B55" s="54"/>
      <c r="D55" s="67" t="s">
        <v>24</v>
      </c>
      <c r="E55" s="68"/>
      <c r="F55" s="121">
        <f>20586.81+(10979.21*4.58/100)</f>
        <v>21089.657818</v>
      </c>
      <c r="G55" s="104"/>
    </row>
    <row r="56" spans="1:7" ht="12.75" customHeight="1">
      <c r="A56" s="44"/>
      <c r="B56" s="54"/>
      <c r="D56" s="67" t="s">
        <v>25</v>
      </c>
      <c r="E56" s="68"/>
      <c r="F56" s="121">
        <v>0</v>
      </c>
      <c r="G56" s="104"/>
    </row>
    <row r="57" spans="1:7" ht="12.75" customHeight="1">
      <c r="A57" s="44"/>
      <c r="B57" s="54"/>
      <c r="D57" s="67" t="s">
        <v>126</v>
      </c>
      <c r="E57" s="68"/>
      <c r="F57" s="121">
        <f>3830.24+(6500.17*4.58/100)</f>
        <v>4127.947786</v>
      </c>
      <c r="G57" s="104"/>
    </row>
    <row r="58" spans="1:7" ht="12.75" customHeight="1">
      <c r="A58" s="44"/>
      <c r="B58" s="54"/>
      <c r="D58" s="67"/>
      <c r="E58" s="68"/>
      <c r="F58" s="121"/>
      <c r="G58" s="104"/>
    </row>
    <row r="59" spans="1:7" ht="12.75" customHeight="1">
      <c r="A59" s="44"/>
      <c r="B59" s="54"/>
      <c r="C59" s="44" t="s">
        <v>27</v>
      </c>
      <c r="D59" s="44"/>
      <c r="E59" s="65"/>
      <c r="F59" s="114">
        <f>SUM(F60:F64)</f>
        <v>1733.69895</v>
      </c>
      <c r="G59" s="104"/>
    </row>
    <row r="60" spans="1:7" ht="12.75" customHeight="1">
      <c r="A60" s="44"/>
      <c r="B60" s="54"/>
      <c r="C60" s="44"/>
      <c r="D60" s="67" t="s">
        <v>28</v>
      </c>
      <c r="E60" s="68"/>
      <c r="F60" s="121">
        <f>2877.79*4.58/100</f>
        <v>131.802782</v>
      </c>
      <c r="G60" s="104"/>
    </row>
    <row r="61" spans="1:7" ht="12.75" customHeight="1">
      <c r="A61" s="44"/>
      <c r="B61" s="54"/>
      <c r="D61" s="67" t="s">
        <v>29</v>
      </c>
      <c r="E61" s="69"/>
      <c r="F61" s="121">
        <f>1505.26+(2109.96*4.58/100)</f>
        <v>1601.896168</v>
      </c>
      <c r="G61" s="104"/>
    </row>
    <row r="62" spans="1:7" ht="12.75" customHeight="1">
      <c r="A62" s="44"/>
      <c r="B62" s="54"/>
      <c r="D62" s="67" t="s">
        <v>31</v>
      </c>
      <c r="E62" s="68"/>
      <c r="F62" s="121">
        <v>0</v>
      </c>
      <c r="G62" s="104"/>
    </row>
    <row r="63" spans="1:7" ht="12.75" customHeight="1">
      <c r="A63" s="44"/>
      <c r="B63" s="54"/>
      <c r="D63" s="67" t="s">
        <v>32</v>
      </c>
      <c r="E63" s="68"/>
      <c r="F63" s="121"/>
      <c r="G63" s="104"/>
    </row>
    <row r="64" spans="1:7" ht="12.75" customHeight="1">
      <c r="A64" s="44"/>
      <c r="B64" s="54"/>
      <c r="D64" s="67"/>
      <c r="E64" s="69" t="s">
        <v>33</v>
      </c>
      <c r="F64" s="121">
        <v>0</v>
      </c>
      <c r="G64" s="104"/>
    </row>
    <row r="65" spans="1:7" ht="12.75" customHeight="1">
      <c r="A65" s="44"/>
      <c r="B65" s="54"/>
      <c r="D65" s="67"/>
      <c r="E65" s="69"/>
      <c r="F65" s="109"/>
      <c r="G65" s="104"/>
    </row>
    <row r="66" spans="1:7" ht="12.75" customHeight="1">
      <c r="A66" s="44"/>
      <c r="B66" s="54"/>
      <c r="C66" s="44" t="s">
        <v>34</v>
      </c>
      <c r="D66" s="44"/>
      <c r="E66" s="65"/>
      <c r="F66" s="95"/>
      <c r="G66" s="104"/>
    </row>
    <row r="67" spans="1:7" ht="12.75" customHeight="1">
      <c r="A67" s="44"/>
      <c r="B67" s="54"/>
      <c r="D67" s="44"/>
      <c r="E67" s="70" t="s">
        <v>35</v>
      </c>
      <c r="F67" s="124">
        <v>0</v>
      </c>
      <c r="G67" s="104"/>
    </row>
    <row r="68" spans="1:7" ht="12.75" customHeight="1">
      <c r="A68" s="44"/>
      <c r="B68" s="54"/>
      <c r="D68" s="44"/>
      <c r="E68" s="70"/>
      <c r="F68" s="124"/>
      <c r="G68" s="104"/>
    </row>
    <row r="69" spans="1:7" ht="12.75" customHeight="1">
      <c r="A69" s="44"/>
      <c r="B69" s="54"/>
      <c r="C69" s="44" t="s">
        <v>36</v>
      </c>
      <c r="D69" s="44"/>
      <c r="E69" s="65"/>
      <c r="F69" s="124">
        <f>121593.7*4.58/100</f>
        <v>5568.991459999999</v>
      </c>
      <c r="G69" s="104"/>
    </row>
    <row r="70" spans="1:7" ht="12.75" customHeight="1">
      <c r="A70" s="44"/>
      <c r="B70" s="54"/>
      <c r="C70" s="44"/>
      <c r="D70" s="44"/>
      <c r="E70" s="65"/>
      <c r="F70" s="124"/>
      <c r="G70" s="104"/>
    </row>
    <row r="71" spans="1:7" ht="12.75" customHeight="1">
      <c r="A71" s="44"/>
      <c r="B71" s="54"/>
      <c r="C71" s="44" t="s">
        <v>37</v>
      </c>
      <c r="D71" s="44"/>
      <c r="E71" s="65"/>
      <c r="F71" s="124">
        <v>0</v>
      </c>
      <c r="G71" s="104"/>
    </row>
    <row r="72" spans="1:7" ht="12.75" customHeight="1">
      <c r="A72" s="44"/>
      <c r="B72" s="54"/>
      <c r="C72" s="44"/>
      <c r="D72" s="44"/>
      <c r="E72" s="65"/>
      <c r="F72" s="124"/>
      <c r="G72" s="104"/>
    </row>
    <row r="73" spans="1:7" ht="12.75" customHeight="1">
      <c r="A73" s="44"/>
      <c r="B73" s="54"/>
      <c r="C73" s="44" t="s">
        <v>38</v>
      </c>
      <c r="D73" s="44"/>
      <c r="E73" s="65"/>
      <c r="F73" s="124">
        <f>SUM(F74:F75)</f>
        <v>3274.189816</v>
      </c>
      <c r="G73" s="104"/>
    </row>
    <row r="74" spans="1:7" ht="13.5" customHeight="1">
      <c r="A74" s="44"/>
      <c r="B74" s="54"/>
      <c r="C74" s="44"/>
      <c r="D74" s="44" t="s">
        <v>0</v>
      </c>
      <c r="E74" s="66" t="s">
        <v>56</v>
      </c>
      <c r="F74" s="98">
        <v>2780.9</v>
      </c>
      <c r="G74" s="104"/>
    </row>
    <row r="75" spans="1:7" ht="12.75" customHeight="1">
      <c r="A75" s="44"/>
      <c r="B75" s="54"/>
      <c r="C75" s="44"/>
      <c r="D75" s="44"/>
      <c r="E75" s="66" t="s">
        <v>190</v>
      </c>
      <c r="F75" s="100">
        <f>10770.52*4.58/100</f>
        <v>493.289816</v>
      </c>
      <c r="G75" s="104"/>
    </row>
    <row r="76" spans="1:7" ht="12.75" customHeight="1">
      <c r="A76" s="44"/>
      <c r="B76" s="54"/>
      <c r="C76" s="44"/>
      <c r="D76" s="44"/>
      <c r="E76" s="70"/>
      <c r="F76" s="95" t="s">
        <v>0</v>
      </c>
      <c r="G76" s="104"/>
    </row>
    <row r="77" spans="1:7" ht="14.25" customHeight="1">
      <c r="A77" s="72"/>
      <c r="B77" s="57" t="s">
        <v>39</v>
      </c>
      <c r="C77" s="73"/>
      <c r="D77" s="73"/>
      <c r="E77" s="66"/>
      <c r="F77" s="95" t="s">
        <v>0</v>
      </c>
      <c r="G77" s="120">
        <f>G19+G31</f>
        <v>526.8456339999684</v>
      </c>
    </row>
    <row r="78" spans="1:7" ht="12.75" customHeight="1">
      <c r="A78" s="44"/>
      <c r="B78" s="74" t="s">
        <v>40</v>
      </c>
      <c r="C78" s="44"/>
      <c r="D78" s="44"/>
      <c r="E78" s="70"/>
      <c r="F78" s="95" t="s">
        <v>0</v>
      </c>
      <c r="G78" s="106"/>
    </row>
    <row r="79" spans="2:7" ht="12" customHeight="1">
      <c r="B79" s="76"/>
      <c r="E79" s="65"/>
      <c r="F79" s="95" t="s">
        <v>0</v>
      </c>
      <c r="G79" s="106"/>
    </row>
    <row r="80" spans="2:7" ht="15" customHeight="1">
      <c r="B80" s="57" t="s">
        <v>77</v>
      </c>
      <c r="C80" s="62"/>
      <c r="D80" s="62"/>
      <c r="E80" s="77"/>
      <c r="F80" s="96"/>
      <c r="G80" s="120">
        <f>F82+F83-F84</f>
        <v>252.81599999999997</v>
      </c>
    </row>
    <row r="81" spans="2:7" ht="12">
      <c r="B81" s="76"/>
      <c r="E81" s="65"/>
      <c r="F81" s="95"/>
      <c r="G81" s="106"/>
    </row>
    <row r="82" spans="2:7" ht="14.25">
      <c r="B82" s="54"/>
      <c r="C82" s="44" t="s">
        <v>74</v>
      </c>
      <c r="D82" s="44"/>
      <c r="E82" s="65"/>
      <c r="F82" s="116">
        <v>0</v>
      </c>
      <c r="G82" s="106"/>
    </row>
    <row r="83" spans="2:7" ht="14.25">
      <c r="B83" s="76"/>
      <c r="C83" s="44" t="s">
        <v>75</v>
      </c>
      <c r="E83" s="65"/>
      <c r="F83" s="124">
        <f>11622.59*4.58/100</f>
        <v>532.314622</v>
      </c>
      <c r="G83" s="106"/>
    </row>
    <row r="84" spans="2:7" ht="14.25">
      <c r="B84" s="76"/>
      <c r="C84" s="44" t="s">
        <v>76</v>
      </c>
      <c r="E84" s="65"/>
      <c r="F84" s="124">
        <f>(697+5405.59)*4.58/100</f>
        <v>279.498622</v>
      </c>
      <c r="G84" s="106"/>
    </row>
    <row r="85" spans="2:7" ht="12">
      <c r="B85" s="76"/>
      <c r="E85" s="65"/>
      <c r="F85" s="95"/>
      <c r="G85" s="106"/>
    </row>
    <row r="86" spans="2:7" ht="15.75">
      <c r="B86" s="57" t="s">
        <v>78</v>
      </c>
      <c r="C86" s="62"/>
      <c r="D86" s="62"/>
      <c r="E86" s="77"/>
      <c r="F86" s="128">
        <v>0</v>
      </c>
      <c r="G86" s="120">
        <v>0</v>
      </c>
    </row>
    <row r="87" spans="2:7" ht="12">
      <c r="B87" s="76"/>
      <c r="E87" s="65"/>
      <c r="F87" s="95"/>
      <c r="G87" s="106"/>
    </row>
    <row r="88" spans="2:7" ht="15.75">
      <c r="B88" s="57" t="s">
        <v>73</v>
      </c>
      <c r="C88" s="62"/>
      <c r="D88" s="62"/>
      <c r="E88" s="77"/>
      <c r="F88" s="96"/>
      <c r="G88" s="120">
        <f>F90-F91</f>
        <v>-953.215346</v>
      </c>
    </row>
    <row r="89" spans="2:7" ht="12">
      <c r="B89" s="76"/>
      <c r="E89" s="65"/>
      <c r="F89" s="95"/>
      <c r="G89" s="106"/>
    </row>
    <row r="90" spans="2:7" ht="14.25">
      <c r="B90" s="76"/>
      <c r="C90" s="44" t="s">
        <v>79</v>
      </c>
      <c r="E90" s="65"/>
      <c r="F90" s="124">
        <v>0</v>
      </c>
      <c r="G90" s="106"/>
    </row>
    <row r="91" spans="2:7" ht="14.25">
      <c r="B91" s="76"/>
      <c r="C91" s="44" t="s">
        <v>80</v>
      </c>
      <c r="E91" s="65"/>
      <c r="F91" s="124">
        <f>264+(15048.37*4.58/100)</f>
        <v>953.215346</v>
      </c>
      <c r="G91" s="106"/>
    </row>
    <row r="92" spans="2:7" ht="12">
      <c r="B92" s="76"/>
      <c r="E92" s="65"/>
      <c r="F92" s="95"/>
      <c r="G92" s="106"/>
    </row>
    <row r="93" spans="2:7" ht="15.75">
      <c r="B93" s="79" t="s">
        <v>81</v>
      </c>
      <c r="C93" s="63"/>
      <c r="D93" s="63"/>
      <c r="E93" s="77"/>
      <c r="F93" s="124">
        <f>111976.37*4.58/100</f>
        <v>5128.517746</v>
      </c>
      <c r="G93" s="120">
        <f>F93</f>
        <v>5128.517746</v>
      </c>
    </row>
    <row r="94" spans="2:7" ht="12">
      <c r="B94" s="76"/>
      <c r="E94" s="65"/>
      <c r="F94" s="95"/>
      <c r="G94" s="106"/>
    </row>
    <row r="95" spans="2:7" ht="15.75">
      <c r="B95" s="57"/>
      <c r="E95" s="80" t="s">
        <v>82</v>
      </c>
      <c r="F95" s="95"/>
      <c r="G95" s="125">
        <f>G77+G80-G86+G88-G93</f>
        <v>-5302.071458000032</v>
      </c>
    </row>
    <row r="96" spans="2:7" ht="12">
      <c r="B96" s="81"/>
      <c r="C96" s="82"/>
      <c r="D96" s="82"/>
      <c r="E96" s="83"/>
      <c r="F96" s="107"/>
      <c r="G96" s="108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6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workbookViewId="0" topLeftCell="A91">
      <selection activeCell="F51" sqref="F51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88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221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6.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5" customHeight="1">
      <c r="A19" s="44"/>
      <c r="B19" s="57" t="s">
        <v>5</v>
      </c>
      <c r="C19" s="44"/>
      <c r="D19" s="44"/>
      <c r="F19" s="102"/>
      <c r="G19" s="115">
        <f>F20+F27+F28+F29+F31</f>
        <v>531479.43792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SUM(F21:F25)</f>
        <v>420869.67000000004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102</v>
      </c>
      <c r="F21" s="127">
        <v>80553.25</v>
      </c>
      <c r="G21" s="103"/>
    </row>
    <row r="22" spans="1:7" ht="12.75" customHeight="1">
      <c r="A22" s="44"/>
      <c r="B22" s="54"/>
      <c r="C22" s="44"/>
      <c r="D22" s="44" t="s">
        <v>30</v>
      </c>
      <c r="E22" s="45" t="s">
        <v>103</v>
      </c>
      <c r="F22" s="127">
        <v>1771.44</v>
      </c>
      <c r="G22" s="103"/>
    </row>
    <row r="23" spans="1:7" ht="12.75" customHeight="1">
      <c r="A23" s="44"/>
      <c r="B23" s="54"/>
      <c r="C23" s="44"/>
      <c r="D23" s="44" t="s">
        <v>30</v>
      </c>
      <c r="E23" s="45" t="s">
        <v>104</v>
      </c>
      <c r="F23" s="127">
        <v>61927.59</v>
      </c>
      <c r="G23" s="103"/>
    </row>
    <row r="24" spans="1:7" ht="12.75" customHeight="1">
      <c r="A24" s="44"/>
      <c r="B24" s="54"/>
      <c r="C24" s="44"/>
      <c r="D24" s="44" t="s">
        <v>30</v>
      </c>
      <c r="E24" s="45" t="s">
        <v>105</v>
      </c>
      <c r="F24" s="110">
        <v>56483.92</v>
      </c>
      <c r="G24" s="103"/>
    </row>
    <row r="25" spans="1:7" ht="12.75" customHeight="1">
      <c r="A25" s="44"/>
      <c r="B25" s="54"/>
      <c r="C25" s="44"/>
      <c r="D25" s="44" t="s">
        <v>30</v>
      </c>
      <c r="E25" s="45" t="s">
        <v>222</v>
      </c>
      <c r="F25" s="110">
        <v>220133.47</v>
      </c>
      <c r="G25" s="103"/>
    </row>
    <row r="26" spans="1:7" ht="12.75" customHeight="1">
      <c r="A26" s="44"/>
      <c r="B26" s="54"/>
      <c r="C26" s="44" t="s">
        <v>8</v>
      </c>
      <c r="D26" s="44" t="s">
        <v>9</v>
      </c>
      <c r="F26" s="95"/>
      <c r="G26" s="103"/>
    </row>
    <row r="27" spans="1:7" ht="12.75" customHeight="1">
      <c r="A27" s="44"/>
      <c r="B27" s="54"/>
      <c r="C27" s="44"/>
      <c r="D27" s="44" t="s">
        <v>10</v>
      </c>
      <c r="F27" s="95">
        <v>0</v>
      </c>
      <c r="G27" s="103"/>
    </row>
    <row r="28" spans="1:7" ht="12.75" customHeight="1">
      <c r="A28" s="44"/>
      <c r="B28" s="54"/>
      <c r="C28" s="44" t="s">
        <v>11</v>
      </c>
      <c r="D28" s="44" t="s">
        <v>12</v>
      </c>
      <c r="F28" s="95">
        <v>0</v>
      </c>
      <c r="G28" s="103"/>
    </row>
    <row r="29" spans="1:7" ht="12.75" customHeight="1">
      <c r="A29" s="44"/>
      <c r="B29" s="54"/>
      <c r="C29" s="44" t="s">
        <v>13</v>
      </c>
      <c r="D29" s="44"/>
      <c r="F29" s="95">
        <v>0</v>
      </c>
      <c r="G29" s="103"/>
    </row>
    <row r="30" spans="1:7" ht="12.75" customHeight="1">
      <c r="A30" s="44"/>
      <c r="B30" s="54"/>
      <c r="C30" s="44" t="s">
        <v>14</v>
      </c>
      <c r="D30" s="44"/>
      <c r="F30" s="95" t="s">
        <v>0</v>
      </c>
      <c r="G30" s="104"/>
    </row>
    <row r="31" spans="1:7" ht="12.75" customHeight="1">
      <c r="A31" s="44"/>
      <c r="B31" s="54"/>
      <c r="C31" s="44"/>
      <c r="D31" s="44" t="s">
        <v>15</v>
      </c>
      <c r="F31" s="116">
        <f>SUM(F32:F34)</f>
        <v>110609.76792000001</v>
      </c>
      <c r="G31" s="104"/>
    </row>
    <row r="32" spans="1:7" ht="12.75" customHeight="1">
      <c r="A32" s="44"/>
      <c r="B32" s="54"/>
      <c r="C32" s="44"/>
      <c r="D32" s="60" t="s">
        <v>30</v>
      </c>
      <c r="E32" s="45" t="s">
        <v>53</v>
      </c>
      <c r="F32" s="110">
        <v>92643</v>
      </c>
      <c r="G32" s="105"/>
    </row>
    <row r="33" spans="1:7" ht="12.75" customHeight="1">
      <c r="A33" s="44"/>
      <c r="B33" s="54"/>
      <c r="C33" s="44"/>
      <c r="D33" s="60" t="s">
        <v>30</v>
      </c>
      <c r="E33" s="45" t="s">
        <v>54</v>
      </c>
      <c r="F33" s="110">
        <v>770.13</v>
      </c>
      <c r="G33" s="105"/>
    </row>
    <row r="34" spans="1:7" ht="12.75" customHeight="1">
      <c r="A34" s="44"/>
      <c r="B34" s="54"/>
      <c r="C34" s="44"/>
      <c r="D34" s="60" t="s">
        <v>30</v>
      </c>
      <c r="E34" s="45" t="s">
        <v>188</v>
      </c>
      <c r="F34" s="110">
        <f>195416.34*8.8/100</f>
        <v>17196.63792</v>
      </c>
      <c r="G34" s="105"/>
    </row>
    <row r="35" spans="1:7" ht="12.75" customHeight="1">
      <c r="A35" s="44"/>
      <c r="B35" s="54"/>
      <c r="C35" s="44"/>
      <c r="D35" s="44"/>
      <c r="E35" s="44"/>
      <c r="F35" s="95"/>
      <c r="G35" s="104"/>
    </row>
    <row r="36" spans="1:7" s="64" customFormat="1" ht="15" customHeight="1">
      <c r="A36" s="62"/>
      <c r="B36" s="57" t="s">
        <v>16</v>
      </c>
      <c r="C36" s="62"/>
      <c r="D36" s="62"/>
      <c r="E36" s="63"/>
      <c r="F36" s="96"/>
      <c r="G36" s="115">
        <f>-(F38+F46+F66+F70+F77+F85+F87+F89+F91)</f>
        <v>-629287.54168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104"/>
    </row>
    <row r="38" spans="1:7" ht="12.75" customHeight="1">
      <c r="A38" s="44"/>
      <c r="B38" s="54"/>
      <c r="D38" s="44" t="s">
        <v>18</v>
      </c>
      <c r="E38" s="65"/>
      <c r="F38" s="114">
        <f>SUM(F39:F44)</f>
        <v>12227.70016</v>
      </c>
      <c r="G38" s="104"/>
    </row>
    <row r="39" spans="1:7" ht="12.75" customHeight="1">
      <c r="A39" s="44"/>
      <c r="B39" s="54"/>
      <c r="C39" s="44"/>
      <c r="D39" s="44"/>
      <c r="E39" s="66" t="s">
        <v>223</v>
      </c>
      <c r="F39" s="121">
        <v>3956.59</v>
      </c>
      <c r="G39" s="104"/>
    </row>
    <row r="40" spans="1:7" ht="12.75" customHeight="1">
      <c r="A40" s="44"/>
      <c r="B40" s="54"/>
      <c r="C40" s="44"/>
      <c r="D40" s="44"/>
      <c r="E40" s="66" t="s">
        <v>44</v>
      </c>
      <c r="F40" s="121">
        <v>128.39</v>
      </c>
      <c r="G40" s="104"/>
    </row>
    <row r="41" spans="1:7" ht="12.75" customHeight="1">
      <c r="A41" s="44"/>
      <c r="B41" s="54"/>
      <c r="C41" s="44"/>
      <c r="D41" s="44"/>
      <c r="E41" s="66" t="s">
        <v>224</v>
      </c>
      <c r="F41" s="101">
        <v>1142.22</v>
      </c>
      <c r="G41" s="104"/>
    </row>
    <row r="42" spans="1:7" ht="12.75" customHeight="1">
      <c r="A42" s="44"/>
      <c r="B42" s="54"/>
      <c r="C42" s="44"/>
      <c r="D42" s="44"/>
      <c r="E42" s="66" t="s">
        <v>70</v>
      </c>
      <c r="F42" s="101">
        <v>4288.3</v>
      </c>
      <c r="G42" s="104"/>
    </row>
    <row r="43" spans="1:7" ht="12.75" customHeight="1">
      <c r="A43" s="44"/>
      <c r="B43" s="54"/>
      <c r="C43" s="44"/>
      <c r="D43" s="44"/>
      <c r="E43" s="66" t="s">
        <v>57</v>
      </c>
      <c r="F43" s="101">
        <v>1742.28</v>
      </c>
      <c r="G43" s="104"/>
    </row>
    <row r="44" spans="1:7" ht="12.75" customHeight="1">
      <c r="A44" s="44"/>
      <c r="B44" s="54"/>
      <c r="D44" s="44"/>
      <c r="E44" s="65" t="s">
        <v>189</v>
      </c>
      <c r="F44" s="95">
        <f>11021.82*8.8/100</f>
        <v>969.92016</v>
      </c>
      <c r="G44" s="104"/>
    </row>
    <row r="45" spans="1:7" ht="12.75" customHeight="1">
      <c r="A45" s="44"/>
      <c r="B45" s="54"/>
      <c r="D45" s="44"/>
      <c r="E45" s="65"/>
      <c r="F45" s="101"/>
      <c r="G45" s="104"/>
    </row>
    <row r="46" spans="1:7" ht="12.75" customHeight="1">
      <c r="A46" s="44"/>
      <c r="B46" s="54"/>
      <c r="C46" s="44" t="s">
        <v>19</v>
      </c>
      <c r="D46" s="44"/>
      <c r="E46" s="65"/>
      <c r="F46" s="114">
        <f>SUM(F47:F64)</f>
        <v>437937.3496</v>
      </c>
      <c r="G46" s="104"/>
    </row>
    <row r="47" spans="1:7" ht="12.75" customHeight="1">
      <c r="A47" s="44"/>
      <c r="B47" s="54"/>
      <c r="C47" s="44"/>
      <c r="D47" s="44"/>
      <c r="E47" s="65" t="s">
        <v>49</v>
      </c>
      <c r="F47" s="97">
        <v>7254</v>
      </c>
      <c r="G47" s="104"/>
    </row>
    <row r="48" spans="1:7" ht="12.75" customHeight="1">
      <c r="A48" s="44"/>
      <c r="B48" s="54"/>
      <c r="C48" s="44"/>
      <c r="D48" s="44"/>
      <c r="E48" s="66" t="s">
        <v>45</v>
      </c>
      <c r="F48" s="121">
        <v>359.1</v>
      </c>
      <c r="G48" s="104"/>
    </row>
    <row r="49" spans="1:7" ht="12.75" customHeight="1">
      <c r="A49" s="44"/>
      <c r="B49" s="54"/>
      <c r="C49" s="44"/>
      <c r="D49" s="44"/>
      <c r="E49" s="66" t="s">
        <v>128</v>
      </c>
      <c r="F49" s="121">
        <v>7550.41</v>
      </c>
      <c r="G49" s="104"/>
    </row>
    <row r="50" spans="1:7" ht="12.75" customHeight="1">
      <c r="A50" s="44"/>
      <c r="B50" s="54"/>
      <c r="C50" s="44"/>
      <c r="D50" s="44"/>
      <c r="E50" s="66" t="s">
        <v>141</v>
      </c>
      <c r="F50" s="121">
        <v>1359.74</v>
      </c>
      <c r="G50" s="104"/>
    </row>
    <row r="51" spans="1:7" ht="12.75" customHeight="1">
      <c r="A51" s="44"/>
      <c r="B51" s="54"/>
      <c r="C51" s="44"/>
      <c r="D51" s="44"/>
      <c r="E51" s="66" t="s">
        <v>258</v>
      </c>
      <c r="F51" s="123">
        <v>56.18</v>
      </c>
      <c r="G51" s="104"/>
    </row>
    <row r="52" spans="1:7" ht="12.75" customHeight="1">
      <c r="A52" s="44"/>
      <c r="B52" s="54"/>
      <c r="C52" s="44"/>
      <c r="D52" s="44"/>
      <c r="E52" s="66" t="s">
        <v>120</v>
      </c>
      <c r="F52" s="121">
        <v>358.22</v>
      </c>
      <c r="G52" s="104"/>
    </row>
    <row r="53" spans="1:7" ht="12.75" customHeight="1">
      <c r="A53" s="44"/>
      <c r="B53" s="54"/>
      <c r="C53" s="44"/>
      <c r="D53" s="44"/>
      <c r="E53" s="66" t="s">
        <v>121</v>
      </c>
      <c r="F53" s="121">
        <v>4811.99</v>
      </c>
      <c r="G53" s="104"/>
    </row>
    <row r="54" spans="1:7" ht="12.75" customHeight="1">
      <c r="A54" s="44"/>
      <c r="B54" s="54"/>
      <c r="C54" s="44"/>
      <c r="D54" s="44"/>
      <c r="E54" s="66" t="s">
        <v>47</v>
      </c>
      <c r="F54" s="121">
        <v>1904.57</v>
      </c>
      <c r="G54" s="104"/>
    </row>
    <row r="55" spans="1:7" ht="12.75" customHeight="1">
      <c r="A55" s="44"/>
      <c r="B55" s="54"/>
      <c r="C55" s="44"/>
      <c r="D55" s="44"/>
      <c r="E55" s="66" t="s">
        <v>225</v>
      </c>
      <c r="F55" s="121">
        <v>120.98</v>
      </c>
      <c r="G55" s="104"/>
    </row>
    <row r="56" spans="1:7" ht="12.75" customHeight="1">
      <c r="A56" s="44"/>
      <c r="B56" s="54"/>
      <c r="C56" s="44"/>
      <c r="D56" s="44"/>
      <c r="E56" s="66" t="s">
        <v>227</v>
      </c>
      <c r="F56" s="121">
        <v>1216</v>
      </c>
      <c r="G56" s="104"/>
    </row>
    <row r="57" spans="1:7" ht="12.75" customHeight="1">
      <c r="A57" s="44"/>
      <c r="B57" s="54"/>
      <c r="C57" s="44"/>
      <c r="D57" s="44"/>
      <c r="E57" s="66" t="s">
        <v>89</v>
      </c>
      <c r="F57" s="121">
        <v>7862.4</v>
      </c>
      <c r="G57" s="104"/>
    </row>
    <row r="58" spans="1:7" ht="12.75" customHeight="1">
      <c r="A58" s="44"/>
      <c r="B58" s="54"/>
      <c r="C58" s="44"/>
      <c r="D58" s="44"/>
      <c r="E58" s="66" t="s">
        <v>127</v>
      </c>
      <c r="F58" s="121">
        <v>70195.2</v>
      </c>
      <c r="G58" s="104"/>
    </row>
    <row r="59" spans="1:7" ht="12.75" customHeight="1">
      <c r="A59" s="44"/>
      <c r="B59" s="54"/>
      <c r="C59" s="44"/>
      <c r="D59" s="44"/>
      <c r="E59" s="66" t="s">
        <v>226</v>
      </c>
      <c r="F59" s="121">
        <v>855</v>
      </c>
      <c r="G59" s="104"/>
    </row>
    <row r="60" spans="1:7" ht="12.75" customHeight="1">
      <c r="A60" s="44"/>
      <c r="B60" s="54"/>
      <c r="C60" s="44"/>
      <c r="D60" s="44"/>
      <c r="E60" s="66" t="s">
        <v>154</v>
      </c>
      <c r="F60" s="121">
        <v>40412.65</v>
      </c>
      <c r="G60" s="104"/>
    </row>
    <row r="61" spans="1:7" ht="12.75" customHeight="1">
      <c r="A61" s="44"/>
      <c r="B61" s="54"/>
      <c r="C61" s="44"/>
      <c r="D61" s="44"/>
      <c r="E61" s="66" t="s">
        <v>228</v>
      </c>
      <c r="F61" s="121">
        <v>148825.3</v>
      </c>
      <c r="G61" s="104"/>
    </row>
    <row r="62" spans="1:7" ht="12.75" customHeight="1">
      <c r="A62" s="44"/>
      <c r="B62" s="54"/>
      <c r="C62" s="44"/>
      <c r="D62" s="44"/>
      <c r="E62" s="66" t="s">
        <v>156</v>
      </c>
      <c r="F62" s="121">
        <v>100419.51</v>
      </c>
      <c r="G62" s="104"/>
    </row>
    <row r="63" spans="1:7" ht="12.75" customHeight="1">
      <c r="A63" s="44"/>
      <c r="B63" s="54"/>
      <c r="C63" s="44"/>
      <c r="D63" s="44"/>
      <c r="E63" s="66" t="s">
        <v>155</v>
      </c>
      <c r="F63" s="121">
        <v>12057.84</v>
      </c>
      <c r="G63" s="104"/>
    </row>
    <row r="64" spans="1:7" ht="12.75" customHeight="1">
      <c r="A64" s="44"/>
      <c r="B64" s="54"/>
      <c r="C64" s="44"/>
      <c r="D64" s="44"/>
      <c r="E64" s="66" t="s">
        <v>189</v>
      </c>
      <c r="F64" s="121">
        <f>(248110.76+124547.78-5405.59)*8.8/100</f>
        <v>32318.259600000005</v>
      </c>
      <c r="G64" s="104"/>
    </row>
    <row r="65" spans="1:7" ht="12.75" customHeight="1">
      <c r="A65" s="44"/>
      <c r="B65" s="54"/>
      <c r="C65" s="44"/>
      <c r="D65" s="44"/>
      <c r="E65" s="66"/>
      <c r="F65" s="101"/>
      <c r="G65" s="104"/>
    </row>
    <row r="66" spans="1:7" ht="12.75" customHeight="1">
      <c r="A66" s="44"/>
      <c r="B66" s="54"/>
      <c r="C66" s="44" t="s">
        <v>20</v>
      </c>
      <c r="D66" s="44"/>
      <c r="E66" s="65"/>
      <c r="F66" s="116">
        <f>SUM(F67:F68)</f>
        <v>2541.91496</v>
      </c>
      <c r="G66" s="104"/>
    </row>
    <row r="67" spans="1:7" ht="12.75" customHeight="1">
      <c r="A67" s="44"/>
      <c r="B67" s="54"/>
      <c r="C67" s="44"/>
      <c r="D67" s="44"/>
      <c r="E67" s="66" t="s">
        <v>90</v>
      </c>
      <c r="F67" s="121">
        <v>2038.32</v>
      </c>
      <c r="G67" s="104"/>
    </row>
    <row r="68" spans="1:7" ht="12.75" customHeight="1">
      <c r="A68" s="44"/>
      <c r="B68" s="54"/>
      <c r="C68" s="44"/>
      <c r="D68" s="44"/>
      <c r="E68" s="66" t="s">
        <v>189</v>
      </c>
      <c r="F68" s="121">
        <f>5722.67*8.8/100</f>
        <v>503.59496000000007</v>
      </c>
      <c r="G68" s="104"/>
    </row>
    <row r="69" spans="1:7" ht="12.75" customHeight="1">
      <c r="A69" s="44"/>
      <c r="B69" s="54"/>
      <c r="C69" s="44"/>
      <c r="D69" s="44"/>
      <c r="E69" s="66"/>
      <c r="F69" s="121"/>
      <c r="G69" s="104"/>
    </row>
    <row r="70" spans="1:7" ht="12.75" customHeight="1">
      <c r="A70" s="44"/>
      <c r="B70" s="54"/>
      <c r="C70" s="44" t="s">
        <v>21</v>
      </c>
      <c r="D70" s="44"/>
      <c r="E70" s="65"/>
      <c r="F70" s="114">
        <f>SUM(F71:F75)</f>
        <v>157950.5436</v>
      </c>
      <c r="G70" s="104"/>
    </row>
    <row r="71" spans="1:7" ht="12.75" customHeight="1">
      <c r="A71" s="44"/>
      <c r="B71" s="54"/>
      <c r="D71" s="67" t="s">
        <v>22</v>
      </c>
      <c r="E71" s="68"/>
      <c r="F71" s="121">
        <f>(77021.55+2254.37+7279.47)+((256108.02+5072.34+17493.67+67700)*8.8/100)+2567.09-531.87</f>
        <v>119071.52464</v>
      </c>
      <c r="G71" s="104"/>
    </row>
    <row r="72" spans="1:7" ht="12.75" customHeight="1">
      <c r="A72" s="44"/>
      <c r="B72" s="54"/>
      <c r="D72" s="67" t="s">
        <v>23</v>
      </c>
      <c r="E72" s="68"/>
      <c r="F72" s="121">
        <f>(18672.68+563.59+1819.87)+((37162.28+1268.09+4373.42+17800)*8.8/100)</f>
        <v>26389.27352</v>
      </c>
      <c r="G72" s="104"/>
    </row>
    <row r="73" spans="1:7" ht="12.75" customHeight="1">
      <c r="A73" s="44"/>
      <c r="B73" s="54"/>
      <c r="D73" s="67" t="s">
        <v>24</v>
      </c>
      <c r="E73" s="68"/>
      <c r="F73" s="121">
        <f>6862.01+(10979.21*8.8/100)</f>
        <v>7828.18048</v>
      </c>
      <c r="G73" s="104"/>
    </row>
    <row r="74" spans="1:7" ht="12.75" customHeight="1">
      <c r="A74" s="44"/>
      <c r="B74" s="54"/>
      <c r="D74" s="67" t="s">
        <v>25</v>
      </c>
      <c r="E74" s="68"/>
      <c r="F74" s="121">
        <v>0</v>
      </c>
      <c r="G74" s="104"/>
    </row>
    <row r="75" spans="1:7" ht="12.75" customHeight="1">
      <c r="A75" s="44"/>
      <c r="B75" s="54"/>
      <c r="D75" s="67" t="s">
        <v>126</v>
      </c>
      <c r="E75" s="68"/>
      <c r="F75" s="121">
        <f>(1276.75+2812.8)+(6500.17*8.8/100)</f>
        <v>4661.564960000001</v>
      </c>
      <c r="G75" s="104"/>
    </row>
    <row r="76" spans="1:7" ht="12.75" customHeight="1">
      <c r="A76" s="44"/>
      <c r="B76" s="54"/>
      <c r="D76" s="67"/>
      <c r="E76" s="68"/>
      <c r="F76" s="121"/>
      <c r="G76" s="104"/>
    </row>
    <row r="77" spans="1:7" ht="12.75" customHeight="1">
      <c r="A77" s="44"/>
      <c r="B77" s="54"/>
      <c r="C77" s="44" t="s">
        <v>27</v>
      </c>
      <c r="D77" s="44"/>
      <c r="E77" s="65"/>
      <c r="F77" s="114">
        <f>SUM(F78:F82)</f>
        <v>6213.902</v>
      </c>
      <c r="G77" s="104"/>
    </row>
    <row r="78" spans="1:7" ht="12.75" customHeight="1">
      <c r="A78" s="44"/>
      <c r="B78" s="54"/>
      <c r="C78" s="44"/>
      <c r="D78" s="67" t="s">
        <v>28</v>
      </c>
      <c r="E78" s="68"/>
      <c r="F78" s="121">
        <f>2877.79*8.8/100</f>
        <v>253.24552000000003</v>
      </c>
      <c r="G78" s="104"/>
    </row>
    <row r="79" spans="1:7" ht="12.75" customHeight="1">
      <c r="A79" s="44"/>
      <c r="B79" s="54"/>
      <c r="D79" s="67" t="s">
        <v>29</v>
      </c>
      <c r="E79" s="69"/>
      <c r="F79" s="121">
        <f>5774.98+(2109.96*8.8/100)</f>
        <v>5960.65648</v>
      </c>
      <c r="G79" s="104"/>
    </row>
    <row r="80" spans="1:7" ht="12.75" customHeight="1">
      <c r="A80" s="44"/>
      <c r="B80" s="54"/>
      <c r="D80" s="67" t="s">
        <v>31</v>
      </c>
      <c r="E80" s="68"/>
      <c r="F80" s="121">
        <v>0</v>
      </c>
      <c r="G80" s="104"/>
    </row>
    <row r="81" spans="1:7" ht="12.75" customHeight="1">
      <c r="A81" s="44"/>
      <c r="B81" s="54"/>
      <c r="D81" s="67" t="s">
        <v>32</v>
      </c>
      <c r="E81" s="68"/>
      <c r="F81" s="98"/>
      <c r="G81" s="104"/>
    </row>
    <row r="82" spans="1:7" ht="12.75" customHeight="1">
      <c r="A82" s="44"/>
      <c r="B82" s="54"/>
      <c r="D82" s="67"/>
      <c r="E82" s="69" t="s">
        <v>33</v>
      </c>
      <c r="F82" s="121">
        <v>0</v>
      </c>
      <c r="G82" s="104"/>
    </row>
    <row r="83" spans="1:7" ht="12.75" customHeight="1">
      <c r="A83" s="44"/>
      <c r="B83" s="54"/>
      <c r="D83" s="67"/>
      <c r="E83" s="69"/>
      <c r="F83" s="109"/>
      <c r="G83" s="104"/>
    </row>
    <row r="84" spans="1:7" ht="12.75" customHeight="1">
      <c r="A84" s="44"/>
      <c r="B84" s="54"/>
      <c r="C84" s="44" t="s">
        <v>34</v>
      </c>
      <c r="D84" s="44"/>
      <c r="E84" s="65"/>
      <c r="F84" s="95"/>
      <c r="G84" s="104"/>
    </row>
    <row r="85" spans="1:7" ht="12.75" customHeight="1">
      <c r="A85" s="44"/>
      <c r="B85" s="54"/>
      <c r="D85" s="44"/>
      <c r="E85" s="70" t="s">
        <v>35</v>
      </c>
      <c r="F85" s="124">
        <v>0</v>
      </c>
      <c r="G85" s="104"/>
    </row>
    <row r="86" spans="1:7" ht="12.75" customHeight="1">
      <c r="A86" s="44"/>
      <c r="B86" s="54"/>
      <c r="D86" s="44"/>
      <c r="E86" s="70"/>
      <c r="F86" s="95"/>
      <c r="G86" s="104"/>
    </row>
    <row r="87" spans="1:7" ht="12.75" customHeight="1">
      <c r="A87" s="44"/>
      <c r="B87" s="54"/>
      <c r="C87" s="44" t="s">
        <v>36</v>
      </c>
      <c r="D87" s="44"/>
      <c r="E87" s="65"/>
      <c r="F87" s="124">
        <f>121593.7*8.8/100</f>
        <v>10700.2456</v>
      </c>
      <c r="G87" s="104"/>
    </row>
    <row r="88" spans="1:7" ht="12.75" customHeight="1">
      <c r="A88" s="44"/>
      <c r="B88" s="54"/>
      <c r="C88" s="44"/>
      <c r="D88" s="44"/>
      <c r="E88" s="65"/>
      <c r="F88" s="95"/>
      <c r="G88" s="104"/>
    </row>
    <row r="89" spans="1:7" ht="12.75" customHeight="1">
      <c r="A89" s="44"/>
      <c r="B89" s="54"/>
      <c r="C89" s="44" t="s">
        <v>37</v>
      </c>
      <c r="D89" s="44"/>
      <c r="E89" s="65"/>
      <c r="F89" s="124">
        <v>0</v>
      </c>
      <c r="G89" s="104"/>
    </row>
    <row r="90" spans="1:7" ht="12.75" customHeight="1">
      <c r="A90" s="44"/>
      <c r="B90" s="54"/>
      <c r="C90" s="44"/>
      <c r="D90" s="44"/>
      <c r="E90" s="65"/>
      <c r="F90" s="95"/>
      <c r="G90" s="104"/>
    </row>
    <row r="91" spans="1:7" ht="12.75" customHeight="1">
      <c r="A91" s="44"/>
      <c r="B91" s="54"/>
      <c r="C91" s="44" t="s">
        <v>38</v>
      </c>
      <c r="D91" s="44"/>
      <c r="E91" s="65"/>
      <c r="F91" s="124">
        <f>SUM(F92:F94)</f>
        <v>1715.8857600000001</v>
      </c>
      <c r="G91" s="104"/>
    </row>
    <row r="92" spans="1:7" ht="12.75" customHeight="1">
      <c r="A92" s="44"/>
      <c r="B92" s="54"/>
      <c r="C92" s="44"/>
      <c r="D92" s="44"/>
      <c r="E92" s="71" t="s">
        <v>129</v>
      </c>
      <c r="F92" s="101">
        <v>158.17</v>
      </c>
      <c r="G92" s="104"/>
    </row>
    <row r="93" spans="1:7" ht="12.75" customHeight="1">
      <c r="A93" s="44"/>
      <c r="B93" s="54"/>
      <c r="C93" s="44"/>
      <c r="D93" s="44"/>
      <c r="E93" s="66" t="s">
        <v>91</v>
      </c>
      <c r="F93" s="121">
        <v>609.91</v>
      </c>
      <c r="G93" s="104"/>
    </row>
    <row r="94" spans="1:7" ht="12.75" customHeight="1">
      <c r="A94" s="44"/>
      <c r="B94" s="54"/>
      <c r="C94" s="44"/>
      <c r="D94" s="44"/>
      <c r="E94" s="66" t="s">
        <v>189</v>
      </c>
      <c r="F94" s="99">
        <f>10770.52*8.8/100</f>
        <v>947.8057600000002</v>
      </c>
      <c r="G94" s="104"/>
    </row>
    <row r="95" spans="1:7" ht="12.75" customHeight="1">
      <c r="A95" s="44"/>
      <c r="B95" s="54"/>
      <c r="C95" s="44"/>
      <c r="D95" s="44"/>
      <c r="E95" s="70"/>
      <c r="F95" s="95" t="s">
        <v>0</v>
      </c>
      <c r="G95" s="104"/>
    </row>
    <row r="96" spans="1:7" ht="14.25" customHeight="1">
      <c r="A96" s="72"/>
      <c r="B96" s="57" t="s">
        <v>39</v>
      </c>
      <c r="C96" s="73"/>
      <c r="D96" s="73"/>
      <c r="E96" s="66"/>
      <c r="F96" s="95" t="s">
        <v>0</v>
      </c>
      <c r="G96" s="120">
        <f>G19+G36</f>
        <v>-97808.10375999997</v>
      </c>
    </row>
    <row r="97" spans="1:7" ht="12.75" customHeight="1">
      <c r="A97" s="44"/>
      <c r="B97" s="74" t="s">
        <v>40</v>
      </c>
      <c r="C97" s="44"/>
      <c r="D97" s="44"/>
      <c r="E97" s="70"/>
      <c r="F97" s="95" t="s">
        <v>0</v>
      </c>
      <c r="G97" s="106"/>
    </row>
    <row r="98" spans="2:7" ht="12" customHeight="1">
      <c r="B98" s="76"/>
      <c r="E98" s="65"/>
      <c r="F98" s="95" t="s">
        <v>0</v>
      </c>
      <c r="G98" s="106"/>
    </row>
    <row r="99" spans="2:7" ht="15" customHeight="1">
      <c r="B99" s="57" t="s">
        <v>77</v>
      </c>
      <c r="C99" s="62"/>
      <c r="D99" s="62"/>
      <c r="E99" s="77"/>
      <c r="F99" s="96"/>
      <c r="G99" s="120">
        <f>F101+F102-F103</f>
        <v>544.3400000000001</v>
      </c>
    </row>
    <row r="100" spans="2:7" ht="12">
      <c r="B100" s="76"/>
      <c r="E100" s="65"/>
      <c r="F100" s="95"/>
      <c r="G100" s="106"/>
    </row>
    <row r="101" spans="2:7" ht="15">
      <c r="B101" s="54"/>
      <c r="C101" s="44" t="s">
        <v>74</v>
      </c>
      <c r="D101" s="44"/>
      <c r="E101" s="65"/>
      <c r="F101" s="117">
        <v>0</v>
      </c>
      <c r="G101" s="106"/>
    </row>
    <row r="102" spans="2:7" ht="15">
      <c r="B102" s="76"/>
      <c r="C102" s="44" t="s">
        <v>75</v>
      </c>
      <c r="E102" s="65"/>
      <c r="F102" s="119">
        <f>59.92+(11622.59*8.8/100)</f>
        <v>1082.7079200000003</v>
      </c>
      <c r="G102" s="106"/>
    </row>
    <row r="103" spans="2:7" ht="15">
      <c r="B103" s="76"/>
      <c r="C103" s="44" t="s">
        <v>76</v>
      </c>
      <c r="E103" s="65"/>
      <c r="F103" s="149">
        <f>(1.34+(697+5405.59)*8.8/100)</f>
        <v>538.3679200000001</v>
      </c>
      <c r="G103" s="106"/>
    </row>
    <row r="104" spans="2:7" ht="12">
      <c r="B104" s="76"/>
      <c r="E104" s="65"/>
      <c r="F104" s="95"/>
      <c r="G104" s="106"/>
    </row>
    <row r="105" spans="2:7" ht="15.75">
      <c r="B105" s="57" t="s">
        <v>78</v>
      </c>
      <c r="C105" s="62"/>
      <c r="D105" s="62"/>
      <c r="E105" s="77"/>
      <c r="F105" s="126">
        <v>0</v>
      </c>
      <c r="G105" s="120">
        <v>0</v>
      </c>
    </row>
    <row r="106" spans="2:7" ht="12">
      <c r="B106" s="76"/>
      <c r="E106" s="65"/>
      <c r="F106" s="95"/>
      <c r="G106" s="106"/>
    </row>
    <row r="107" spans="2:7" ht="15.75">
      <c r="B107" s="57" t="s">
        <v>73</v>
      </c>
      <c r="C107" s="62"/>
      <c r="D107" s="62"/>
      <c r="E107" s="77"/>
      <c r="F107" s="96"/>
      <c r="G107" s="120">
        <f>F109-F111</f>
        <v>-1324.0365600000002</v>
      </c>
    </row>
    <row r="108" spans="2:7" ht="12">
      <c r="B108" s="76"/>
      <c r="E108" s="65"/>
      <c r="F108" s="95"/>
      <c r="G108" s="106"/>
    </row>
    <row r="109" spans="2:7" ht="15">
      <c r="B109" s="76"/>
      <c r="C109" s="44" t="s">
        <v>79</v>
      </c>
      <c r="E109" s="65"/>
      <c r="F109" s="133">
        <f>SUM(F110:F110)</f>
        <v>0.22</v>
      </c>
      <c r="G109" s="106"/>
    </row>
    <row r="110" spans="2:7" ht="12">
      <c r="B110" s="76"/>
      <c r="C110" s="44"/>
      <c r="D110" s="152" t="s">
        <v>249</v>
      </c>
      <c r="E110" s="153"/>
      <c r="F110" s="95">
        <v>0.22</v>
      </c>
      <c r="G110" s="106"/>
    </row>
    <row r="111" spans="2:7" ht="15">
      <c r="B111" s="76"/>
      <c r="C111" s="44" t="s">
        <v>80</v>
      </c>
      <c r="E111" s="65"/>
      <c r="F111" s="119">
        <f>15048.37*8.8/100</f>
        <v>1324.2565600000003</v>
      </c>
      <c r="G111" s="106"/>
    </row>
    <row r="112" spans="2:7" ht="12">
      <c r="B112" s="76"/>
      <c r="E112" s="65"/>
      <c r="F112" s="95"/>
      <c r="G112" s="106"/>
    </row>
    <row r="113" spans="2:7" ht="15.75">
      <c r="B113" s="79" t="s">
        <v>81</v>
      </c>
      <c r="C113" s="63"/>
      <c r="D113" s="63"/>
      <c r="E113" s="77"/>
      <c r="F113" s="119">
        <f>111976.37*8.8/100</f>
        <v>9853.92056</v>
      </c>
      <c r="G113" s="120">
        <f>F113</f>
        <v>9853.92056</v>
      </c>
    </row>
    <row r="114" spans="2:7" ht="12">
      <c r="B114" s="76"/>
      <c r="E114" s="65"/>
      <c r="F114" s="95"/>
      <c r="G114" s="106"/>
    </row>
    <row r="115" spans="2:7" ht="15.75">
      <c r="B115" s="57"/>
      <c r="E115" s="80" t="s">
        <v>82</v>
      </c>
      <c r="F115" s="95"/>
      <c r="G115" s="125">
        <f>G96+G99-G105+G107-G113</f>
        <v>-108441.72087999996</v>
      </c>
    </row>
    <row r="116" spans="2:7" ht="12">
      <c r="B116" s="81"/>
      <c r="C116" s="82"/>
      <c r="D116" s="82"/>
      <c r="E116" s="83"/>
      <c r="F116" s="107"/>
      <c r="G116" s="108"/>
    </row>
  </sheetData>
  <mergeCells count="5">
    <mergeCell ref="D110:E110"/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scale="94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B6" sqref="B6:G6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97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8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5" customHeight="1">
      <c r="A19" s="44"/>
      <c r="B19" s="57" t="s">
        <v>5</v>
      </c>
      <c r="C19" s="44"/>
      <c r="D19" s="44"/>
      <c r="F19" s="102"/>
      <c r="G19" s="115">
        <f>F20+F23+F24+F25+F27</f>
        <v>157150.27784599998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68377.63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106</v>
      </c>
      <c r="F21" s="110">
        <v>68377.63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124">
        <v>0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124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124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116">
        <f>SUM(F28:F30)</f>
        <v>88772.64784599999</v>
      </c>
      <c r="G27" s="104"/>
    </row>
    <row r="28" spans="1:7" ht="12.75" customHeight="1">
      <c r="A28" s="44"/>
      <c r="B28" s="54"/>
      <c r="C28" s="44"/>
      <c r="D28" s="60" t="s">
        <v>30</v>
      </c>
      <c r="E28" s="45" t="s">
        <v>53</v>
      </c>
      <c r="F28" s="110">
        <v>84250.51</v>
      </c>
      <c r="G28" s="105"/>
    </row>
    <row r="29" spans="1:7" ht="12.75" customHeight="1">
      <c r="A29" s="44"/>
      <c r="B29" s="54"/>
      <c r="C29" s="44"/>
      <c r="D29" s="60" t="s">
        <v>30</v>
      </c>
      <c r="E29" s="45" t="s">
        <v>54</v>
      </c>
      <c r="F29" s="110">
        <f>219.3+23.22</f>
        <v>242.52</v>
      </c>
      <c r="G29" s="105"/>
    </row>
    <row r="30" spans="1:7" ht="12.75" customHeight="1">
      <c r="A30" s="44"/>
      <c r="B30" s="54"/>
      <c r="C30" s="44"/>
      <c r="D30" s="60" t="s">
        <v>30</v>
      </c>
      <c r="E30" s="45" t="s">
        <v>188</v>
      </c>
      <c r="F30" s="110">
        <f>195416.34*2.19/100</f>
        <v>4279.617845999999</v>
      </c>
      <c r="G30" s="105"/>
    </row>
    <row r="31" spans="1:7" ht="12.75" customHeight="1">
      <c r="A31" s="44"/>
      <c r="B31" s="54"/>
      <c r="C31" s="44"/>
      <c r="D31" s="44"/>
      <c r="E31" s="44"/>
      <c r="F31" s="95"/>
      <c r="G31" s="104"/>
    </row>
    <row r="32" spans="1:7" s="64" customFormat="1" ht="14.25" customHeight="1">
      <c r="A32" s="62"/>
      <c r="B32" s="57" t="s">
        <v>16</v>
      </c>
      <c r="C32" s="62"/>
      <c r="D32" s="62"/>
      <c r="E32" s="63"/>
      <c r="F32" s="96"/>
      <c r="G32" s="115">
        <f>-(F34+F40+F52+F55+F62+F70+F72+F74+F76)</f>
        <v>-154904.46828599996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04"/>
    </row>
    <row r="34" spans="1:7" ht="12.75" customHeight="1">
      <c r="A34" s="44"/>
      <c r="B34" s="54"/>
      <c r="D34" s="44" t="s">
        <v>18</v>
      </c>
      <c r="E34" s="65"/>
      <c r="F34" s="114">
        <f>SUM(F35:F38)</f>
        <v>5162.587858</v>
      </c>
      <c r="G34" s="104"/>
    </row>
    <row r="35" spans="1:7" ht="12.75" customHeight="1">
      <c r="A35" s="44"/>
      <c r="B35" s="54"/>
      <c r="D35" s="44"/>
      <c r="E35" s="65" t="s">
        <v>157</v>
      </c>
      <c r="F35" s="97">
        <v>2321.96</v>
      </c>
      <c r="G35" s="104"/>
    </row>
    <row r="36" spans="1:7" ht="12.75" customHeight="1">
      <c r="A36" s="44"/>
      <c r="B36" s="54"/>
      <c r="D36" s="44"/>
      <c r="E36" s="65" t="s">
        <v>196</v>
      </c>
      <c r="F36" s="97">
        <v>247.17</v>
      </c>
      <c r="G36" s="104"/>
    </row>
    <row r="37" spans="1:7" ht="12.75" customHeight="1">
      <c r="A37" s="44"/>
      <c r="B37" s="54"/>
      <c r="C37" s="44"/>
      <c r="D37" s="44"/>
      <c r="E37" s="66" t="s">
        <v>57</v>
      </c>
      <c r="F37" s="98">
        <v>2352.08</v>
      </c>
      <c r="G37" s="104"/>
    </row>
    <row r="38" spans="1:7" ht="12.75" customHeight="1">
      <c r="A38" s="44"/>
      <c r="B38" s="54"/>
      <c r="D38" s="44"/>
      <c r="E38" s="65" t="s">
        <v>189</v>
      </c>
      <c r="F38" s="95">
        <f>11021.82*2.19/100</f>
        <v>241.37785799999997</v>
      </c>
      <c r="G38" s="104"/>
    </row>
    <row r="39" spans="1:7" ht="12.75" customHeight="1">
      <c r="A39" s="44"/>
      <c r="B39" s="54"/>
      <c r="D39" s="44"/>
      <c r="E39" s="65"/>
      <c r="F39" s="101"/>
      <c r="G39" s="104"/>
    </row>
    <row r="40" spans="1:7" ht="12.75" customHeight="1">
      <c r="A40" s="44"/>
      <c r="B40" s="54"/>
      <c r="C40" s="44" t="s">
        <v>19</v>
      </c>
      <c r="D40" s="44"/>
      <c r="E40" s="65"/>
      <c r="F40" s="114">
        <f>SUM(F41:F50)</f>
        <v>36891.579605</v>
      </c>
      <c r="G40" s="104"/>
    </row>
    <row r="41" spans="1:7" ht="12.75" customHeight="1">
      <c r="A41" s="44"/>
      <c r="B41" s="54"/>
      <c r="C41" s="44"/>
      <c r="D41" s="44"/>
      <c r="E41" s="66" t="s">
        <v>45</v>
      </c>
      <c r="F41" s="121">
        <v>1795.48</v>
      </c>
      <c r="G41" s="104"/>
    </row>
    <row r="42" spans="1:7" ht="12.75" customHeight="1">
      <c r="A42" s="44"/>
      <c r="B42" s="54"/>
      <c r="C42" s="44"/>
      <c r="D42" s="44"/>
      <c r="E42" s="66" t="s">
        <v>229</v>
      </c>
      <c r="F42" s="121">
        <v>115</v>
      </c>
      <c r="G42" s="104"/>
    </row>
    <row r="43" spans="1:7" ht="12.75" customHeight="1">
      <c r="A43" s="44"/>
      <c r="B43" s="54"/>
      <c r="C43" s="44"/>
      <c r="D43" s="44"/>
      <c r="E43" s="66" t="s">
        <v>121</v>
      </c>
      <c r="F43" s="121">
        <v>1093.63</v>
      </c>
      <c r="G43" s="104"/>
    </row>
    <row r="44" spans="1:7" ht="12.75" customHeight="1">
      <c r="A44" s="44"/>
      <c r="B44" s="54"/>
      <c r="C44" s="44"/>
      <c r="D44" s="44"/>
      <c r="E44" s="66" t="s">
        <v>47</v>
      </c>
      <c r="F44" s="121">
        <v>448.5</v>
      </c>
      <c r="G44" s="104"/>
    </row>
    <row r="45" spans="1:7" ht="12.75" customHeight="1">
      <c r="A45" s="44"/>
      <c r="B45" s="54"/>
      <c r="C45" s="44"/>
      <c r="D45" s="44"/>
      <c r="E45" s="66" t="s">
        <v>203</v>
      </c>
      <c r="F45" s="121">
        <v>317.4</v>
      </c>
      <c r="G45" s="104"/>
    </row>
    <row r="46" spans="1:7" ht="13.5" customHeight="1">
      <c r="A46" s="44"/>
      <c r="B46" s="54"/>
      <c r="C46" s="44"/>
      <c r="D46" s="44"/>
      <c r="E46" s="66" t="s">
        <v>130</v>
      </c>
      <c r="F46" s="121">
        <v>1356.34</v>
      </c>
      <c r="G46" s="104"/>
    </row>
    <row r="47" spans="1:7" ht="13.5" customHeight="1">
      <c r="A47" s="44"/>
      <c r="B47" s="54"/>
      <c r="C47" s="44"/>
      <c r="D47" s="44"/>
      <c r="E47" s="66" t="s">
        <v>89</v>
      </c>
      <c r="F47" s="121">
        <v>12314.4</v>
      </c>
      <c r="G47" s="104"/>
    </row>
    <row r="48" spans="1:7" ht="13.5" customHeight="1">
      <c r="A48" s="44"/>
      <c r="B48" s="54"/>
      <c r="C48" s="44"/>
      <c r="D48" s="44"/>
      <c r="E48" s="66" t="s">
        <v>158</v>
      </c>
      <c r="F48" s="121">
        <v>10694.48</v>
      </c>
      <c r="G48" s="104"/>
    </row>
    <row r="49" spans="1:7" ht="13.5" customHeight="1">
      <c r="A49" s="44"/>
      <c r="B49" s="54"/>
      <c r="C49" s="44"/>
      <c r="D49" s="44"/>
      <c r="E49" s="66" t="s">
        <v>159</v>
      </c>
      <c r="F49" s="121">
        <v>713.51</v>
      </c>
      <c r="G49" s="104"/>
    </row>
    <row r="50" spans="1:7" ht="12.75" customHeight="1">
      <c r="A50" s="44"/>
      <c r="B50" s="54"/>
      <c r="C50" s="44"/>
      <c r="D50" s="44"/>
      <c r="E50" s="66" t="s">
        <v>189</v>
      </c>
      <c r="F50" s="121">
        <f>(248110.76+124547.78-5405.59)*2.19/100</f>
        <v>8042.839605</v>
      </c>
      <c r="G50" s="104"/>
    </row>
    <row r="51" spans="1:7" ht="12.75" customHeight="1">
      <c r="A51" s="44"/>
      <c r="B51" s="54"/>
      <c r="C51" s="44"/>
      <c r="D51" s="44"/>
      <c r="E51" s="66"/>
      <c r="F51" s="101"/>
      <c r="G51" s="104"/>
    </row>
    <row r="52" spans="1:7" ht="12.75" customHeight="1">
      <c r="A52" s="44"/>
      <c r="B52" s="54"/>
      <c r="C52" s="44" t="s">
        <v>20</v>
      </c>
      <c r="D52" s="44"/>
      <c r="E52" s="65"/>
      <c r="F52" s="116">
        <f>SUM(F53)</f>
        <v>0</v>
      </c>
      <c r="G52" s="104"/>
    </row>
    <row r="53" spans="1:7" ht="12.75" customHeight="1">
      <c r="A53" s="44"/>
      <c r="B53" s="54"/>
      <c r="C53" s="44"/>
      <c r="D53" s="44"/>
      <c r="E53" s="65" t="s">
        <v>189</v>
      </c>
      <c r="F53" s="99">
        <v>0</v>
      </c>
      <c r="G53" s="104"/>
    </row>
    <row r="54" spans="1:7" ht="12.75" customHeight="1">
      <c r="A54" s="44"/>
      <c r="B54" s="54"/>
      <c r="C54" s="44"/>
      <c r="D54" s="44"/>
      <c r="E54" s="65"/>
      <c r="F54" s="99"/>
      <c r="G54" s="104"/>
    </row>
    <row r="55" spans="1:7" ht="12.75" customHeight="1">
      <c r="A55" s="44"/>
      <c r="B55" s="54"/>
      <c r="C55" s="44" t="s">
        <v>21</v>
      </c>
      <c r="D55" s="44"/>
      <c r="E55" s="65"/>
      <c r="F55" s="114">
        <f>SUM(F56:F60)</f>
        <v>109486.83267999996</v>
      </c>
      <c r="G55" s="104"/>
    </row>
    <row r="56" spans="1:7" ht="12.75" customHeight="1">
      <c r="A56" s="44"/>
      <c r="B56" s="54"/>
      <c r="D56" s="67" t="s">
        <v>22</v>
      </c>
      <c r="E56" s="68"/>
      <c r="F56" s="121">
        <f>(65939.48+1127.19+4304.28)+((256108.02+5072.34+17493.67+67700)*2.19/100)+728.26-118.38</f>
        <v>79566.42125699998</v>
      </c>
      <c r="G56" s="104"/>
    </row>
    <row r="57" spans="1:7" ht="12.75" customHeight="1">
      <c r="A57" s="44"/>
      <c r="B57" s="54"/>
      <c r="D57" s="67" t="s">
        <v>23</v>
      </c>
      <c r="E57" s="68"/>
      <c r="F57" s="121">
        <f>(21969.27+281.8+1076.07)+((37162.28+1268.09+4373.42+17800)*2.19/100)</f>
        <v>24654.363000999998</v>
      </c>
      <c r="G57" s="104"/>
    </row>
    <row r="58" spans="1:7" ht="12.75" customHeight="1">
      <c r="A58" s="44"/>
      <c r="B58" s="54"/>
      <c r="D58" s="67" t="s">
        <v>24</v>
      </c>
      <c r="E58" s="68"/>
      <c r="F58" s="121">
        <f>4117.2+(10979.21*2.19/100)</f>
        <v>4357.6446989999995</v>
      </c>
      <c r="G58" s="104"/>
    </row>
    <row r="59" spans="1:7" ht="12.75" customHeight="1">
      <c r="A59" s="44"/>
      <c r="B59" s="54"/>
      <c r="D59" s="67" t="s">
        <v>25</v>
      </c>
      <c r="E59" s="68"/>
      <c r="F59" s="121">
        <v>0</v>
      </c>
      <c r="G59" s="104"/>
    </row>
    <row r="60" spans="1:7" ht="12.75" customHeight="1">
      <c r="A60" s="44"/>
      <c r="B60" s="54"/>
      <c r="D60" s="67" t="s">
        <v>131</v>
      </c>
      <c r="E60" s="68"/>
      <c r="F60" s="121">
        <f>766.05+(6500.17*2.19/100)</f>
        <v>908.4037229999999</v>
      </c>
      <c r="G60" s="104"/>
    </row>
    <row r="61" spans="1:7" ht="12.75" customHeight="1">
      <c r="A61" s="44"/>
      <c r="B61" s="54"/>
      <c r="D61" s="67"/>
      <c r="E61" s="68"/>
      <c r="F61" s="121"/>
      <c r="G61" s="104"/>
    </row>
    <row r="62" spans="1:7" ht="12.75" customHeight="1">
      <c r="A62" s="44"/>
      <c r="B62" s="54"/>
      <c r="C62" s="44" t="s">
        <v>27</v>
      </c>
      <c r="D62" s="44"/>
      <c r="E62" s="65"/>
      <c r="F62" s="114">
        <f>SUM(F63:F67)</f>
        <v>456.94172499999996</v>
      </c>
      <c r="G62" s="104"/>
    </row>
    <row r="63" spans="1:7" ht="12.75" customHeight="1">
      <c r="A63" s="44"/>
      <c r="B63" s="54"/>
      <c r="C63" s="44"/>
      <c r="D63" s="67" t="s">
        <v>28</v>
      </c>
      <c r="E63" s="68"/>
      <c r="F63" s="121">
        <f>2877.79*2.19/100</f>
        <v>63.023601</v>
      </c>
      <c r="G63" s="104"/>
    </row>
    <row r="64" spans="1:7" ht="12.75" customHeight="1">
      <c r="A64" s="44"/>
      <c r="B64" s="54"/>
      <c r="D64" s="67" t="s">
        <v>29</v>
      </c>
      <c r="E64" s="69"/>
      <c r="F64" s="121">
        <f>347.71+(2109.96*2.19/100)</f>
        <v>393.918124</v>
      </c>
      <c r="G64" s="104"/>
    </row>
    <row r="65" spans="1:7" ht="12.75" customHeight="1">
      <c r="A65" s="44"/>
      <c r="B65" s="54"/>
      <c r="D65" s="67" t="s">
        <v>31</v>
      </c>
      <c r="E65" s="68"/>
      <c r="F65" s="121">
        <v>0</v>
      </c>
      <c r="G65" s="104"/>
    </row>
    <row r="66" spans="1:7" ht="12.75" customHeight="1">
      <c r="A66" s="44"/>
      <c r="B66" s="54"/>
      <c r="D66" s="67" t="s">
        <v>32</v>
      </c>
      <c r="E66" s="68"/>
      <c r="F66" s="121"/>
      <c r="G66" s="104"/>
    </row>
    <row r="67" spans="1:7" ht="12.75" customHeight="1">
      <c r="A67" s="44"/>
      <c r="B67" s="54"/>
      <c r="D67" s="67"/>
      <c r="E67" s="69" t="s">
        <v>33</v>
      </c>
      <c r="F67" s="121">
        <v>0</v>
      </c>
      <c r="G67" s="104"/>
    </row>
    <row r="68" spans="1:7" ht="12.75" customHeight="1">
      <c r="A68" s="44"/>
      <c r="B68" s="54"/>
      <c r="D68" s="67"/>
      <c r="E68" s="69"/>
      <c r="F68" s="101"/>
      <c r="G68" s="104"/>
    </row>
    <row r="69" spans="1:7" ht="12.75" customHeight="1">
      <c r="A69" s="44"/>
      <c r="B69" s="54"/>
      <c r="C69" s="44" t="s">
        <v>34</v>
      </c>
      <c r="D69" s="44"/>
      <c r="E69" s="65"/>
      <c r="F69" s="95"/>
      <c r="G69" s="104"/>
    </row>
    <row r="70" spans="1:7" ht="12.75" customHeight="1">
      <c r="A70" s="44"/>
      <c r="B70" s="54"/>
      <c r="D70" s="44"/>
      <c r="E70" s="70" t="s">
        <v>35</v>
      </c>
      <c r="F70" s="124">
        <v>0</v>
      </c>
      <c r="G70" s="104"/>
    </row>
    <row r="71" spans="1:7" ht="12.75" customHeight="1">
      <c r="A71" s="44"/>
      <c r="B71" s="54"/>
      <c r="D71" s="44"/>
      <c r="E71" s="70"/>
      <c r="F71" s="124"/>
      <c r="G71" s="104"/>
    </row>
    <row r="72" spans="1:7" ht="12.75" customHeight="1">
      <c r="A72" s="44"/>
      <c r="B72" s="54"/>
      <c r="C72" s="44" t="s">
        <v>36</v>
      </c>
      <c r="D72" s="44"/>
      <c r="E72" s="65"/>
      <c r="F72" s="124">
        <f>121593.7*2.19/100</f>
        <v>2662.9020299999997</v>
      </c>
      <c r="G72" s="104"/>
    </row>
    <row r="73" spans="1:7" ht="12.75" customHeight="1">
      <c r="A73" s="44"/>
      <c r="B73" s="54"/>
      <c r="C73" s="44"/>
      <c r="D73" s="44"/>
      <c r="E73" s="65"/>
      <c r="F73" s="124"/>
      <c r="G73" s="104"/>
    </row>
    <row r="74" spans="1:7" ht="12.75" customHeight="1">
      <c r="A74" s="44"/>
      <c r="B74" s="54"/>
      <c r="C74" s="44" t="s">
        <v>37</v>
      </c>
      <c r="D74" s="44"/>
      <c r="E74" s="65"/>
      <c r="F74" s="124">
        <v>0</v>
      </c>
      <c r="G74" s="104"/>
    </row>
    <row r="75" spans="1:7" ht="12.75" customHeight="1">
      <c r="A75" s="44"/>
      <c r="B75" s="54"/>
      <c r="C75" s="44"/>
      <c r="D75" s="44"/>
      <c r="E75" s="65"/>
      <c r="F75" s="124"/>
      <c r="G75" s="104"/>
    </row>
    <row r="76" spans="1:7" ht="12.75" customHeight="1">
      <c r="A76" s="44"/>
      <c r="B76" s="54"/>
      <c r="C76" s="44" t="s">
        <v>38</v>
      </c>
      <c r="D76" s="44"/>
      <c r="E76" s="65"/>
      <c r="F76" s="124">
        <f>SUM(F77:F78)</f>
        <v>243.624388</v>
      </c>
      <c r="G76" s="104"/>
    </row>
    <row r="77" spans="1:7" ht="12.75" customHeight="1">
      <c r="A77" s="44"/>
      <c r="B77" s="54"/>
      <c r="C77" s="44"/>
      <c r="D77" s="44"/>
      <c r="E77" s="66" t="s">
        <v>230</v>
      </c>
      <c r="F77" s="101">
        <v>7.75</v>
      </c>
      <c r="G77" s="104"/>
    </row>
    <row r="78" spans="1:7" ht="12.75" customHeight="1">
      <c r="A78" s="44"/>
      <c r="B78" s="54"/>
      <c r="C78" s="44"/>
      <c r="D78" s="44"/>
      <c r="E78" s="66" t="s">
        <v>190</v>
      </c>
      <c r="F78" s="99">
        <f>10770.52*2.19/100</f>
        <v>235.874388</v>
      </c>
      <c r="G78" s="104"/>
    </row>
    <row r="79" spans="1:7" ht="12.75" customHeight="1">
      <c r="A79" s="44"/>
      <c r="B79" s="54"/>
      <c r="C79" s="44"/>
      <c r="D79" s="44"/>
      <c r="E79" s="70"/>
      <c r="F79" s="95" t="s">
        <v>0</v>
      </c>
      <c r="G79" s="104"/>
    </row>
    <row r="80" spans="1:7" ht="15.75" customHeight="1">
      <c r="A80" s="72"/>
      <c r="B80" s="57" t="s">
        <v>39</v>
      </c>
      <c r="C80" s="73"/>
      <c r="D80" s="73"/>
      <c r="E80" s="66"/>
      <c r="F80" s="95" t="s">
        <v>0</v>
      </c>
      <c r="G80" s="120">
        <f>G19+G32</f>
        <v>2245.8095600000233</v>
      </c>
    </row>
    <row r="81" spans="1:7" ht="12.75" customHeight="1">
      <c r="A81" s="44"/>
      <c r="B81" s="74" t="s">
        <v>40</v>
      </c>
      <c r="C81" s="44"/>
      <c r="D81" s="44"/>
      <c r="E81" s="70"/>
      <c r="F81" s="95" t="s">
        <v>0</v>
      </c>
      <c r="G81" s="106"/>
    </row>
    <row r="82" spans="2:7" ht="12" customHeight="1">
      <c r="B82" s="76"/>
      <c r="E82" s="65"/>
      <c r="F82" s="95" t="s">
        <v>0</v>
      </c>
      <c r="G82" s="106"/>
    </row>
    <row r="83" spans="2:7" ht="15" customHeight="1">
      <c r="B83" s="57" t="s">
        <v>77</v>
      </c>
      <c r="C83" s="62"/>
      <c r="D83" s="62"/>
      <c r="E83" s="77"/>
      <c r="F83" s="96"/>
      <c r="G83" s="120">
        <f>F85+F86-F87</f>
        <v>120.888</v>
      </c>
    </row>
    <row r="84" spans="2:7" ht="12">
      <c r="B84" s="76"/>
      <c r="E84" s="65"/>
      <c r="F84" s="95"/>
      <c r="G84" s="106"/>
    </row>
    <row r="85" spans="2:7" ht="14.25">
      <c r="B85" s="54"/>
      <c r="C85" s="44" t="s">
        <v>74</v>
      </c>
      <c r="D85" s="44"/>
      <c r="E85" s="65"/>
      <c r="F85" s="116">
        <v>0</v>
      </c>
      <c r="G85" s="106"/>
    </row>
    <row r="86" spans="2:7" ht="15">
      <c r="B86" s="76"/>
      <c r="C86" s="44" t="s">
        <v>75</v>
      </c>
      <c r="E86" s="65"/>
      <c r="F86" s="119">
        <f>11622.59*2.19/100</f>
        <v>254.534721</v>
      </c>
      <c r="G86" s="106"/>
    </row>
    <row r="87" spans="2:7" ht="15">
      <c r="B87" s="76"/>
      <c r="C87" s="44" t="s">
        <v>76</v>
      </c>
      <c r="E87" s="65"/>
      <c r="F87" s="149">
        <f>(697+5405.59)*2.19/100</f>
        <v>133.64672099999999</v>
      </c>
      <c r="G87" s="106"/>
    </row>
    <row r="88" spans="2:7" ht="12">
      <c r="B88" s="76"/>
      <c r="E88" s="65"/>
      <c r="F88" s="95"/>
      <c r="G88" s="106"/>
    </row>
    <row r="89" spans="2:7" ht="15.75">
      <c r="B89" s="57" t="s">
        <v>78</v>
      </c>
      <c r="C89" s="62"/>
      <c r="D89" s="62"/>
      <c r="E89" s="77"/>
      <c r="F89" s="126">
        <v>0</v>
      </c>
      <c r="G89" s="120">
        <v>0</v>
      </c>
    </row>
    <row r="90" spans="2:7" ht="12">
      <c r="B90" s="76"/>
      <c r="E90" s="65"/>
      <c r="F90" s="95"/>
      <c r="G90" s="106"/>
    </row>
    <row r="91" spans="2:7" ht="15.75">
      <c r="B91" s="57" t="s">
        <v>73</v>
      </c>
      <c r="C91" s="62"/>
      <c r="D91" s="62"/>
      <c r="E91" s="77"/>
      <c r="F91" s="96"/>
      <c r="G91" s="120">
        <f>F93-F94</f>
        <v>-329.559303</v>
      </c>
    </row>
    <row r="92" spans="2:7" ht="12">
      <c r="B92" s="76"/>
      <c r="E92" s="65"/>
      <c r="F92" s="95"/>
      <c r="G92" s="106"/>
    </row>
    <row r="93" spans="2:7" ht="14.25">
      <c r="B93" s="76"/>
      <c r="C93" s="44" t="s">
        <v>79</v>
      </c>
      <c r="E93" s="65"/>
      <c r="F93" s="124">
        <v>0</v>
      </c>
      <c r="G93" s="106"/>
    </row>
    <row r="94" spans="2:7" ht="15">
      <c r="B94" s="76"/>
      <c r="C94" s="44" t="s">
        <v>80</v>
      </c>
      <c r="E94" s="65"/>
      <c r="F94" s="119">
        <f>15048.37*2.19/100</f>
        <v>329.559303</v>
      </c>
      <c r="G94" s="106"/>
    </row>
    <row r="95" spans="2:7" ht="12">
      <c r="B95" s="76"/>
      <c r="E95" s="65"/>
      <c r="F95" s="95"/>
      <c r="G95" s="106"/>
    </row>
    <row r="96" spans="2:7" ht="15.75">
      <c r="B96" s="79" t="s">
        <v>81</v>
      </c>
      <c r="C96" s="63"/>
      <c r="D96" s="63"/>
      <c r="E96" s="77"/>
      <c r="F96" s="119">
        <f>111976.37*2.19/100</f>
        <v>2452.282503</v>
      </c>
      <c r="G96" s="120">
        <f>F96</f>
        <v>2452.282503</v>
      </c>
    </row>
    <row r="97" spans="2:7" ht="12">
      <c r="B97" s="76"/>
      <c r="E97" s="65"/>
      <c r="F97" s="95"/>
      <c r="G97" s="106"/>
    </row>
    <row r="98" spans="2:7" ht="15.75">
      <c r="B98" s="57"/>
      <c r="E98" s="80" t="s">
        <v>82</v>
      </c>
      <c r="F98" s="95"/>
      <c r="G98" s="125">
        <f>G80+G83-G89+G91-G96</f>
        <v>-415.14424599997665</v>
      </c>
    </row>
    <row r="99" spans="2:7" ht="12">
      <c r="B99" s="81"/>
      <c r="C99" s="82"/>
      <c r="D99" s="82"/>
      <c r="E99" s="83"/>
      <c r="F99" s="107"/>
      <c r="G99" s="108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1" r:id="rId1"/>
  <rowBreaks count="1" manualBreakCount="1">
    <brk id="6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workbookViewId="0" topLeftCell="A89">
      <selection activeCell="F93" sqref="F93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2" customHeight="1">
      <c r="A4" s="33"/>
      <c r="B4" s="34"/>
      <c r="C4" s="33"/>
      <c r="D4" s="33"/>
      <c r="E4" s="33"/>
      <c r="F4" s="35"/>
      <c r="G4" s="36"/>
    </row>
    <row r="5" spans="1:7" s="37" customFormat="1" ht="23.25" customHeight="1">
      <c r="A5" s="33"/>
      <c r="B5" s="161" t="s">
        <v>162</v>
      </c>
      <c r="C5" s="162"/>
      <c r="D5" s="162"/>
      <c r="E5" s="162"/>
      <c r="F5" s="162"/>
      <c r="G5" s="163"/>
    </row>
    <row r="6" spans="1:7" s="37" customFormat="1" ht="23.25">
      <c r="A6" s="33"/>
      <c r="B6" s="154" t="s">
        <v>161</v>
      </c>
      <c r="C6" s="158"/>
      <c r="D6" s="158"/>
      <c r="E6" s="158"/>
      <c r="F6" s="158"/>
      <c r="G6" s="164"/>
    </row>
    <row r="7" spans="1:7" s="37" customFormat="1" ht="23.25" customHeight="1">
      <c r="A7" s="33"/>
      <c r="B7" s="161" t="s">
        <v>163</v>
      </c>
      <c r="C7" s="165"/>
      <c r="D7" s="165"/>
      <c r="E7" s="165"/>
      <c r="F7" s="165"/>
      <c r="G7" s="16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 hidden="1">
      <c r="A11" s="22"/>
      <c r="B11" s="157" t="s">
        <v>194</v>
      </c>
      <c r="C11" s="157"/>
      <c r="D11" s="157"/>
      <c r="E11" s="157"/>
      <c r="F11" s="157"/>
      <c r="G11" s="157"/>
    </row>
    <row r="12" spans="1:7" ht="12.75" customHeight="1" hidden="1">
      <c r="A12" s="44"/>
      <c r="B12" s="44"/>
      <c r="C12" s="44"/>
      <c r="D12" s="44"/>
      <c r="F12" s="46"/>
      <c r="G12" s="47"/>
    </row>
    <row r="13" spans="1:7" ht="12.75" customHeight="1" hidden="1">
      <c r="A13" s="44"/>
      <c r="B13" s="157" t="s">
        <v>1</v>
      </c>
      <c r="C13" s="157"/>
      <c r="D13" s="157"/>
      <c r="E13" s="157"/>
      <c r="F13" s="157"/>
      <c r="G13" s="157"/>
    </row>
    <row r="14" spans="1:7" ht="15.75" customHeight="1">
      <c r="A14" s="22"/>
      <c r="B14" s="157" t="s">
        <v>207</v>
      </c>
      <c r="C14" s="158"/>
      <c r="D14" s="158"/>
      <c r="E14" s="158"/>
      <c r="F14" s="158"/>
      <c r="G14" s="158"/>
    </row>
    <row r="15" spans="1:7" ht="12.75" customHeight="1">
      <c r="A15" s="44"/>
      <c r="B15" s="44"/>
      <c r="C15" s="44"/>
      <c r="D15" s="44"/>
      <c r="F15" s="46"/>
      <c r="G15" s="47"/>
    </row>
    <row r="16" spans="1:7" ht="18" customHeight="1">
      <c r="A16" s="44"/>
      <c r="B16" s="157" t="s">
        <v>1</v>
      </c>
      <c r="C16" s="155"/>
      <c r="D16" s="155"/>
      <c r="E16" s="155"/>
      <c r="F16" s="155"/>
      <c r="G16" s="155"/>
    </row>
    <row r="17" spans="1:7" ht="12.75" customHeight="1">
      <c r="A17" s="44"/>
      <c r="B17" s="44"/>
      <c r="C17" s="44"/>
      <c r="D17" s="44"/>
      <c r="E17" s="48"/>
      <c r="F17" s="46"/>
      <c r="G17" s="47"/>
    </row>
    <row r="18" spans="1:7" ht="12.75" customHeight="1">
      <c r="A18" s="44"/>
      <c r="B18" s="44"/>
      <c r="C18" s="44"/>
      <c r="D18" s="44"/>
      <c r="F18" s="46"/>
      <c r="G18" s="47"/>
    </row>
    <row r="19" spans="1:7" ht="12.75" customHeight="1">
      <c r="A19" s="44"/>
      <c r="B19" s="44"/>
      <c r="C19" s="44"/>
      <c r="D19" s="44"/>
      <c r="F19" s="159">
        <v>2004</v>
      </c>
      <c r="G19" s="160"/>
    </row>
    <row r="20" spans="1:7" ht="12.75" customHeight="1">
      <c r="A20" s="44"/>
      <c r="B20" s="49"/>
      <c r="C20" s="50"/>
      <c r="D20" s="50"/>
      <c r="E20" s="51" t="s">
        <v>2</v>
      </c>
      <c r="F20" s="52" t="s">
        <v>3</v>
      </c>
      <c r="G20" s="53" t="s">
        <v>4</v>
      </c>
    </row>
    <row r="21" spans="1:7" ht="12.75" customHeight="1">
      <c r="A21" s="44"/>
      <c r="B21" s="54"/>
      <c r="C21" s="44"/>
      <c r="D21" s="44"/>
      <c r="E21" s="45" t="s">
        <v>0</v>
      </c>
      <c r="F21" s="55"/>
      <c r="G21" s="56"/>
    </row>
    <row r="22" spans="1:7" ht="15" customHeight="1">
      <c r="A22" s="44"/>
      <c r="B22" s="57" t="s">
        <v>5</v>
      </c>
      <c r="C22" s="44"/>
      <c r="D22" s="44"/>
      <c r="F22" s="102"/>
      <c r="G22" s="115">
        <f>F23+F26+F27+F28+F30</f>
        <v>62549.385754</v>
      </c>
    </row>
    <row r="23" spans="1:7" ht="12.75" customHeight="1">
      <c r="A23" s="44"/>
      <c r="B23" s="54"/>
      <c r="C23" s="44" t="s">
        <v>6</v>
      </c>
      <c r="D23" s="44" t="s">
        <v>7</v>
      </c>
      <c r="F23" s="116">
        <f>SUM(F24:F24)</f>
        <v>0</v>
      </c>
      <c r="G23" s="103"/>
    </row>
    <row r="24" spans="1:7" ht="12.75" customHeight="1">
      <c r="A24" s="44"/>
      <c r="B24" s="54"/>
      <c r="C24" s="44"/>
      <c r="D24" s="44" t="s">
        <v>30</v>
      </c>
      <c r="E24" s="45" t="s">
        <v>197</v>
      </c>
      <c r="F24" s="110">
        <v>0</v>
      </c>
      <c r="G24" s="103"/>
    </row>
    <row r="25" spans="1:7" ht="12.75" customHeight="1">
      <c r="A25" s="44"/>
      <c r="B25" s="54"/>
      <c r="C25" s="44" t="s">
        <v>8</v>
      </c>
      <c r="D25" s="44" t="s">
        <v>9</v>
      </c>
      <c r="F25" s="95"/>
      <c r="G25" s="103"/>
    </row>
    <row r="26" spans="1:7" ht="12.75" customHeight="1">
      <c r="A26" s="44"/>
      <c r="B26" s="54"/>
      <c r="C26" s="44"/>
      <c r="D26" s="44" t="s">
        <v>10</v>
      </c>
      <c r="F26" s="124">
        <v>0</v>
      </c>
      <c r="G26" s="103"/>
    </row>
    <row r="27" spans="1:7" ht="12.75" customHeight="1">
      <c r="A27" s="44"/>
      <c r="B27" s="54"/>
      <c r="C27" s="44" t="s">
        <v>11</v>
      </c>
      <c r="D27" s="44" t="s">
        <v>12</v>
      </c>
      <c r="F27" s="124">
        <v>0</v>
      </c>
      <c r="G27" s="103"/>
    </row>
    <row r="28" spans="1:7" ht="12.75" customHeight="1">
      <c r="A28" s="44"/>
      <c r="B28" s="54"/>
      <c r="C28" s="44" t="s">
        <v>13</v>
      </c>
      <c r="D28" s="44"/>
      <c r="F28" s="124">
        <v>0</v>
      </c>
      <c r="G28" s="103"/>
    </row>
    <row r="29" spans="1:7" ht="12.75" customHeight="1">
      <c r="A29" s="44"/>
      <c r="B29" s="54"/>
      <c r="C29" s="44" t="s">
        <v>14</v>
      </c>
      <c r="D29" s="44"/>
      <c r="F29" s="95" t="s">
        <v>0</v>
      </c>
      <c r="G29" s="104"/>
    </row>
    <row r="30" spans="1:7" ht="12.75" customHeight="1">
      <c r="A30" s="44"/>
      <c r="B30" s="54"/>
      <c r="C30" s="44"/>
      <c r="D30" s="44" t="s">
        <v>15</v>
      </c>
      <c r="F30" s="116">
        <f>SUM(F31:F34)</f>
        <v>62549.385754</v>
      </c>
      <c r="G30" s="104"/>
    </row>
    <row r="31" spans="1:7" ht="12.75" customHeight="1">
      <c r="A31" s="44"/>
      <c r="B31" s="54"/>
      <c r="C31" s="44"/>
      <c r="D31" s="44"/>
      <c r="E31" s="45" t="s">
        <v>164</v>
      </c>
      <c r="F31" s="93">
        <v>6666.67</v>
      </c>
      <c r="G31" s="104"/>
    </row>
    <row r="32" spans="1:7" ht="12.75" customHeight="1">
      <c r="A32" s="44"/>
      <c r="B32" s="54"/>
      <c r="C32" s="44"/>
      <c r="D32" s="44"/>
      <c r="E32" s="45" t="s">
        <v>198</v>
      </c>
      <c r="F32" s="93">
        <v>51645.68</v>
      </c>
      <c r="G32" s="104"/>
    </row>
    <row r="33" spans="1:7" ht="12.75" customHeight="1">
      <c r="A33" s="44"/>
      <c r="B33" s="54"/>
      <c r="C33" s="44"/>
      <c r="D33" s="44"/>
      <c r="E33" s="45" t="s">
        <v>231</v>
      </c>
      <c r="F33" s="93">
        <v>700</v>
      </c>
      <c r="G33" s="104"/>
    </row>
    <row r="34" spans="1:7" ht="12.75" customHeight="1">
      <c r="A34" s="44"/>
      <c r="B34" s="54"/>
      <c r="C34" s="44"/>
      <c r="D34" s="44"/>
      <c r="E34" s="45" t="s">
        <v>191</v>
      </c>
      <c r="F34" s="110">
        <f>195416.34*1.81/100</f>
        <v>3537.0357540000005</v>
      </c>
      <c r="G34" s="104"/>
    </row>
    <row r="35" spans="1:7" ht="12.75" customHeight="1">
      <c r="A35" s="44"/>
      <c r="B35" s="54"/>
      <c r="C35" s="44"/>
      <c r="D35" s="44"/>
      <c r="E35" s="44"/>
      <c r="F35" s="95"/>
      <c r="G35" s="104"/>
    </row>
    <row r="36" spans="1:7" s="64" customFormat="1" ht="14.25" customHeight="1">
      <c r="A36" s="62"/>
      <c r="B36" s="57" t="s">
        <v>16</v>
      </c>
      <c r="C36" s="62"/>
      <c r="D36" s="62"/>
      <c r="E36" s="63"/>
      <c r="F36" s="96"/>
      <c r="G36" s="115">
        <f>-(F38+F43+F56+F59+F66+F74+F76+F78+F80)</f>
        <v>-144999.43964099998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104"/>
    </row>
    <row r="38" spans="1:7" ht="12.75" customHeight="1">
      <c r="A38" s="44"/>
      <c r="B38" s="54"/>
      <c r="D38" s="44" t="s">
        <v>18</v>
      </c>
      <c r="E38" s="65"/>
      <c r="F38" s="114">
        <f>SUM(F39:F41)</f>
        <v>9999.524941999998</v>
      </c>
      <c r="G38" s="104"/>
    </row>
    <row r="39" spans="1:7" ht="12.75" customHeight="1">
      <c r="A39" s="44"/>
      <c r="B39" s="54"/>
      <c r="D39" s="44"/>
      <c r="E39" s="65" t="s">
        <v>85</v>
      </c>
      <c r="F39" s="121">
        <v>433.56</v>
      </c>
      <c r="G39" s="104"/>
    </row>
    <row r="40" spans="1:7" ht="12.75" customHeight="1">
      <c r="A40" s="44"/>
      <c r="B40" s="54"/>
      <c r="C40" s="44"/>
      <c r="D40" s="44"/>
      <c r="E40" s="66" t="s">
        <v>57</v>
      </c>
      <c r="F40" s="121">
        <v>9366.47</v>
      </c>
      <c r="G40" s="104"/>
    </row>
    <row r="41" spans="1:7" ht="12.75" customHeight="1">
      <c r="A41" s="44"/>
      <c r="B41" s="54"/>
      <c r="D41" s="44"/>
      <c r="E41" s="65" t="s">
        <v>192</v>
      </c>
      <c r="F41" s="95">
        <f>11021.82*1.81/100</f>
        <v>199.494942</v>
      </c>
      <c r="G41" s="104"/>
    </row>
    <row r="42" spans="1:7" ht="12.75" customHeight="1">
      <c r="A42" s="44"/>
      <c r="B42" s="54"/>
      <c r="D42" s="44"/>
      <c r="E42" s="65"/>
      <c r="F42" s="101"/>
      <c r="G42" s="104"/>
    </row>
    <row r="43" spans="1:7" ht="12.75" customHeight="1">
      <c r="A43" s="44"/>
      <c r="B43" s="54"/>
      <c r="C43" s="44" t="s">
        <v>19</v>
      </c>
      <c r="D43" s="44"/>
      <c r="E43" s="65"/>
      <c r="F43" s="114">
        <f>SUM(F44:F54)</f>
        <v>62956.668395</v>
      </c>
      <c r="G43" s="104"/>
    </row>
    <row r="44" spans="1:7" ht="12.75" customHeight="1">
      <c r="A44" s="44"/>
      <c r="B44" s="54"/>
      <c r="C44" s="44"/>
      <c r="D44" s="44"/>
      <c r="E44" s="66" t="s">
        <v>46</v>
      </c>
      <c r="F44" s="121">
        <v>3127.4</v>
      </c>
      <c r="G44" s="104"/>
    </row>
    <row r="45" spans="1:7" ht="12.75" customHeight="1">
      <c r="A45" s="44"/>
      <c r="B45" s="54"/>
      <c r="C45" s="44"/>
      <c r="D45" s="44"/>
      <c r="E45" s="66" t="s">
        <v>45</v>
      </c>
      <c r="F45" s="121">
        <v>3242.32</v>
      </c>
      <c r="G45" s="104"/>
    </row>
    <row r="46" spans="1:7" ht="12.75" customHeight="1">
      <c r="A46" s="44"/>
      <c r="B46" s="54"/>
      <c r="C46" s="44"/>
      <c r="D46" s="44"/>
      <c r="E46" s="66" t="s">
        <v>51</v>
      </c>
      <c r="F46" s="121">
        <v>1103.68</v>
      </c>
      <c r="G46" s="104"/>
    </row>
    <row r="47" spans="1:7" ht="13.5" customHeight="1">
      <c r="A47" s="44"/>
      <c r="B47" s="54"/>
      <c r="C47" s="44"/>
      <c r="D47" s="44"/>
      <c r="E47" s="66" t="s">
        <v>50</v>
      </c>
      <c r="F47" s="121">
        <v>1160.86</v>
      </c>
      <c r="G47" s="104"/>
    </row>
    <row r="48" spans="1:7" ht="13.5" customHeight="1">
      <c r="A48" s="44"/>
      <c r="B48" s="54"/>
      <c r="C48" s="44"/>
      <c r="D48" s="44"/>
      <c r="E48" s="66" t="s">
        <v>121</v>
      </c>
      <c r="F48" s="121">
        <v>1918.73</v>
      </c>
      <c r="G48" s="104"/>
    </row>
    <row r="49" spans="1:7" ht="13.5" customHeight="1">
      <c r="A49" s="44"/>
      <c r="B49" s="54"/>
      <c r="C49" s="44"/>
      <c r="D49" s="44"/>
      <c r="E49" s="66" t="s">
        <v>115</v>
      </c>
      <c r="F49" s="121">
        <v>243.33</v>
      </c>
      <c r="G49" s="104"/>
    </row>
    <row r="50" spans="1:7" ht="12.75" customHeight="1">
      <c r="A50" s="44"/>
      <c r="B50" s="54"/>
      <c r="C50" s="44"/>
      <c r="D50" s="44"/>
      <c r="E50" s="66" t="s">
        <v>86</v>
      </c>
      <c r="F50" s="121">
        <v>830.02</v>
      </c>
      <c r="G50" s="104"/>
    </row>
    <row r="51" spans="1:7" ht="12.75" customHeight="1">
      <c r="A51" s="44"/>
      <c r="B51" s="54"/>
      <c r="C51" s="44"/>
      <c r="D51" s="44"/>
      <c r="E51" s="66" t="s">
        <v>232</v>
      </c>
      <c r="F51" s="121">
        <v>734.4</v>
      </c>
      <c r="G51" s="104"/>
    </row>
    <row r="52" spans="1:7" ht="12.75" customHeight="1">
      <c r="A52" s="44"/>
      <c r="B52" s="54"/>
      <c r="C52" s="44"/>
      <c r="D52" s="44"/>
      <c r="E52" s="66" t="s">
        <v>152</v>
      </c>
      <c r="F52" s="121">
        <v>38952.11</v>
      </c>
      <c r="G52" s="104"/>
    </row>
    <row r="53" spans="1:7" ht="12.75" customHeight="1">
      <c r="A53" s="44"/>
      <c r="B53" s="54"/>
      <c r="C53" s="44"/>
      <c r="D53" s="44"/>
      <c r="E53" s="66" t="s">
        <v>153</v>
      </c>
      <c r="F53" s="121">
        <v>4996.54</v>
      </c>
      <c r="G53" s="104"/>
    </row>
    <row r="54" spans="1:7" ht="12.75" customHeight="1">
      <c r="A54" s="44"/>
      <c r="B54" s="54"/>
      <c r="C54" s="44"/>
      <c r="D54" s="44"/>
      <c r="E54" s="66" t="s">
        <v>190</v>
      </c>
      <c r="F54" s="121">
        <f>(248110.76+124547.78-5405.59)*1.81/100</f>
        <v>6647.278395</v>
      </c>
      <c r="G54" s="104"/>
    </row>
    <row r="55" spans="1:7" ht="12.75" customHeight="1">
      <c r="A55" s="44"/>
      <c r="B55" s="54"/>
      <c r="C55" s="44"/>
      <c r="D55" s="44"/>
      <c r="E55" s="66"/>
      <c r="F55" s="101"/>
      <c r="G55" s="104"/>
    </row>
    <row r="56" spans="1:7" ht="12.75" customHeight="1">
      <c r="A56" s="44"/>
      <c r="B56" s="54"/>
      <c r="C56" s="44" t="s">
        <v>20</v>
      </c>
      <c r="D56" s="44"/>
      <c r="E56" s="65"/>
      <c r="F56" s="116">
        <f>SUM(F57)</f>
        <v>103.580327</v>
      </c>
      <c r="G56" s="104"/>
    </row>
    <row r="57" spans="1:7" ht="12.75" customHeight="1">
      <c r="A57" s="44"/>
      <c r="B57" s="54"/>
      <c r="C57" s="44"/>
      <c r="D57" s="44"/>
      <c r="E57" s="65" t="s">
        <v>189</v>
      </c>
      <c r="F57" s="99">
        <f>5722.67*1.81/100</f>
        <v>103.580327</v>
      </c>
      <c r="G57" s="104"/>
    </row>
    <row r="58" spans="1:7" ht="12.75" customHeight="1">
      <c r="A58" s="44"/>
      <c r="B58" s="54"/>
      <c r="C58" s="44"/>
      <c r="D58" s="44"/>
      <c r="E58" s="65"/>
      <c r="F58" s="100"/>
      <c r="G58" s="104"/>
    </row>
    <row r="59" spans="1:7" ht="12.75" customHeight="1">
      <c r="A59" s="44"/>
      <c r="B59" s="54"/>
      <c r="C59" s="44" t="s">
        <v>21</v>
      </c>
      <c r="D59" s="44"/>
      <c r="E59" s="65"/>
      <c r="F59" s="114">
        <f>SUM(F60:F64)</f>
        <v>60398.30531999999</v>
      </c>
      <c r="G59" s="104"/>
    </row>
    <row r="60" spans="1:7" ht="12.75" customHeight="1">
      <c r="A60" s="44"/>
      <c r="B60" s="54"/>
      <c r="D60" s="67" t="s">
        <v>22</v>
      </c>
      <c r="E60" s="68"/>
      <c r="F60" s="121">
        <f>(35197.68+563.59+2324.7)+((256108.02+5072.34+17493.67+67700)*1.81/100)+134.08+297.66</f>
        <v>44787.079943</v>
      </c>
      <c r="G60" s="104"/>
    </row>
    <row r="61" spans="1:7" ht="12.75" customHeight="1">
      <c r="A61" s="44"/>
      <c r="B61" s="54"/>
      <c r="D61" s="67" t="s">
        <v>23</v>
      </c>
      <c r="E61" s="68"/>
      <c r="F61" s="121">
        <f>(10220.34+140.9+581.18)+((37162.28+1268.09+4373.42+17800)*1.81/100)</f>
        <v>12039.348599</v>
      </c>
      <c r="G61" s="104"/>
    </row>
    <row r="62" spans="1:7" ht="12.75" customHeight="1">
      <c r="A62" s="44"/>
      <c r="B62" s="54"/>
      <c r="D62" s="67" t="s">
        <v>24</v>
      </c>
      <c r="E62" s="68"/>
      <c r="F62" s="121">
        <f>2744.8+(10979.21*1.81/100)</f>
        <v>2943.523701</v>
      </c>
      <c r="G62" s="104"/>
    </row>
    <row r="63" spans="1:7" ht="12.75" customHeight="1">
      <c r="A63" s="44"/>
      <c r="B63" s="54"/>
      <c r="D63" s="67" t="s">
        <v>25</v>
      </c>
      <c r="E63" s="68"/>
      <c r="F63" s="121">
        <v>0</v>
      </c>
      <c r="G63" s="104"/>
    </row>
    <row r="64" spans="1:7" ht="12.75" customHeight="1">
      <c r="A64" s="44"/>
      <c r="B64" s="54"/>
      <c r="D64" s="67" t="s">
        <v>126</v>
      </c>
      <c r="E64" s="68"/>
      <c r="F64" s="121">
        <f>510.7+(6500.17*1.81/100)</f>
        <v>628.353077</v>
      </c>
      <c r="G64" s="104"/>
    </row>
    <row r="65" spans="1:7" ht="12.75" customHeight="1">
      <c r="A65" s="44"/>
      <c r="B65" s="54"/>
      <c r="D65" s="67"/>
      <c r="E65" s="68"/>
      <c r="F65" s="121"/>
      <c r="G65" s="104"/>
    </row>
    <row r="66" spans="1:7" ht="12.75" customHeight="1">
      <c r="A66" s="44"/>
      <c r="B66" s="54"/>
      <c r="C66" s="44" t="s">
        <v>27</v>
      </c>
      <c r="D66" s="44"/>
      <c r="E66" s="65"/>
      <c r="F66" s="114">
        <f>SUM(F67:F71)</f>
        <v>6515.508275</v>
      </c>
      <c r="G66" s="104"/>
    </row>
    <row r="67" spans="1:7" ht="12.75" customHeight="1">
      <c r="A67" s="44"/>
      <c r="B67" s="54"/>
      <c r="C67" s="44"/>
      <c r="D67" s="67" t="s">
        <v>28</v>
      </c>
      <c r="E67" s="68"/>
      <c r="F67" s="121">
        <f>2877.79*1.81/100</f>
        <v>52.087998999999996</v>
      </c>
      <c r="G67" s="104"/>
    </row>
    <row r="68" spans="1:7" ht="12.75" customHeight="1">
      <c r="A68" s="44"/>
      <c r="B68" s="54"/>
      <c r="D68" s="67" t="s">
        <v>29</v>
      </c>
      <c r="E68" s="69"/>
      <c r="F68" s="121">
        <f>6425.23+(2109.96*1.81/100)</f>
        <v>6463.420276</v>
      </c>
      <c r="G68" s="104"/>
    </row>
    <row r="69" spans="1:7" ht="12.75" customHeight="1">
      <c r="A69" s="44"/>
      <c r="B69" s="54"/>
      <c r="D69" s="67" t="s">
        <v>31</v>
      </c>
      <c r="E69" s="68"/>
      <c r="F69" s="121">
        <v>0</v>
      </c>
      <c r="G69" s="104"/>
    </row>
    <row r="70" spans="1:7" ht="12.75" customHeight="1">
      <c r="A70" s="44"/>
      <c r="B70" s="54"/>
      <c r="D70" s="67" t="s">
        <v>32</v>
      </c>
      <c r="E70" s="68"/>
      <c r="F70" s="121"/>
      <c r="G70" s="104"/>
    </row>
    <row r="71" spans="1:7" ht="12.75" customHeight="1">
      <c r="A71" s="44"/>
      <c r="B71" s="54"/>
      <c r="D71" s="67"/>
      <c r="E71" s="69" t="s">
        <v>33</v>
      </c>
      <c r="F71" s="121">
        <v>0</v>
      </c>
      <c r="G71" s="104"/>
    </row>
    <row r="72" spans="1:7" ht="12.75" customHeight="1">
      <c r="A72" s="44"/>
      <c r="B72" s="54"/>
      <c r="D72" s="67"/>
      <c r="E72" s="69"/>
      <c r="F72" s="101"/>
      <c r="G72" s="104"/>
    </row>
    <row r="73" spans="1:7" ht="12.75" customHeight="1">
      <c r="A73" s="44"/>
      <c r="B73" s="54"/>
      <c r="C73" s="44" t="s">
        <v>34</v>
      </c>
      <c r="D73" s="44"/>
      <c r="E73" s="65"/>
      <c r="F73" s="95"/>
      <c r="G73" s="104"/>
    </row>
    <row r="74" spans="1:7" ht="12.75" customHeight="1">
      <c r="A74" s="44"/>
      <c r="B74" s="54"/>
      <c r="D74" s="44"/>
      <c r="E74" s="70" t="s">
        <v>35</v>
      </c>
      <c r="F74" s="124">
        <v>0</v>
      </c>
      <c r="G74" s="104"/>
    </row>
    <row r="75" spans="1:7" ht="12.75" customHeight="1">
      <c r="A75" s="44"/>
      <c r="B75" s="54"/>
      <c r="D75" s="44"/>
      <c r="E75" s="70"/>
      <c r="F75" s="124"/>
      <c r="G75" s="104"/>
    </row>
    <row r="76" spans="1:7" ht="12.75" customHeight="1">
      <c r="A76" s="44"/>
      <c r="B76" s="54"/>
      <c r="C76" s="44" t="s">
        <v>36</v>
      </c>
      <c r="D76" s="44"/>
      <c r="E76" s="65"/>
      <c r="F76" s="124">
        <f>121593.7*1.81/100</f>
        <v>2200.8459700000003</v>
      </c>
      <c r="G76" s="104"/>
    </row>
    <row r="77" spans="1:7" ht="12.75" customHeight="1">
      <c r="A77" s="44"/>
      <c r="B77" s="54"/>
      <c r="C77" s="44"/>
      <c r="D77" s="44"/>
      <c r="E77" s="65"/>
      <c r="F77" s="124"/>
      <c r="G77" s="104"/>
    </row>
    <row r="78" spans="1:7" ht="12.75" customHeight="1">
      <c r="A78" s="44"/>
      <c r="B78" s="54"/>
      <c r="C78" s="44" t="s">
        <v>37</v>
      </c>
      <c r="D78" s="44"/>
      <c r="E78" s="65"/>
      <c r="F78" s="124">
        <v>0</v>
      </c>
      <c r="G78" s="104"/>
    </row>
    <row r="79" spans="1:7" ht="12.75" customHeight="1">
      <c r="A79" s="44"/>
      <c r="B79" s="54"/>
      <c r="C79" s="44"/>
      <c r="D79" s="44"/>
      <c r="E79" s="65"/>
      <c r="F79" s="95"/>
      <c r="G79" s="104"/>
    </row>
    <row r="80" spans="1:7" ht="12.75" customHeight="1">
      <c r="A80" s="44"/>
      <c r="B80" s="54"/>
      <c r="C80" s="44" t="s">
        <v>38</v>
      </c>
      <c r="D80" s="44"/>
      <c r="E80" s="65"/>
      <c r="F80" s="124">
        <f>SUM(F81:F84)</f>
        <v>2825.0064120000006</v>
      </c>
      <c r="G80" s="104"/>
    </row>
    <row r="81" spans="1:7" ht="12.75" customHeight="1">
      <c r="A81" s="44"/>
      <c r="B81" s="54"/>
      <c r="C81" s="44"/>
      <c r="D81" s="44"/>
      <c r="E81" s="71" t="s">
        <v>138</v>
      </c>
      <c r="F81" s="121">
        <v>2058.69</v>
      </c>
      <c r="G81" s="104"/>
    </row>
    <row r="82" spans="1:7" ht="12.75" customHeight="1">
      <c r="A82" s="44"/>
      <c r="B82" s="54"/>
      <c r="C82" s="44"/>
      <c r="D82" s="44"/>
      <c r="E82" s="66" t="s">
        <v>165</v>
      </c>
      <c r="F82" s="121">
        <v>400.8</v>
      </c>
      <c r="G82" s="104"/>
    </row>
    <row r="83" spans="1:7" ht="12.75" customHeight="1">
      <c r="A83" s="44"/>
      <c r="B83" s="54"/>
      <c r="C83" s="44"/>
      <c r="D83" s="44"/>
      <c r="E83" s="66" t="s">
        <v>125</v>
      </c>
      <c r="F83" s="101">
        <v>170.57</v>
      </c>
      <c r="G83" s="104"/>
    </row>
    <row r="84" spans="1:7" ht="12.75" customHeight="1">
      <c r="A84" s="44"/>
      <c r="B84" s="54"/>
      <c r="C84" s="44"/>
      <c r="D84" s="44"/>
      <c r="E84" s="66" t="s">
        <v>189</v>
      </c>
      <c r="F84" s="99">
        <f>10770.52*1.81/100</f>
        <v>194.946412</v>
      </c>
      <c r="G84" s="104"/>
    </row>
    <row r="85" spans="1:7" ht="12.75" customHeight="1">
      <c r="A85" s="44"/>
      <c r="B85" s="54"/>
      <c r="C85" s="44"/>
      <c r="D85" s="44"/>
      <c r="E85" s="70"/>
      <c r="F85" s="95" t="s">
        <v>0</v>
      </c>
      <c r="G85" s="104"/>
    </row>
    <row r="86" spans="1:7" ht="15" customHeight="1">
      <c r="A86" s="72"/>
      <c r="B86" s="57" t="s">
        <v>39</v>
      </c>
      <c r="C86" s="73"/>
      <c r="D86" s="73"/>
      <c r="E86" s="66"/>
      <c r="F86" s="95" t="s">
        <v>0</v>
      </c>
      <c r="G86" s="120">
        <f>G22+G36</f>
        <v>-82450.05388699997</v>
      </c>
    </row>
    <row r="87" spans="1:7" ht="12.75" customHeight="1">
      <c r="A87" s="44"/>
      <c r="B87" s="74" t="s">
        <v>40</v>
      </c>
      <c r="C87" s="44"/>
      <c r="D87" s="44"/>
      <c r="E87" s="70"/>
      <c r="F87" s="95" t="s">
        <v>0</v>
      </c>
      <c r="G87" s="106"/>
    </row>
    <row r="88" spans="2:7" ht="12" customHeight="1">
      <c r="B88" s="76"/>
      <c r="E88" s="65"/>
      <c r="F88" s="95" t="s">
        <v>0</v>
      </c>
      <c r="G88" s="106"/>
    </row>
    <row r="89" spans="2:7" ht="14.25" customHeight="1">
      <c r="B89" s="57" t="s">
        <v>77</v>
      </c>
      <c r="C89" s="62"/>
      <c r="D89" s="62"/>
      <c r="E89" s="77"/>
      <c r="F89" s="96"/>
      <c r="G89" s="120">
        <f>F91+F92-F93</f>
        <v>99.912</v>
      </c>
    </row>
    <row r="90" spans="2:7" ht="12">
      <c r="B90" s="76"/>
      <c r="E90" s="65"/>
      <c r="F90" s="95"/>
      <c r="G90" s="106"/>
    </row>
    <row r="91" spans="2:7" ht="14.25">
      <c r="B91" s="54"/>
      <c r="C91" s="44" t="s">
        <v>74</v>
      </c>
      <c r="D91" s="44"/>
      <c r="E91" s="65"/>
      <c r="F91" s="116">
        <v>0</v>
      </c>
      <c r="G91" s="106"/>
    </row>
    <row r="92" spans="2:7" ht="15">
      <c r="B92" s="76"/>
      <c r="C92" s="44" t="s">
        <v>75</v>
      </c>
      <c r="E92" s="65"/>
      <c r="F92" s="119">
        <f>11622.59*1.81/100</f>
        <v>210.36887900000002</v>
      </c>
      <c r="G92" s="106"/>
    </row>
    <row r="93" spans="2:7" ht="15">
      <c r="B93" s="76"/>
      <c r="C93" s="44" t="s">
        <v>76</v>
      </c>
      <c r="E93" s="65"/>
      <c r="F93" s="149">
        <f>(697+5405.59)*1.81/100</f>
        <v>110.45687900000001</v>
      </c>
      <c r="G93" s="106"/>
    </row>
    <row r="94" spans="2:7" ht="12">
      <c r="B94" s="76"/>
      <c r="E94" s="65"/>
      <c r="F94" s="95"/>
      <c r="G94" s="106"/>
    </row>
    <row r="95" spans="2:7" ht="15.75">
      <c r="B95" s="57" t="s">
        <v>78</v>
      </c>
      <c r="C95" s="62"/>
      <c r="D95" s="62"/>
      <c r="E95" s="77"/>
      <c r="F95" s="126">
        <v>0</v>
      </c>
      <c r="G95" s="120">
        <v>0</v>
      </c>
    </row>
    <row r="96" spans="2:7" ht="12">
      <c r="B96" s="76"/>
      <c r="E96" s="65"/>
      <c r="F96" s="95"/>
      <c r="G96" s="106"/>
    </row>
    <row r="97" spans="2:7" ht="15.75">
      <c r="B97" s="57" t="s">
        <v>73</v>
      </c>
      <c r="C97" s="62"/>
      <c r="D97" s="62"/>
      <c r="E97" s="77"/>
      <c r="F97" s="96"/>
      <c r="G97" s="120">
        <f>F99-F101</f>
        <v>-14418.455497</v>
      </c>
    </row>
    <row r="98" spans="2:7" ht="12">
      <c r="B98" s="76"/>
      <c r="E98" s="65"/>
      <c r="F98" s="95"/>
      <c r="G98" s="106"/>
    </row>
    <row r="99" spans="2:7" ht="14.25">
      <c r="B99" s="76"/>
      <c r="C99" s="44" t="s">
        <v>79</v>
      </c>
      <c r="E99" s="65"/>
      <c r="F99" s="124">
        <f>SUM(F100:F100)</f>
        <v>4.6</v>
      </c>
      <c r="G99" s="106"/>
    </row>
    <row r="100" spans="2:7" ht="12">
      <c r="B100" s="76"/>
      <c r="C100" s="44"/>
      <c r="D100" s="152" t="s">
        <v>249</v>
      </c>
      <c r="E100" s="153"/>
      <c r="F100" s="95">
        <v>4.6</v>
      </c>
      <c r="G100" s="106"/>
    </row>
    <row r="101" spans="2:7" ht="14.25">
      <c r="B101" s="76"/>
      <c r="C101" s="44" t="s">
        <v>80</v>
      </c>
      <c r="E101" s="65"/>
      <c r="F101" s="124">
        <f>14150.68+(15048.37*1.81/100)</f>
        <v>14423.055497000001</v>
      </c>
      <c r="G101" s="106"/>
    </row>
    <row r="102" spans="2:7" ht="12">
      <c r="B102" s="76"/>
      <c r="E102" s="65"/>
      <c r="F102" s="95"/>
      <c r="G102" s="106"/>
    </row>
    <row r="103" spans="2:7" ht="15.75">
      <c r="B103" s="79" t="s">
        <v>81</v>
      </c>
      <c r="C103" s="63"/>
      <c r="D103" s="63"/>
      <c r="E103" s="77"/>
      <c r="F103" s="124">
        <f>111976.37*1.81/100</f>
        <v>2026.772297</v>
      </c>
      <c r="G103" s="120">
        <f>F103</f>
        <v>2026.772297</v>
      </c>
    </row>
    <row r="104" spans="2:7" ht="12">
      <c r="B104" s="76"/>
      <c r="E104" s="65"/>
      <c r="F104" s="95"/>
      <c r="G104" s="106"/>
    </row>
    <row r="105" spans="2:9" ht="15.75">
      <c r="B105" s="57"/>
      <c r="E105" s="80" t="s">
        <v>82</v>
      </c>
      <c r="F105" s="95"/>
      <c r="G105" s="125">
        <f>G86+G89+G97-G103</f>
        <v>-98795.36968099998</v>
      </c>
      <c r="I105" s="145"/>
    </row>
    <row r="106" spans="2:7" ht="12">
      <c r="B106" s="81"/>
      <c r="C106" s="82"/>
      <c r="D106" s="82"/>
      <c r="E106" s="83"/>
      <c r="F106" s="84"/>
      <c r="G106" s="85"/>
    </row>
  </sheetData>
  <mergeCells count="9">
    <mergeCell ref="B5:G5"/>
    <mergeCell ref="B6:G6"/>
    <mergeCell ref="B7:G7"/>
    <mergeCell ref="B11:G11"/>
    <mergeCell ref="D100:E100"/>
    <mergeCell ref="B16:G16"/>
    <mergeCell ref="B13:G13"/>
    <mergeCell ref="F19:G19"/>
    <mergeCell ref="B14:G14"/>
  </mergeCells>
  <printOptions/>
  <pageMargins left="0.75" right="0.75" top="1" bottom="1" header="0.5" footer="0.5"/>
  <pageSetup fitToHeight="0" fitToWidth="1" horizontalDpi="300" verticalDpi="300" orientation="portrait" paperSize="9" scale="98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74">
      <selection activeCell="F80" sqref="F80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133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1.2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5.75" customHeight="1">
      <c r="A19" s="44"/>
      <c r="B19" s="57" t="s">
        <v>5</v>
      </c>
      <c r="C19" s="44"/>
      <c r="D19" s="44"/>
      <c r="F19" s="102"/>
      <c r="G19" s="115">
        <f>F20+F23+F24+F25+F27</f>
        <v>38544.488824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31705.5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134</v>
      </c>
      <c r="F21" s="94">
        <v>31705.5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124">
        <v>0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124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124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116">
        <f>SUM(F28:F29)</f>
        <v>6838.988824</v>
      </c>
      <c r="G27" s="104"/>
    </row>
    <row r="28" spans="1:7" ht="12.75" customHeight="1">
      <c r="A28" s="44"/>
      <c r="B28" s="54"/>
      <c r="C28" s="44"/>
      <c r="D28" s="44"/>
      <c r="E28" s="45" t="s">
        <v>233</v>
      </c>
      <c r="F28" s="93">
        <v>6135.49</v>
      </c>
      <c r="G28" s="104"/>
    </row>
    <row r="29" spans="1:7" ht="12.75" customHeight="1">
      <c r="A29" s="44"/>
      <c r="B29" s="54"/>
      <c r="C29" s="44"/>
      <c r="D29" s="44"/>
      <c r="E29" s="45" t="s">
        <v>191</v>
      </c>
      <c r="F29" s="110">
        <f>195416.34*0.36/100</f>
        <v>703.498824</v>
      </c>
      <c r="G29" s="104"/>
    </row>
    <row r="30" spans="1:7" ht="12.75" customHeight="1">
      <c r="A30" s="44"/>
      <c r="B30" s="54"/>
      <c r="C30" s="44"/>
      <c r="D30" s="44"/>
      <c r="E30" s="44"/>
      <c r="F30" s="95"/>
      <c r="G30" s="104"/>
    </row>
    <row r="31" spans="1:7" s="64" customFormat="1" ht="14.25" customHeight="1">
      <c r="A31" s="62"/>
      <c r="B31" s="57" t="s">
        <v>16</v>
      </c>
      <c r="C31" s="62"/>
      <c r="D31" s="62"/>
      <c r="E31" s="63"/>
      <c r="F31" s="96"/>
      <c r="G31" s="115">
        <f>-(F33+F37+F45+F48+F55+F63+F65+F67+F69)</f>
        <v>-34647.04379599999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04"/>
    </row>
    <row r="33" spans="1:7" ht="12.75" customHeight="1">
      <c r="A33" s="44"/>
      <c r="B33" s="54"/>
      <c r="D33" s="44" t="s">
        <v>18</v>
      </c>
      <c r="E33" s="65"/>
      <c r="F33" s="114">
        <f>SUM(F34:F35)</f>
        <v>2217.1285519999997</v>
      </c>
      <c r="G33" s="104"/>
    </row>
    <row r="34" spans="1:7" ht="12.75" customHeight="1">
      <c r="A34" s="44"/>
      <c r="B34" s="54"/>
      <c r="D34" s="44"/>
      <c r="E34" s="65" t="s">
        <v>57</v>
      </c>
      <c r="F34" s="99">
        <v>2177.45</v>
      </c>
      <c r="G34" s="104"/>
    </row>
    <row r="35" spans="1:7" ht="12.75" customHeight="1">
      <c r="A35" s="44"/>
      <c r="B35" s="54"/>
      <c r="D35" s="44"/>
      <c r="E35" s="65" t="s">
        <v>189</v>
      </c>
      <c r="F35" s="95">
        <f>11021.82*0.36/100</f>
        <v>39.678551999999996</v>
      </c>
      <c r="G35" s="104"/>
    </row>
    <row r="36" spans="1:7" ht="12.75" customHeight="1">
      <c r="A36" s="44"/>
      <c r="B36" s="54"/>
      <c r="D36" s="44"/>
      <c r="E36" s="65"/>
      <c r="F36" s="109"/>
      <c r="G36" s="104"/>
    </row>
    <row r="37" spans="1:7" ht="12.75" customHeight="1">
      <c r="A37" s="44"/>
      <c r="B37" s="54"/>
      <c r="C37" s="44" t="s">
        <v>19</v>
      </c>
      <c r="D37" s="44"/>
      <c r="E37" s="65"/>
      <c r="F37" s="114">
        <f>SUM(F38:F43)</f>
        <v>22078.88062</v>
      </c>
      <c r="G37" s="104"/>
    </row>
    <row r="38" spans="1:7" ht="12.75" customHeight="1">
      <c r="A38" s="44"/>
      <c r="B38" s="54"/>
      <c r="C38" s="44"/>
      <c r="D38" s="44"/>
      <c r="E38" s="66" t="s">
        <v>46</v>
      </c>
      <c r="F38" s="121">
        <v>1496.14</v>
      </c>
      <c r="G38" s="104"/>
    </row>
    <row r="39" spans="1:7" ht="12.75" customHeight="1">
      <c r="A39" s="44"/>
      <c r="B39" s="54"/>
      <c r="C39" s="44"/>
      <c r="D39" s="44"/>
      <c r="E39" s="66" t="s">
        <v>45</v>
      </c>
      <c r="F39" s="121">
        <v>1183.83</v>
      </c>
      <c r="G39" s="104"/>
    </row>
    <row r="40" spans="1:7" ht="12.75" customHeight="1">
      <c r="A40" s="44"/>
      <c r="B40" s="54"/>
      <c r="C40" s="44"/>
      <c r="D40" s="44"/>
      <c r="E40" s="66" t="s">
        <v>115</v>
      </c>
      <c r="F40" s="121">
        <v>154.17</v>
      </c>
      <c r="G40" s="104"/>
    </row>
    <row r="41" spans="1:7" ht="12.75" customHeight="1">
      <c r="A41" s="44"/>
      <c r="B41" s="54"/>
      <c r="C41" s="44"/>
      <c r="D41" s="44"/>
      <c r="E41" s="66" t="s">
        <v>152</v>
      </c>
      <c r="F41" s="121">
        <v>16986.11</v>
      </c>
      <c r="G41" s="104"/>
    </row>
    <row r="42" spans="1:7" ht="12.75" customHeight="1">
      <c r="A42" s="44"/>
      <c r="B42" s="54"/>
      <c r="C42" s="44"/>
      <c r="D42" s="44"/>
      <c r="E42" s="66" t="s">
        <v>166</v>
      </c>
      <c r="F42" s="121">
        <v>936.52</v>
      </c>
      <c r="G42" s="104"/>
    </row>
    <row r="43" spans="1:7" ht="12.75" customHeight="1">
      <c r="A43" s="44"/>
      <c r="B43" s="54"/>
      <c r="C43" s="44"/>
      <c r="D43" s="44"/>
      <c r="E43" s="66" t="s">
        <v>190</v>
      </c>
      <c r="F43" s="121">
        <f>(248110.76+124547.78-5405.59)*0.36/100</f>
        <v>1322.1106200000002</v>
      </c>
      <c r="G43" s="104"/>
    </row>
    <row r="44" spans="1:7" ht="12.75" customHeight="1">
      <c r="A44" s="44"/>
      <c r="B44" s="54"/>
      <c r="C44" s="44"/>
      <c r="D44" s="44"/>
      <c r="E44" s="66"/>
      <c r="F44" s="109"/>
      <c r="G44" s="104"/>
    </row>
    <row r="45" spans="1:7" ht="12.75" customHeight="1">
      <c r="A45" s="44"/>
      <c r="B45" s="54"/>
      <c r="C45" s="44" t="s">
        <v>20</v>
      </c>
      <c r="D45" s="44"/>
      <c r="E45" s="65"/>
      <c r="F45" s="116">
        <f>SUM(F46)</f>
        <v>20.601612</v>
      </c>
      <c r="G45" s="104"/>
    </row>
    <row r="46" spans="1:7" ht="12.75" customHeight="1">
      <c r="A46" s="44"/>
      <c r="B46" s="54"/>
      <c r="C46" s="44"/>
      <c r="D46" s="44"/>
      <c r="E46" s="65" t="s">
        <v>189</v>
      </c>
      <c r="F46" s="99">
        <f>5722.67*0.36/100</f>
        <v>20.601612</v>
      </c>
      <c r="G46" s="104"/>
    </row>
    <row r="47" spans="1:7" ht="12.75" customHeight="1">
      <c r="A47" s="44"/>
      <c r="B47" s="54"/>
      <c r="C47" s="44"/>
      <c r="D47" s="44"/>
      <c r="E47" s="65"/>
      <c r="F47" s="100"/>
      <c r="G47" s="104"/>
    </row>
    <row r="48" spans="1:7" ht="12.75" customHeight="1">
      <c r="A48" s="44"/>
      <c r="B48" s="54"/>
      <c r="C48" s="44" t="s">
        <v>21</v>
      </c>
      <c r="D48" s="44"/>
      <c r="E48" s="65"/>
      <c r="F48" s="114">
        <f>SUM(F49:F53)</f>
        <v>1620.2159199999999</v>
      </c>
      <c r="G48" s="104"/>
    </row>
    <row r="49" spans="1:7" ht="12.75" customHeight="1">
      <c r="A49" s="44"/>
      <c r="B49" s="54"/>
      <c r="D49" s="67" t="s">
        <v>22</v>
      </c>
      <c r="E49" s="68"/>
      <c r="F49" s="121">
        <f>(256108.02+5072.34+17493.67+67700)*0.36/100+32.95+59.22</f>
        <v>1339.116508</v>
      </c>
      <c r="G49" s="104"/>
    </row>
    <row r="50" spans="1:7" ht="12.75" customHeight="1">
      <c r="A50" s="44"/>
      <c r="B50" s="54"/>
      <c r="D50" s="67" t="s">
        <v>23</v>
      </c>
      <c r="E50" s="68"/>
      <c r="F50" s="121">
        <f>(37162.28+1268.09+4373.42+17800)*0.36/100</f>
        <v>218.173644</v>
      </c>
      <c r="G50" s="104"/>
    </row>
    <row r="51" spans="1:7" ht="12.75" customHeight="1">
      <c r="A51" s="44"/>
      <c r="B51" s="54"/>
      <c r="D51" s="67" t="s">
        <v>24</v>
      </c>
      <c r="E51" s="68"/>
      <c r="F51" s="121">
        <f>10979.21*0.36/100</f>
        <v>39.525155999999996</v>
      </c>
      <c r="G51" s="104"/>
    </row>
    <row r="52" spans="1:7" ht="12.75" customHeight="1">
      <c r="A52" s="44"/>
      <c r="B52" s="54"/>
      <c r="D52" s="67" t="s">
        <v>25</v>
      </c>
      <c r="E52" s="68"/>
      <c r="F52" s="121">
        <v>0</v>
      </c>
      <c r="G52" s="104"/>
    </row>
    <row r="53" spans="1:7" ht="12.75" customHeight="1">
      <c r="A53" s="44"/>
      <c r="B53" s="54"/>
      <c r="D53" s="67" t="s">
        <v>126</v>
      </c>
      <c r="E53" s="68"/>
      <c r="F53" s="121">
        <f>6500.17*0.36/100</f>
        <v>23.400612000000002</v>
      </c>
      <c r="G53" s="104"/>
    </row>
    <row r="54" spans="1:7" ht="12.75" customHeight="1">
      <c r="A54" s="44"/>
      <c r="B54" s="54"/>
      <c r="D54" s="67"/>
      <c r="E54" s="68"/>
      <c r="F54" s="121"/>
      <c r="G54" s="104"/>
    </row>
    <row r="55" spans="1:7" ht="12.75" customHeight="1">
      <c r="A55" s="44"/>
      <c r="B55" s="54"/>
      <c r="C55" s="44" t="s">
        <v>27</v>
      </c>
      <c r="D55" s="44"/>
      <c r="E55" s="65"/>
      <c r="F55" s="114">
        <f>SUM(F56:F60)</f>
        <v>8233.6259</v>
      </c>
      <c r="G55" s="104"/>
    </row>
    <row r="56" spans="1:7" ht="12.75" customHeight="1">
      <c r="A56" s="44"/>
      <c r="B56" s="54"/>
      <c r="C56" s="44"/>
      <c r="D56" s="67" t="s">
        <v>28</v>
      </c>
      <c r="E56" s="68"/>
      <c r="F56" s="121">
        <f>2877.79*0.36/100</f>
        <v>10.360044</v>
      </c>
      <c r="G56" s="104"/>
    </row>
    <row r="57" spans="1:7" ht="12.75" customHeight="1">
      <c r="A57" s="44"/>
      <c r="B57" s="54"/>
      <c r="D57" s="67" t="s">
        <v>29</v>
      </c>
      <c r="E57" s="69"/>
      <c r="F57" s="121">
        <f>8215.67+(2109.96*0.36/100)</f>
        <v>8223.265856</v>
      </c>
      <c r="G57" s="104"/>
    </row>
    <row r="58" spans="1:7" ht="12.75" customHeight="1">
      <c r="A58" s="44"/>
      <c r="B58" s="54"/>
      <c r="D58" s="67" t="s">
        <v>31</v>
      </c>
      <c r="E58" s="68"/>
      <c r="F58" s="121">
        <v>0</v>
      </c>
      <c r="G58" s="104"/>
    </row>
    <row r="59" spans="1:7" ht="12.75" customHeight="1">
      <c r="A59" s="44"/>
      <c r="B59" s="54"/>
      <c r="D59" s="67" t="s">
        <v>32</v>
      </c>
      <c r="E59" s="68"/>
      <c r="F59" s="121"/>
      <c r="G59" s="104"/>
    </row>
    <row r="60" spans="1:7" ht="12.75" customHeight="1">
      <c r="A60" s="44"/>
      <c r="B60" s="54"/>
      <c r="D60" s="67"/>
      <c r="E60" s="69" t="s">
        <v>33</v>
      </c>
      <c r="F60" s="121">
        <v>0</v>
      </c>
      <c r="G60" s="104"/>
    </row>
    <row r="61" spans="1:7" ht="12.75" customHeight="1">
      <c r="A61" s="44"/>
      <c r="B61" s="54"/>
      <c r="D61" s="67"/>
      <c r="E61" s="69"/>
      <c r="F61" s="101"/>
      <c r="G61" s="104"/>
    </row>
    <row r="62" spans="1:7" ht="12.75" customHeight="1">
      <c r="A62" s="44"/>
      <c r="B62" s="54"/>
      <c r="C62" s="44" t="s">
        <v>34</v>
      </c>
      <c r="D62" s="44"/>
      <c r="E62" s="65"/>
      <c r="F62" s="95"/>
      <c r="G62" s="104"/>
    </row>
    <row r="63" spans="1:7" ht="12.75" customHeight="1">
      <c r="A63" s="44"/>
      <c r="B63" s="54"/>
      <c r="D63" s="44"/>
      <c r="E63" s="70" t="s">
        <v>35</v>
      </c>
      <c r="F63" s="124">
        <v>0</v>
      </c>
      <c r="G63" s="104"/>
    </row>
    <row r="64" spans="1:7" ht="12.75" customHeight="1">
      <c r="A64" s="44"/>
      <c r="B64" s="54"/>
      <c r="D64" s="44"/>
      <c r="E64" s="70"/>
      <c r="F64" s="95"/>
      <c r="G64" s="104"/>
    </row>
    <row r="65" spans="1:7" ht="12.75" customHeight="1">
      <c r="A65" s="44"/>
      <c r="B65" s="54"/>
      <c r="C65" s="44" t="s">
        <v>36</v>
      </c>
      <c r="D65" s="44"/>
      <c r="E65" s="65"/>
      <c r="F65" s="124">
        <f>121593.7*0.36/100</f>
        <v>437.73731999999995</v>
      </c>
      <c r="G65" s="104"/>
    </row>
    <row r="66" spans="1:7" ht="12.75" customHeight="1">
      <c r="A66" s="44"/>
      <c r="B66" s="54"/>
      <c r="C66" s="44"/>
      <c r="D66" s="44"/>
      <c r="E66" s="65"/>
      <c r="F66" s="124"/>
      <c r="G66" s="104"/>
    </row>
    <row r="67" spans="1:7" ht="12.75" customHeight="1">
      <c r="A67" s="44"/>
      <c r="B67" s="54"/>
      <c r="C67" s="44" t="s">
        <v>37</v>
      </c>
      <c r="D67" s="44"/>
      <c r="E67" s="65"/>
      <c r="F67" s="124">
        <v>0</v>
      </c>
      <c r="G67" s="104"/>
    </row>
    <row r="68" spans="1:7" ht="12.75" customHeight="1">
      <c r="A68" s="44"/>
      <c r="B68" s="54"/>
      <c r="C68" s="44"/>
      <c r="D68" s="44"/>
      <c r="E68" s="65"/>
      <c r="F68" s="124"/>
      <c r="G68" s="104"/>
    </row>
    <row r="69" spans="1:7" ht="12.75" customHeight="1">
      <c r="A69" s="44"/>
      <c r="B69" s="54"/>
      <c r="C69" s="44" t="s">
        <v>38</v>
      </c>
      <c r="D69" s="44"/>
      <c r="E69" s="65"/>
      <c r="F69" s="124">
        <f>SUM(F70:F71)</f>
        <v>38.853872</v>
      </c>
      <c r="G69" s="104"/>
    </row>
    <row r="70" spans="1:7" ht="12.75" customHeight="1">
      <c r="A70" s="44"/>
      <c r="B70" s="54"/>
      <c r="C70" s="44"/>
      <c r="D70" s="44"/>
      <c r="E70" s="66" t="s">
        <v>199</v>
      </c>
      <c r="F70" s="101">
        <v>0.08</v>
      </c>
      <c r="G70" s="104"/>
    </row>
    <row r="71" spans="1:7" ht="12.75" customHeight="1">
      <c r="A71" s="44"/>
      <c r="B71" s="54"/>
      <c r="C71" s="44"/>
      <c r="D71" s="44"/>
      <c r="E71" s="66" t="s">
        <v>190</v>
      </c>
      <c r="F71" s="99">
        <f>10770.52*0.36/100</f>
        <v>38.773872000000004</v>
      </c>
      <c r="G71" s="104"/>
    </row>
    <row r="72" spans="1:7" ht="12.75" customHeight="1">
      <c r="A72" s="44"/>
      <c r="B72" s="54"/>
      <c r="C72" s="44"/>
      <c r="D72" s="44"/>
      <c r="E72" s="70"/>
      <c r="F72" s="95" t="s">
        <v>0</v>
      </c>
      <c r="G72" s="104"/>
    </row>
    <row r="73" spans="1:7" ht="15" customHeight="1">
      <c r="A73" s="72"/>
      <c r="B73" s="57" t="s">
        <v>39</v>
      </c>
      <c r="C73" s="73"/>
      <c r="D73" s="73"/>
      <c r="E73" s="66"/>
      <c r="F73" s="95" t="s">
        <v>0</v>
      </c>
      <c r="G73" s="120">
        <f>G19+G31</f>
        <v>3897.445028000009</v>
      </c>
    </row>
    <row r="74" spans="1:7" ht="12.75" customHeight="1">
      <c r="A74" s="44"/>
      <c r="B74" s="74" t="s">
        <v>40</v>
      </c>
      <c r="C74" s="44"/>
      <c r="D74" s="44"/>
      <c r="E74" s="70"/>
      <c r="F74" s="95" t="s">
        <v>0</v>
      </c>
      <c r="G74" s="106"/>
    </row>
    <row r="75" spans="2:7" ht="12" customHeight="1">
      <c r="B75" s="76"/>
      <c r="E75" s="65"/>
      <c r="F75" s="95" t="s">
        <v>0</v>
      </c>
      <c r="G75" s="106"/>
    </row>
    <row r="76" spans="2:7" ht="14.25" customHeight="1">
      <c r="B76" s="57" t="s">
        <v>77</v>
      </c>
      <c r="C76" s="62"/>
      <c r="D76" s="62"/>
      <c r="E76" s="77"/>
      <c r="F76" s="96"/>
      <c r="G76" s="120">
        <f>F78+F79-F80</f>
        <v>19.871999999999993</v>
      </c>
    </row>
    <row r="77" spans="2:7" ht="12">
      <c r="B77" s="76"/>
      <c r="E77" s="65"/>
      <c r="F77" s="95"/>
      <c r="G77" s="106"/>
    </row>
    <row r="78" spans="2:7" ht="14.25">
      <c r="B78" s="54"/>
      <c r="C78" s="44" t="s">
        <v>74</v>
      </c>
      <c r="D78" s="44"/>
      <c r="E78" s="65"/>
      <c r="F78" s="116">
        <v>0</v>
      </c>
      <c r="G78" s="106"/>
    </row>
    <row r="79" spans="2:7" ht="15">
      <c r="B79" s="76"/>
      <c r="C79" s="44" t="s">
        <v>75</v>
      </c>
      <c r="E79" s="65"/>
      <c r="F79" s="119">
        <f>11622.59*0.36/100</f>
        <v>41.84132399999999</v>
      </c>
      <c r="G79" s="106"/>
    </row>
    <row r="80" spans="2:7" ht="15">
      <c r="B80" s="76"/>
      <c r="C80" s="44" t="s">
        <v>76</v>
      </c>
      <c r="E80" s="65"/>
      <c r="F80" s="149">
        <f>(697+5405.59)*0.36/100</f>
        <v>21.969324</v>
      </c>
      <c r="G80" s="106"/>
    </row>
    <row r="81" spans="2:7" ht="12">
      <c r="B81" s="76"/>
      <c r="E81" s="65"/>
      <c r="F81" s="95"/>
      <c r="G81" s="106"/>
    </row>
    <row r="82" spans="2:7" ht="15.75">
      <c r="B82" s="57" t="s">
        <v>78</v>
      </c>
      <c r="C82" s="62"/>
      <c r="D82" s="62"/>
      <c r="E82" s="77"/>
      <c r="F82" s="126">
        <v>0</v>
      </c>
      <c r="G82" s="120">
        <v>0</v>
      </c>
    </row>
    <row r="83" spans="2:7" ht="12">
      <c r="B83" s="76"/>
      <c r="E83" s="65"/>
      <c r="F83" s="95"/>
      <c r="G83" s="106"/>
    </row>
    <row r="84" spans="2:7" ht="15.75">
      <c r="B84" s="57" t="s">
        <v>73</v>
      </c>
      <c r="C84" s="62"/>
      <c r="D84" s="62"/>
      <c r="E84" s="77"/>
      <c r="F84" s="96"/>
      <c r="G84" s="120">
        <f>F86-F88</f>
        <v>-6026.594132</v>
      </c>
    </row>
    <row r="85" spans="2:7" ht="12">
      <c r="B85" s="76"/>
      <c r="E85" s="65"/>
      <c r="F85" s="95"/>
      <c r="G85" s="106"/>
    </row>
    <row r="86" spans="2:7" ht="14.25">
      <c r="B86" s="76"/>
      <c r="C86" s="44" t="s">
        <v>79</v>
      </c>
      <c r="E86" s="65"/>
      <c r="F86" s="124">
        <f>SUM(F87:F87)</f>
        <v>6.78</v>
      </c>
      <c r="G86" s="106"/>
    </row>
    <row r="87" spans="2:7" ht="12">
      <c r="B87" s="76"/>
      <c r="C87" s="44"/>
      <c r="D87" s="152" t="s">
        <v>249</v>
      </c>
      <c r="E87" s="153"/>
      <c r="F87" s="95">
        <v>6.78</v>
      </c>
      <c r="G87" s="106"/>
    </row>
    <row r="88" spans="2:7" ht="14.25">
      <c r="B88" s="76"/>
      <c r="C88" s="44" t="s">
        <v>80</v>
      </c>
      <c r="E88" s="65"/>
      <c r="F88" s="124">
        <f>5979.2+(15048.37*0.36/100)</f>
        <v>6033.374132</v>
      </c>
      <c r="G88" s="106"/>
    </row>
    <row r="89" spans="2:7" ht="12">
      <c r="B89" s="76"/>
      <c r="E89" s="65"/>
      <c r="F89" s="95"/>
      <c r="G89" s="106"/>
    </row>
    <row r="90" spans="2:7" ht="15.75">
      <c r="B90" s="79" t="s">
        <v>81</v>
      </c>
      <c r="C90" s="63"/>
      <c r="D90" s="63"/>
      <c r="E90" s="77"/>
      <c r="F90" s="124">
        <f>111976.37*0.36/100</f>
        <v>403.11493199999995</v>
      </c>
      <c r="G90" s="120">
        <f>F90</f>
        <v>403.11493199999995</v>
      </c>
    </row>
    <row r="91" spans="2:7" ht="12">
      <c r="B91" s="76"/>
      <c r="E91" s="65"/>
      <c r="F91" s="95"/>
      <c r="G91" s="106"/>
    </row>
    <row r="92" spans="2:7" ht="15.75">
      <c r="B92" s="57"/>
      <c r="E92" s="80" t="s">
        <v>82</v>
      </c>
      <c r="F92" s="95"/>
      <c r="G92" s="125">
        <f>G73+G76+G84-G90</f>
        <v>-2512.392035999991</v>
      </c>
    </row>
    <row r="93" spans="2:7" ht="12">
      <c r="B93" s="81"/>
      <c r="C93" s="82"/>
      <c r="D93" s="82"/>
      <c r="E93" s="83"/>
      <c r="F93" s="107"/>
      <c r="G93" s="108"/>
    </row>
  </sheetData>
  <mergeCells count="5">
    <mergeCell ref="D87:E87"/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workbookViewId="0" topLeftCell="A80">
      <selection activeCell="F42" sqref="F4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160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4.25" customHeight="1">
      <c r="A19" s="44"/>
      <c r="B19" s="57" t="s">
        <v>5</v>
      </c>
      <c r="C19" s="44"/>
      <c r="D19" s="44"/>
      <c r="F19" s="102"/>
      <c r="G19" s="115">
        <f>F20+F23+F24+F25+F27+0.02</f>
        <v>17440.694706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SUM(F21:F21)</f>
        <v>17264.8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167</v>
      </c>
      <c r="F21" s="110">
        <v>17264.8</v>
      </c>
      <c r="G21" s="103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03"/>
    </row>
    <row r="23" spans="1:7" ht="12.75" customHeight="1">
      <c r="A23" s="44"/>
      <c r="B23" s="54"/>
      <c r="C23" s="44"/>
      <c r="D23" s="44" t="s">
        <v>10</v>
      </c>
      <c r="F23" s="124">
        <v>0</v>
      </c>
      <c r="G23" s="103"/>
    </row>
    <row r="24" spans="1:7" ht="12.75" customHeight="1">
      <c r="A24" s="44"/>
      <c r="B24" s="54"/>
      <c r="C24" s="44" t="s">
        <v>11</v>
      </c>
      <c r="D24" s="44" t="s">
        <v>12</v>
      </c>
      <c r="F24" s="124">
        <v>0</v>
      </c>
      <c r="G24" s="103"/>
    </row>
    <row r="25" spans="1:7" ht="12.75" customHeight="1">
      <c r="A25" s="44"/>
      <c r="B25" s="54"/>
      <c r="C25" s="44" t="s">
        <v>13</v>
      </c>
      <c r="D25" s="44"/>
      <c r="F25" s="124">
        <v>0</v>
      </c>
      <c r="G25" s="103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04"/>
    </row>
    <row r="27" spans="1:7" ht="12.75" customHeight="1">
      <c r="A27" s="44"/>
      <c r="B27" s="54"/>
      <c r="C27" s="44"/>
      <c r="D27" s="44" t="s">
        <v>15</v>
      </c>
      <c r="F27" s="116">
        <f>SUM(F28:F28)</f>
        <v>175.874706</v>
      </c>
      <c r="G27" s="104"/>
    </row>
    <row r="28" spans="1:7" ht="12.75" customHeight="1">
      <c r="A28" s="44"/>
      <c r="B28" s="54"/>
      <c r="C28" s="44"/>
      <c r="D28" s="44" t="s">
        <v>30</v>
      </c>
      <c r="E28" s="45" t="s">
        <v>188</v>
      </c>
      <c r="F28" s="110">
        <f>195416.34*0.09/100</f>
        <v>175.874706</v>
      </c>
      <c r="G28" s="104"/>
    </row>
    <row r="29" spans="1:7" ht="12.75" customHeight="1">
      <c r="A29" s="44"/>
      <c r="B29" s="54"/>
      <c r="C29" s="44"/>
      <c r="D29" s="44"/>
      <c r="F29" s="93"/>
      <c r="G29" s="104"/>
    </row>
    <row r="30" spans="1:7" ht="12.75" customHeight="1">
      <c r="A30" s="44"/>
      <c r="B30" s="54"/>
      <c r="C30" s="44"/>
      <c r="D30" s="44"/>
      <c r="E30" s="44"/>
      <c r="F30" s="95"/>
      <c r="G30" s="104"/>
    </row>
    <row r="31" spans="1:7" s="64" customFormat="1" ht="15" customHeight="1">
      <c r="A31" s="62"/>
      <c r="B31" s="57" t="s">
        <v>16</v>
      </c>
      <c r="C31" s="62"/>
      <c r="D31" s="62"/>
      <c r="E31" s="63"/>
      <c r="F31" s="96"/>
      <c r="G31" s="115">
        <f>-(F33+F37+F47+F52+F59+F67+F69+F71+F73)</f>
        <v>-20416.065949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04"/>
    </row>
    <row r="33" spans="1:7" ht="12.75" customHeight="1">
      <c r="A33" s="44"/>
      <c r="B33" s="54"/>
      <c r="D33" s="44" t="s">
        <v>18</v>
      </c>
      <c r="E33" s="65"/>
      <c r="F33" s="114">
        <f>SUM(F34:F35)</f>
        <v>3129.1396379999996</v>
      </c>
      <c r="G33" s="104"/>
    </row>
    <row r="34" spans="1:7" ht="12.75" customHeight="1">
      <c r="A34" s="44"/>
      <c r="B34" s="54"/>
      <c r="D34" s="44"/>
      <c r="E34" s="65" t="s">
        <v>57</v>
      </c>
      <c r="F34" s="99">
        <v>3119.22</v>
      </c>
      <c r="G34" s="104"/>
    </row>
    <row r="35" spans="1:7" ht="12.75" customHeight="1">
      <c r="A35" s="44"/>
      <c r="B35" s="54"/>
      <c r="D35" s="44"/>
      <c r="E35" s="65" t="s">
        <v>189</v>
      </c>
      <c r="F35" s="95">
        <f>11021.82*0.09/100</f>
        <v>9.919637999999999</v>
      </c>
      <c r="G35" s="104"/>
    </row>
    <row r="36" spans="1:7" ht="12.75" customHeight="1">
      <c r="A36" s="44"/>
      <c r="B36" s="54"/>
      <c r="D36" s="44"/>
      <c r="E36" s="65"/>
      <c r="F36" s="101"/>
      <c r="G36" s="104"/>
    </row>
    <row r="37" spans="1:7" ht="12.75" customHeight="1">
      <c r="A37" s="44"/>
      <c r="B37" s="54"/>
      <c r="C37" s="44" t="s">
        <v>19</v>
      </c>
      <c r="D37" s="44"/>
      <c r="E37" s="65"/>
      <c r="F37" s="114">
        <f>SUM(F38:F45)</f>
        <v>4907.967655</v>
      </c>
      <c r="G37" s="104"/>
    </row>
    <row r="38" spans="1:7" ht="12.75" customHeight="1">
      <c r="A38" s="44"/>
      <c r="B38" s="54"/>
      <c r="C38" s="44"/>
      <c r="D38" s="44"/>
      <c r="E38" s="66" t="s">
        <v>46</v>
      </c>
      <c r="F38" s="121">
        <v>918.88</v>
      </c>
      <c r="G38" s="104"/>
    </row>
    <row r="39" spans="1:7" ht="12.75" customHeight="1">
      <c r="A39" s="44"/>
      <c r="B39" s="54"/>
      <c r="C39" s="44"/>
      <c r="D39" s="44"/>
      <c r="E39" s="66" t="s">
        <v>45</v>
      </c>
      <c r="F39" s="101">
        <v>342.14</v>
      </c>
      <c r="G39" s="104"/>
    </row>
    <row r="40" spans="1:7" ht="12.75" customHeight="1">
      <c r="A40" s="44"/>
      <c r="B40" s="54"/>
      <c r="C40" s="44"/>
      <c r="D40" s="44"/>
      <c r="E40" s="66" t="s">
        <v>234</v>
      </c>
      <c r="F40" s="101">
        <v>302.88</v>
      </c>
      <c r="G40" s="104"/>
    </row>
    <row r="41" spans="1:7" ht="12.75" customHeight="1">
      <c r="A41" s="44"/>
      <c r="B41" s="54"/>
      <c r="C41" s="44"/>
      <c r="D41" s="44"/>
      <c r="E41" s="66" t="s">
        <v>47</v>
      </c>
      <c r="F41" s="101">
        <v>211.6</v>
      </c>
      <c r="G41" s="104"/>
    </row>
    <row r="42" spans="1:7" ht="12.75" customHeight="1">
      <c r="A42" s="44"/>
      <c r="B42" s="54"/>
      <c r="C42" s="44"/>
      <c r="D42" s="44"/>
      <c r="E42" s="66" t="s">
        <v>258</v>
      </c>
      <c r="F42" s="150">
        <v>5.94</v>
      </c>
      <c r="G42" s="104"/>
    </row>
    <row r="43" spans="1:7" ht="12.75" customHeight="1">
      <c r="A43" s="44"/>
      <c r="B43" s="54"/>
      <c r="C43" s="44"/>
      <c r="D43" s="44"/>
      <c r="E43" s="66" t="s">
        <v>152</v>
      </c>
      <c r="F43" s="101">
        <v>1966</v>
      </c>
      <c r="G43" s="104"/>
    </row>
    <row r="44" spans="1:7" ht="12.75" customHeight="1">
      <c r="A44" s="44"/>
      <c r="B44" s="54"/>
      <c r="C44" s="44"/>
      <c r="D44" s="44"/>
      <c r="E44" s="66" t="s">
        <v>153</v>
      </c>
      <c r="F44" s="101">
        <v>830</v>
      </c>
      <c r="G44" s="104"/>
    </row>
    <row r="45" spans="1:7" ht="12.75" customHeight="1">
      <c r="A45" s="44"/>
      <c r="B45" s="54"/>
      <c r="C45" s="44"/>
      <c r="D45" s="44"/>
      <c r="E45" s="65" t="s">
        <v>189</v>
      </c>
      <c r="F45" s="121">
        <f>(248110.76+124547.78-5405.59)*0.09/100</f>
        <v>330.52765500000004</v>
      </c>
      <c r="G45" s="104"/>
    </row>
    <row r="46" spans="1:7" ht="12.75" customHeight="1">
      <c r="A46" s="44"/>
      <c r="B46" s="54"/>
      <c r="C46" s="44"/>
      <c r="D46" s="44"/>
      <c r="E46" s="66"/>
      <c r="F46" s="109"/>
      <c r="G46" s="104"/>
    </row>
    <row r="47" spans="1:7" ht="12.75" customHeight="1">
      <c r="A47" s="44"/>
      <c r="B47" s="54"/>
      <c r="C47" s="44" t="s">
        <v>20</v>
      </c>
      <c r="D47" s="44"/>
      <c r="E47" s="65"/>
      <c r="F47" s="116">
        <f>SUM(F48:F50)</f>
        <v>11123.610402999999</v>
      </c>
      <c r="G47" s="104"/>
    </row>
    <row r="48" spans="1:7" ht="12.75" customHeight="1">
      <c r="A48" s="44"/>
      <c r="B48" s="54"/>
      <c r="C48" s="44"/>
      <c r="D48" s="44" t="s">
        <v>168</v>
      </c>
      <c r="E48" s="65"/>
      <c r="F48" s="99">
        <v>8695.67</v>
      </c>
      <c r="G48" s="104"/>
    </row>
    <row r="49" spans="1:7" ht="12.75" customHeight="1">
      <c r="A49" s="44"/>
      <c r="B49" s="54"/>
      <c r="C49" s="44"/>
      <c r="D49" s="44" t="s">
        <v>200</v>
      </c>
      <c r="E49" s="65"/>
      <c r="F49" s="99">
        <v>2422.79</v>
      </c>
      <c r="G49" s="104"/>
    </row>
    <row r="50" spans="1:7" ht="12.75" customHeight="1">
      <c r="A50" s="44"/>
      <c r="B50" s="54"/>
      <c r="C50" s="44"/>
      <c r="D50" s="44" t="s">
        <v>189</v>
      </c>
      <c r="E50" s="65"/>
      <c r="F50" s="99">
        <f>5722.67*0.09/100</f>
        <v>5.150403</v>
      </c>
      <c r="G50" s="104"/>
    </row>
    <row r="51" spans="1:7" ht="12.75" customHeight="1">
      <c r="A51" s="44"/>
      <c r="B51" s="54"/>
      <c r="C51" s="44"/>
      <c r="D51" s="44"/>
      <c r="E51" s="65"/>
      <c r="F51" s="99"/>
      <c r="G51" s="104"/>
    </row>
    <row r="52" spans="1:7" ht="12.75" customHeight="1">
      <c r="A52" s="44"/>
      <c r="B52" s="54"/>
      <c r="C52" s="44" t="s">
        <v>21</v>
      </c>
      <c r="D52" s="44"/>
      <c r="E52" s="65"/>
      <c r="F52" s="114">
        <f>SUM(F53:F57)</f>
        <v>421.46147999999994</v>
      </c>
      <c r="G52" s="104"/>
    </row>
    <row r="53" spans="1:7" ht="12.75" customHeight="1">
      <c r="A53" s="44"/>
      <c r="B53" s="54"/>
      <c r="D53" s="67" t="s">
        <v>22</v>
      </c>
      <c r="E53" s="68"/>
      <c r="F53" s="121">
        <f>(256108.02+5072.34+17493.67+67700)*0.09/100+36.51+2.94</f>
        <v>351.186627</v>
      </c>
      <c r="G53" s="104"/>
    </row>
    <row r="54" spans="1:7" ht="12.75" customHeight="1">
      <c r="A54" s="44"/>
      <c r="B54" s="54"/>
      <c r="D54" s="67" t="s">
        <v>23</v>
      </c>
      <c r="E54" s="68"/>
      <c r="F54" s="121">
        <f>(37162.28+1268.09+4373.42+17800)*0.09/100</f>
        <v>54.543411</v>
      </c>
      <c r="G54" s="104"/>
    </row>
    <row r="55" spans="1:7" ht="12.75" customHeight="1">
      <c r="A55" s="44"/>
      <c r="B55" s="54"/>
      <c r="D55" s="67" t="s">
        <v>24</v>
      </c>
      <c r="E55" s="68"/>
      <c r="F55" s="121">
        <f>10979.21*0.09/100</f>
        <v>9.881288999999999</v>
      </c>
      <c r="G55" s="104"/>
    </row>
    <row r="56" spans="1:7" ht="12.75" customHeight="1">
      <c r="A56" s="44"/>
      <c r="B56" s="54"/>
      <c r="D56" s="67" t="s">
        <v>25</v>
      </c>
      <c r="E56" s="68"/>
      <c r="F56" s="121">
        <v>0</v>
      </c>
      <c r="G56" s="104"/>
    </row>
    <row r="57" spans="1:7" ht="12.75" customHeight="1">
      <c r="A57" s="44"/>
      <c r="B57" s="54"/>
      <c r="D57" s="67" t="s">
        <v>131</v>
      </c>
      <c r="E57" s="68"/>
      <c r="F57" s="121">
        <f>6500.17*0.09/100</f>
        <v>5.850153000000001</v>
      </c>
      <c r="G57" s="104"/>
    </row>
    <row r="58" spans="1:7" ht="12.75" customHeight="1">
      <c r="A58" s="44"/>
      <c r="B58" s="54"/>
      <c r="D58" s="67"/>
      <c r="E58" s="68"/>
      <c r="F58" s="121"/>
      <c r="G58" s="104"/>
    </row>
    <row r="59" spans="1:7" ht="12.75" customHeight="1">
      <c r="A59" s="44"/>
      <c r="B59" s="54"/>
      <c r="C59" s="44" t="s">
        <v>27</v>
      </c>
      <c r="D59" s="44"/>
      <c r="E59" s="65"/>
      <c r="F59" s="114">
        <f>SUM(F60:F64)</f>
        <v>85.728975</v>
      </c>
      <c r="G59" s="104"/>
    </row>
    <row r="60" spans="1:7" ht="12.75" customHeight="1">
      <c r="A60" s="44"/>
      <c r="B60" s="54"/>
      <c r="C60" s="44"/>
      <c r="D60" s="67" t="s">
        <v>28</v>
      </c>
      <c r="E60" s="68"/>
      <c r="F60" s="121">
        <f>2877.79*0.09/100</f>
        <v>2.590011</v>
      </c>
      <c r="G60" s="104"/>
    </row>
    <row r="61" spans="1:7" ht="12.75" customHeight="1">
      <c r="A61" s="44"/>
      <c r="B61" s="54"/>
      <c r="D61" s="67" t="s">
        <v>29</v>
      </c>
      <c r="E61" s="69"/>
      <c r="F61" s="121">
        <f>81.24+(2109.96*0.09/100)</f>
        <v>83.138964</v>
      </c>
      <c r="G61" s="104"/>
    </row>
    <row r="62" spans="1:7" ht="12.75" customHeight="1">
      <c r="A62" s="44"/>
      <c r="B62" s="54"/>
      <c r="D62" s="67" t="s">
        <v>31</v>
      </c>
      <c r="E62" s="68"/>
      <c r="F62" s="121">
        <v>0</v>
      </c>
      <c r="G62" s="104"/>
    </row>
    <row r="63" spans="1:7" ht="12.75" customHeight="1">
      <c r="A63" s="44"/>
      <c r="B63" s="54"/>
      <c r="D63" s="67" t="s">
        <v>32</v>
      </c>
      <c r="E63" s="68"/>
      <c r="F63" s="121"/>
      <c r="G63" s="104"/>
    </row>
    <row r="64" spans="1:7" ht="12.75" customHeight="1">
      <c r="A64" s="44"/>
      <c r="B64" s="54"/>
      <c r="D64" s="67"/>
      <c r="E64" s="69" t="s">
        <v>33</v>
      </c>
      <c r="F64" s="121">
        <v>0</v>
      </c>
      <c r="G64" s="104"/>
    </row>
    <row r="65" spans="1:7" ht="12.75" customHeight="1">
      <c r="A65" s="44"/>
      <c r="B65" s="54"/>
      <c r="D65" s="67"/>
      <c r="E65" s="69"/>
      <c r="F65" s="101"/>
      <c r="G65" s="104"/>
    </row>
    <row r="66" spans="1:7" ht="12.75" customHeight="1">
      <c r="A66" s="44"/>
      <c r="B66" s="54"/>
      <c r="C66" s="44" t="s">
        <v>34</v>
      </c>
      <c r="D66" s="44"/>
      <c r="E66" s="65"/>
      <c r="F66" s="95"/>
      <c r="G66" s="104"/>
    </row>
    <row r="67" spans="1:7" ht="12.75" customHeight="1">
      <c r="A67" s="44"/>
      <c r="B67" s="54"/>
      <c r="D67" s="44"/>
      <c r="E67" s="70" t="s">
        <v>35</v>
      </c>
      <c r="F67" s="124">
        <v>0</v>
      </c>
      <c r="G67" s="104"/>
    </row>
    <row r="68" spans="1:7" ht="12.75" customHeight="1">
      <c r="A68" s="44"/>
      <c r="B68" s="54"/>
      <c r="D68" s="44"/>
      <c r="E68" s="70"/>
      <c r="F68" s="124"/>
      <c r="G68" s="104"/>
    </row>
    <row r="69" spans="1:7" ht="12.75" customHeight="1">
      <c r="A69" s="44"/>
      <c r="B69" s="54"/>
      <c r="C69" s="44" t="s">
        <v>36</v>
      </c>
      <c r="D69" s="44"/>
      <c r="E69" s="65"/>
      <c r="F69" s="124">
        <f>121593.7*0.09/100</f>
        <v>109.43432999999999</v>
      </c>
      <c r="G69" s="104"/>
    </row>
    <row r="70" spans="1:7" ht="12.75" customHeight="1">
      <c r="A70" s="44"/>
      <c r="B70" s="54"/>
      <c r="C70" s="44"/>
      <c r="D70" s="44"/>
      <c r="E70" s="65"/>
      <c r="F70" s="124"/>
      <c r="G70" s="104"/>
    </row>
    <row r="71" spans="1:7" ht="12.75" customHeight="1">
      <c r="A71" s="44"/>
      <c r="B71" s="54"/>
      <c r="C71" s="44" t="s">
        <v>37</v>
      </c>
      <c r="D71" s="44"/>
      <c r="E71" s="65"/>
      <c r="F71" s="124">
        <v>0</v>
      </c>
      <c r="G71" s="104"/>
    </row>
    <row r="72" spans="1:7" ht="12.75" customHeight="1">
      <c r="A72" s="44"/>
      <c r="B72" s="54"/>
      <c r="C72" s="44"/>
      <c r="D72" s="44"/>
      <c r="E72" s="65"/>
      <c r="F72" s="124"/>
      <c r="G72" s="104"/>
    </row>
    <row r="73" spans="1:7" ht="12.75" customHeight="1">
      <c r="A73" s="44"/>
      <c r="B73" s="54"/>
      <c r="C73" s="44" t="s">
        <v>38</v>
      </c>
      <c r="D73" s="44"/>
      <c r="E73" s="65"/>
      <c r="F73" s="124">
        <f>SUM(F74:F78)</f>
        <v>638.7234680000001</v>
      </c>
      <c r="G73" s="104"/>
    </row>
    <row r="74" spans="1:7" ht="12.75" customHeight="1">
      <c r="A74" s="44"/>
      <c r="B74" s="54"/>
      <c r="C74" s="44"/>
      <c r="D74" s="44"/>
      <c r="E74" s="65" t="s">
        <v>201</v>
      </c>
      <c r="F74" s="95">
        <v>69.51</v>
      </c>
      <c r="G74" s="104"/>
    </row>
    <row r="75" spans="1:7" ht="12.75" customHeight="1">
      <c r="A75" s="44"/>
      <c r="B75" s="54"/>
      <c r="C75" s="44"/>
      <c r="D75" s="44"/>
      <c r="E75" s="65" t="s">
        <v>202</v>
      </c>
      <c r="F75" s="95">
        <v>491.43</v>
      </c>
      <c r="G75" s="104"/>
    </row>
    <row r="76" spans="1:7" ht="12.75" customHeight="1">
      <c r="A76" s="44"/>
      <c r="B76" s="54"/>
      <c r="C76" s="44"/>
      <c r="D76" s="44"/>
      <c r="E76" s="65" t="s">
        <v>138</v>
      </c>
      <c r="F76" s="95">
        <v>67.59</v>
      </c>
      <c r="G76" s="104"/>
    </row>
    <row r="77" spans="1:7" ht="12.75" customHeight="1">
      <c r="A77" s="44"/>
      <c r="B77" s="54"/>
      <c r="C77" s="44"/>
      <c r="D77" s="44"/>
      <c r="E77" s="65" t="s">
        <v>125</v>
      </c>
      <c r="F77" s="95">
        <v>0.5</v>
      </c>
      <c r="G77" s="104"/>
    </row>
    <row r="78" spans="1:7" ht="12.75" customHeight="1">
      <c r="A78" s="44"/>
      <c r="B78" s="54"/>
      <c r="C78" s="44"/>
      <c r="D78" s="44"/>
      <c r="E78" s="65" t="s">
        <v>189</v>
      </c>
      <c r="F78" s="99">
        <f>10770.52*0.09/100</f>
        <v>9.693468000000001</v>
      </c>
      <c r="G78" s="104"/>
    </row>
    <row r="79" spans="1:7" ht="12.75" customHeight="1">
      <c r="A79" s="44"/>
      <c r="B79" s="54"/>
      <c r="C79" s="44"/>
      <c r="D79" s="44"/>
      <c r="E79" s="70"/>
      <c r="F79" s="95" t="s">
        <v>0</v>
      </c>
      <c r="G79" s="104"/>
    </row>
    <row r="80" spans="1:7" ht="15" customHeight="1">
      <c r="A80" s="72"/>
      <c r="B80" s="57" t="s">
        <v>39</v>
      </c>
      <c r="C80" s="73"/>
      <c r="D80" s="73"/>
      <c r="E80" s="66"/>
      <c r="F80" s="95" t="s">
        <v>0</v>
      </c>
      <c r="G80" s="120">
        <f>G19+G31-0.01</f>
        <v>-2975.3812430000016</v>
      </c>
    </row>
    <row r="81" spans="1:7" ht="12.75" customHeight="1">
      <c r="A81" s="44"/>
      <c r="B81" s="74" t="s">
        <v>40</v>
      </c>
      <c r="C81" s="44"/>
      <c r="D81" s="44"/>
      <c r="E81" s="70"/>
      <c r="F81" s="95" t="s">
        <v>0</v>
      </c>
      <c r="G81" s="106"/>
    </row>
    <row r="82" spans="2:7" ht="12" customHeight="1">
      <c r="B82" s="76"/>
      <c r="E82" s="65"/>
      <c r="F82" s="95" t="s">
        <v>0</v>
      </c>
      <c r="G82" s="106"/>
    </row>
    <row r="83" spans="2:7" ht="14.25" customHeight="1">
      <c r="B83" s="57" t="s">
        <v>77</v>
      </c>
      <c r="C83" s="62"/>
      <c r="D83" s="62"/>
      <c r="E83" s="77"/>
      <c r="F83" s="96"/>
      <c r="G83" s="120">
        <f>F85+F86-F87</f>
        <v>4.967999999999998</v>
      </c>
    </row>
    <row r="84" spans="2:7" ht="12">
      <c r="B84" s="76"/>
      <c r="E84" s="65"/>
      <c r="F84" s="95"/>
      <c r="G84" s="106"/>
    </row>
    <row r="85" spans="2:7" ht="14.25">
      <c r="B85" s="54"/>
      <c r="C85" s="44" t="s">
        <v>74</v>
      </c>
      <c r="D85" s="44"/>
      <c r="E85" s="65"/>
      <c r="F85" s="116">
        <v>0</v>
      </c>
      <c r="G85" s="106"/>
    </row>
    <row r="86" spans="2:7" ht="15">
      <c r="B86" s="76"/>
      <c r="C86" s="44" t="s">
        <v>75</v>
      </c>
      <c r="E86" s="65"/>
      <c r="F86" s="119">
        <f>11622.59*0.09/100</f>
        <v>10.460330999999998</v>
      </c>
      <c r="G86" s="106"/>
    </row>
    <row r="87" spans="2:7" ht="15">
      <c r="B87" s="76"/>
      <c r="C87" s="44" t="s">
        <v>76</v>
      </c>
      <c r="E87" s="65"/>
      <c r="F87" s="149">
        <f>(697+5405.59)*0.09/100</f>
        <v>5.492331</v>
      </c>
      <c r="G87" s="106"/>
    </row>
    <row r="88" spans="2:7" ht="12">
      <c r="B88" s="76"/>
      <c r="E88" s="65"/>
      <c r="F88" s="95"/>
      <c r="G88" s="106"/>
    </row>
    <row r="89" spans="2:7" ht="15.75">
      <c r="B89" s="57" t="s">
        <v>78</v>
      </c>
      <c r="C89" s="62"/>
      <c r="D89" s="62"/>
      <c r="E89" s="77"/>
      <c r="F89" s="128">
        <v>0</v>
      </c>
      <c r="G89" s="120">
        <v>0</v>
      </c>
    </row>
    <row r="90" spans="2:7" ht="12">
      <c r="B90" s="76"/>
      <c r="E90" s="65"/>
      <c r="F90" s="95"/>
      <c r="G90" s="106"/>
    </row>
    <row r="91" spans="2:7" ht="15.75">
      <c r="B91" s="57" t="s">
        <v>73</v>
      </c>
      <c r="C91" s="62"/>
      <c r="D91" s="62"/>
      <c r="E91" s="77"/>
      <c r="F91" s="96"/>
      <c r="G91" s="120">
        <f>F93-F94</f>
        <v>-50.103533</v>
      </c>
    </row>
    <row r="92" spans="2:7" ht="12">
      <c r="B92" s="76"/>
      <c r="E92" s="65"/>
      <c r="F92" s="95"/>
      <c r="G92" s="106"/>
    </row>
    <row r="93" spans="2:7" ht="14.25">
      <c r="B93" s="76"/>
      <c r="C93" s="44" t="s">
        <v>79</v>
      </c>
      <c r="E93" s="65"/>
      <c r="F93" s="124">
        <v>0</v>
      </c>
      <c r="G93" s="106"/>
    </row>
    <row r="94" spans="2:7" ht="14.25">
      <c r="B94" s="76"/>
      <c r="C94" s="44" t="s">
        <v>80</v>
      </c>
      <c r="E94" s="65"/>
      <c r="F94" s="124">
        <f>36.56+(15048.37*0.09/100)</f>
        <v>50.103533</v>
      </c>
      <c r="G94" s="106"/>
    </row>
    <row r="95" spans="2:7" ht="12">
      <c r="B95" s="76"/>
      <c r="E95" s="65"/>
      <c r="F95" s="95"/>
      <c r="G95" s="106"/>
    </row>
    <row r="96" spans="2:7" ht="15.75">
      <c r="B96" s="79" t="s">
        <v>81</v>
      </c>
      <c r="C96" s="63"/>
      <c r="D96" s="63"/>
      <c r="E96" s="77"/>
      <c r="F96" s="124">
        <f>111976.37*0.09/100</f>
        <v>100.77873299999999</v>
      </c>
      <c r="G96" s="120">
        <f>F96</f>
        <v>100.77873299999999</v>
      </c>
    </row>
    <row r="97" spans="2:7" ht="12">
      <c r="B97" s="76"/>
      <c r="E97" s="65"/>
      <c r="F97" s="95"/>
      <c r="G97" s="106"/>
    </row>
    <row r="98" spans="2:7" ht="15.75">
      <c r="B98" s="57"/>
      <c r="E98" s="80" t="s">
        <v>82</v>
      </c>
      <c r="F98" s="95"/>
      <c r="G98" s="125">
        <f>G80+G83+G91-G96</f>
        <v>-3121.295509000002</v>
      </c>
    </row>
    <row r="99" spans="2:7" ht="12">
      <c r="B99" s="81"/>
      <c r="C99" s="82"/>
      <c r="D99" s="82"/>
      <c r="E99" s="83"/>
      <c r="F99" s="107"/>
      <c r="G99" s="108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r:id="rId1"/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97">
      <selection activeCell="F48" sqref="F48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54" t="s">
        <v>98</v>
      </c>
      <c r="C6" s="155"/>
      <c r="D6" s="155"/>
      <c r="E6" s="155"/>
      <c r="F6" s="155"/>
      <c r="G6" s="156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57" t="s">
        <v>207</v>
      </c>
      <c r="C11" s="158"/>
      <c r="D11" s="158"/>
      <c r="E11" s="158"/>
      <c r="F11" s="158"/>
      <c r="G11" s="158"/>
    </row>
    <row r="12" spans="1:7" ht="12.7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57" t="s">
        <v>1</v>
      </c>
      <c r="C13" s="155"/>
      <c r="D13" s="155"/>
      <c r="E13" s="155"/>
      <c r="F13" s="155"/>
      <c r="G13" s="155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59">
        <v>2004</v>
      </c>
      <c r="G16" s="160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5" customHeight="1">
      <c r="A19" s="44"/>
      <c r="B19" s="57" t="s">
        <v>5</v>
      </c>
      <c r="C19" s="44"/>
      <c r="D19" s="44"/>
      <c r="F19" s="102"/>
      <c r="G19" s="115">
        <f>F20+F24+F25+F26+F28</f>
        <v>1064449.00896</v>
      </c>
    </row>
    <row r="20" spans="1:7" ht="12.75" customHeight="1">
      <c r="A20" s="44"/>
      <c r="B20" s="54"/>
      <c r="C20" s="44" t="s">
        <v>6</v>
      </c>
      <c r="D20" s="44" t="s">
        <v>7</v>
      </c>
      <c r="F20" s="116">
        <f>SUM(F21:F22)</f>
        <v>1052561.19</v>
      </c>
      <c r="G20" s="103"/>
    </row>
    <row r="21" spans="1:7" ht="12.75" customHeight="1">
      <c r="A21" s="44"/>
      <c r="B21" s="54"/>
      <c r="C21" s="44"/>
      <c r="D21" s="44" t="s">
        <v>30</v>
      </c>
      <c r="E21" s="45" t="s">
        <v>108</v>
      </c>
      <c r="F21" s="110">
        <v>1049069.52</v>
      </c>
      <c r="G21" s="103"/>
    </row>
    <row r="22" spans="1:7" ht="12.75" customHeight="1">
      <c r="A22" s="44"/>
      <c r="B22" s="54"/>
      <c r="C22" s="44"/>
      <c r="D22" s="44" t="s">
        <v>30</v>
      </c>
      <c r="E22" s="45" t="s">
        <v>109</v>
      </c>
      <c r="F22" s="110">
        <v>3491.67</v>
      </c>
      <c r="G22" s="103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03"/>
    </row>
    <row r="24" spans="1:7" ht="12.75" customHeight="1">
      <c r="A24" s="44"/>
      <c r="B24" s="54"/>
      <c r="C24" s="44"/>
      <c r="D24" s="44" t="s">
        <v>10</v>
      </c>
      <c r="F24" s="124">
        <v>0</v>
      </c>
      <c r="G24" s="103"/>
    </row>
    <row r="25" spans="1:7" ht="12.75" customHeight="1">
      <c r="A25" s="44"/>
      <c r="B25" s="54"/>
      <c r="C25" s="44" t="s">
        <v>11</v>
      </c>
      <c r="D25" s="44" t="s">
        <v>12</v>
      </c>
      <c r="F25" s="124">
        <v>0</v>
      </c>
      <c r="G25" s="103"/>
    </row>
    <row r="26" spans="1:7" ht="12.75" customHeight="1">
      <c r="A26" s="44"/>
      <c r="B26" s="54"/>
      <c r="C26" s="44" t="s">
        <v>13</v>
      </c>
      <c r="D26" s="44"/>
      <c r="F26" s="124">
        <v>0</v>
      </c>
      <c r="G26" s="103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04"/>
    </row>
    <row r="28" spans="1:7" ht="12.75" customHeight="1">
      <c r="A28" s="44"/>
      <c r="B28" s="54"/>
      <c r="C28" s="44"/>
      <c r="D28" s="44" t="s">
        <v>15</v>
      </c>
      <c r="F28" s="116">
        <f>SUM(F29:F31)</f>
        <v>11887.81896</v>
      </c>
      <c r="G28" s="104"/>
    </row>
    <row r="29" spans="1:7" ht="12.75" customHeight="1">
      <c r="A29" s="44"/>
      <c r="B29" s="54"/>
      <c r="C29" s="44"/>
      <c r="D29" s="60" t="s">
        <v>30</v>
      </c>
      <c r="E29" s="45" t="s">
        <v>110</v>
      </c>
      <c r="F29" s="110">
        <v>3260.21</v>
      </c>
      <c r="G29" s="105"/>
    </row>
    <row r="30" spans="1:7" ht="12.75" customHeight="1">
      <c r="A30" s="44"/>
      <c r="B30" s="54"/>
      <c r="C30" s="44"/>
      <c r="D30" s="60" t="s">
        <v>30</v>
      </c>
      <c r="E30" s="45" t="s">
        <v>54</v>
      </c>
      <c r="F30" s="110">
        <v>29.29</v>
      </c>
      <c r="G30" s="105"/>
    </row>
    <row r="31" spans="1:7" ht="12.75" customHeight="1">
      <c r="A31" s="44"/>
      <c r="B31" s="54"/>
      <c r="C31" s="44"/>
      <c r="D31" s="60" t="s">
        <v>30</v>
      </c>
      <c r="E31" s="45" t="s">
        <v>188</v>
      </c>
      <c r="F31" s="110">
        <f>195416.34*4.4/100</f>
        <v>8598.31896</v>
      </c>
      <c r="G31" s="105"/>
    </row>
    <row r="32" spans="1:7" ht="12.75" customHeight="1">
      <c r="A32" s="44"/>
      <c r="B32" s="54"/>
      <c r="C32" s="44"/>
      <c r="D32" s="44"/>
      <c r="E32" s="44"/>
      <c r="F32" s="95"/>
      <c r="G32" s="104"/>
    </row>
    <row r="33" spans="1:7" s="64" customFormat="1" ht="15.75" customHeight="1">
      <c r="A33" s="62"/>
      <c r="B33" s="57" t="s">
        <v>16</v>
      </c>
      <c r="C33" s="62"/>
      <c r="D33" s="62"/>
      <c r="E33" s="63"/>
      <c r="F33" s="96"/>
      <c r="G33" s="115">
        <f>-(F35+F40+F57+F62+F69+F77+F79+F81+F83)</f>
        <v>-963743.2308400001</v>
      </c>
    </row>
    <row r="34" spans="1:7" ht="12.75" customHeight="1">
      <c r="A34" s="44"/>
      <c r="B34" s="54"/>
      <c r="C34" s="44" t="s">
        <v>17</v>
      </c>
      <c r="D34" s="44"/>
      <c r="F34" s="95" t="s">
        <v>0</v>
      </c>
      <c r="G34" s="104"/>
    </row>
    <row r="35" spans="1:7" ht="12.75" customHeight="1">
      <c r="A35" s="44"/>
      <c r="B35" s="54"/>
      <c r="D35" s="44" t="s">
        <v>18</v>
      </c>
      <c r="E35" s="65"/>
      <c r="F35" s="114">
        <f>SUM(F36:F38)</f>
        <v>715646.58008</v>
      </c>
      <c r="G35" s="104"/>
    </row>
    <row r="36" spans="1:7" ht="12.75" customHeight="1">
      <c r="A36" s="44"/>
      <c r="B36" s="54"/>
      <c r="D36" s="44"/>
      <c r="E36" s="65" t="s">
        <v>43</v>
      </c>
      <c r="F36" s="121">
        <v>715086.57</v>
      </c>
      <c r="G36" s="104"/>
    </row>
    <row r="37" spans="1:7" ht="12.75" customHeight="1">
      <c r="A37" s="44"/>
      <c r="B37" s="54"/>
      <c r="D37" s="44"/>
      <c r="E37" s="66" t="s">
        <v>44</v>
      </c>
      <c r="F37" s="121">
        <v>75.05</v>
      </c>
      <c r="G37" s="104"/>
    </row>
    <row r="38" spans="1:7" ht="12.75" customHeight="1">
      <c r="A38" s="44"/>
      <c r="B38" s="54"/>
      <c r="D38" s="44"/>
      <c r="E38" s="65" t="s">
        <v>189</v>
      </c>
      <c r="F38" s="95">
        <f>11021.82*4.4/100</f>
        <v>484.96008</v>
      </c>
      <c r="G38" s="104"/>
    </row>
    <row r="39" spans="1:7" ht="12.75" customHeight="1">
      <c r="A39" s="44"/>
      <c r="B39" s="54"/>
      <c r="D39" s="44"/>
      <c r="E39" s="65"/>
      <c r="F39" s="101"/>
      <c r="G39" s="104"/>
    </row>
    <row r="40" spans="1:7" ht="12.75" customHeight="1">
      <c r="A40" s="44"/>
      <c r="B40" s="54"/>
      <c r="C40" s="44" t="s">
        <v>19</v>
      </c>
      <c r="D40" s="44"/>
      <c r="E40" s="65"/>
      <c r="F40" s="114">
        <f>SUM(F41:F55)</f>
        <v>64170.7998</v>
      </c>
      <c r="G40" s="104"/>
    </row>
    <row r="41" spans="1:7" ht="12.75" customHeight="1">
      <c r="A41" s="44"/>
      <c r="B41" s="54"/>
      <c r="C41" s="44"/>
      <c r="D41" s="44"/>
      <c r="E41" s="66" t="s">
        <v>46</v>
      </c>
      <c r="F41" s="121">
        <v>1811.2</v>
      </c>
      <c r="G41" s="104"/>
    </row>
    <row r="42" spans="1:7" ht="12.75" customHeight="1">
      <c r="A42" s="44"/>
      <c r="B42" s="54"/>
      <c r="C42" s="44"/>
      <c r="D42" s="44"/>
      <c r="E42" s="66" t="s">
        <v>45</v>
      </c>
      <c r="F42" s="121">
        <v>1513.55</v>
      </c>
      <c r="G42" s="104"/>
    </row>
    <row r="43" spans="1:7" ht="13.5" customHeight="1">
      <c r="A43" s="44"/>
      <c r="B43" s="54"/>
      <c r="C43" s="44"/>
      <c r="D43" s="44"/>
      <c r="E43" s="66" t="s">
        <v>51</v>
      </c>
      <c r="F43" s="121">
        <v>501</v>
      </c>
      <c r="G43" s="104"/>
    </row>
    <row r="44" spans="1:7" ht="13.5" customHeight="1">
      <c r="A44" s="44"/>
      <c r="B44" s="54"/>
      <c r="C44" s="44"/>
      <c r="D44" s="44"/>
      <c r="E44" s="66" t="s">
        <v>50</v>
      </c>
      <c r="F44" s="121">
        <v>262.33</v>
      </c>
      <c r="G44" s="104"/>
    </row>
    <row r="45" spans="1:7" ht="12.75" customHeight="1">
      <c r="A45" s="44"/>
      <c r="B45" s="54"/>
      <c r="C45" s="44"/>
      <c r="D45" s="44"/>
      <c r="E45" s="66" t="s">
        <v>121</v>
      </c>
      <c r="F45" s="121">
        <v>998.66</v>
      </c>
      <c r="G45" s="104"/>
    </row>
    <row r="46" spans="1:7" ht="12.75" customHeight="1">
      <c r="A46" s="44"/>
      <c r="B46" s="54"/>
      <c r="C46" s="44"/>
      <c r="D46" s="44"/>
      <c r="E46" s="66" t="s">
        <v>71</v>
      </c>
      <c r="F46" s="121">
        <v>1008</v>
      </c>
      <c r="G46" s="104"/>
    </row>
    <row r="47" spans="1:7" ht="12.75" customHeight="1">
      <c r="A47" s="44"/>
      <c r="B47" s="54"/>
      <c r="C47" s="44"/>
      <c r="D47" s="44"/>
      <c r="E47" s="66" t="s">
        <v>148</v>
      </c>
      <c r="F47" s="121">
        <v>1110.51</v>
      </c>
      <c r="G47" s="104"/>
    </row>
    <row r="48" spans="1:7" ht="12.75" customHeight="1">
      <c r="A48" s="44"/>
      <c r="B48" s="54"/>
      <c r="C48" s="44"/>
      <c r="D48" s="44"/>
      <c r="E48" s="66" t="s">
        <v>258</v>
      </c>
      <c r="F48" s="123">
        <v>1829.61</v>
      </c>
      <c r="G48" s="104"/>
    </row>
    <row r="49" spans="1:7" ht="12.75" customHeight="1">
      <c r="A49" s="44"/>
      <c r="B49" s="54"/>
      <c r="C49" s="44"/>
      <c r="D49" s="44"/>
      <c r="E49" s="66" t="s">
        <v>136</v>
      </c>
      <c r="F49" s="121">
        <v>309.8</v>
      </c>
      <c r="G49" s="104"/>
    </row>
    <row r="50" spans="1:7" ht="12.75" customHeight="1">
      <c r="A50" s="44"/>
      <c r="B50" s="54"/>
      <c r="C50" s="44"/>
      <c r="D50" s="44"/>
      <c r="E50" s="66" t="s">
        <v>235</v>
      </c>
      <c r="F50" s="121">
        <v>2762.4</v>
      </c>
      <c r="G50" s="104"/>
    </row>
    <row r="51" spans="1:7" ht="12.75" customHeight="1">
      <c r="A51" s="44"/>
      <c r="B51" s="54"/>
      <c r="C51" s="44"/>
      <c r="D51" s="44"/>
      <c r="E51" s="66" t="s">
        <v>135</v>
      </c>
      <c r="F51" s="121">
        <v>5943.24</v>
      </c>
      <c r="G51" s="104"/>
    </row>
    <row r="52" spans="1:7" ht="12.75" customHeight="1">
      <c r="A52" s="44"/>
      <c r="B52" s="54"/>
      <c r="C52" s="44"/>
      <c r="D52" s="44"/>
      <c r="E52" s="66" t="s">
        <v>232</v>
      </c>
      <c r="F52" s="121">
        <v>3236.4</v>
      </c>
      <c r="G52" s="104"/>
    </row>
    <row r="53" spans="1:7" ht="12.75" customHeight="1">
      <c r="A53" s="44"/>
      <c r="B53" s="54"/>
      <c r="C53" s="44"/>
      <c r="D53" s="44"/>
      <c r="E53" s="66" t="s">
        <v>152</v>
      </c>
      <c r="F53" s="121">
        <v>23890</v>
      </c>
      <c r="G53" s="104"/>
    </row>
    <row r="54" spans="1:7" ht="12.75" customHeight="1">
      <c r="A54" s="44"/>
      <c r="B54" s="54"/>
      <c r="C54" s="44"/>
      <c r="D54" s="44"/>
      <c r="E54" s="66" t="s">
        <v>170</v>
      </c>
      <c r="F54" s="121">
        <v>2834.97</v>
      </c>
      <c r="G54" s="104"/>
    </row>
    <row r="55" spans="1:7" ht="12.75" customHeight="1">
      <c r="A55" s="44"/>
      <c r="B55" s="54"/>
      <c r="C55" s="44"/>
      <c r="D55" s="44"/>
      <c r="E55" s="66" t="s">
        <v>190</v>
      </c>
      <c r="F55" s="121">
        <f>(248110.76+124547.78-5405.59)*4.4/100</f>
        <v>16159.129800000002</v>
      </c>
      <c r="G55" s="104"/>
    </row>
    <row r="56" spans="1:7" ht="12.75" customHeight="1">
      <c r="A56" s="44"/>
      <c r="B56" s="54"/>
      <c r="C56" s="44"/>
      <c r="D56" s="44"/>
      <c r="E56" s="66"/>
      <c r="F56" s="109"/>
      <c r="G56" s="104"/>
    </row>
    <row r="57" spans="1:7" ht="12.75" customHeight="1">
      <c r="A57" s="44"/>
      <c r="B57" s="54"/>
      <c r="C57" s="44" t="s">
        <v>20</v>
      </c>
      <c r="D57" s="44"/>
      <c r="E57" s="65"/>
      <c r="F57" s="116">
        <f>SUM(F58:F60)</f>
        <v>16002.09748</v>
      </c>
      <c r="G57" s="104"/>
    </row>
    <row r="58" spans="1:7" ht="12.75" customHeight="1">
      <c r="A58" s="44"/>
      <c r="B58" s="54"/>
      <c r="C58" s="44"/>
      <c r="D58" s="44"/>
      <c r="E58" s="66" t="s">
        <v>111</v>
      </c>
      <c r="F58" s="121">
        <v>14550.6</v>
      </c>
      <c r="G58" s="104"/>
    </row>
    <row r="59" spans="1:7" ht="12.75" customHeight="1">
      <c r="A59" s="44"/>
      <c r="B59" s="54"/>
      <c r="C59" s="44"/>
      <c r="D59" s="44"/>
      <c r="E59" s="66" t="s">
        <v>122</v>
      </c>
      <c r="F59" s="101">
        <v>1199.7</v>
      </c>
      <c r="G59" s="104"/>
    </row>
    <row r="60" spans="1:7" ht="12.75" customHeight="1">
      <c r="A60" s="44"/>
      <c r="B60" s="54"/>
      <c r="C60" s="44"/>
      <c r="D60" s="44"/>
      <c r="E60" s="66" t="s">
        <v>189</v>
      </c>
      <c r="F60" s="99">
        <f>5722.67*4.4/100</f>
        <v>251.79748000000004</v>
      </c>
      <c r="G60" s="104"/>
    </row>
    <row r="61" spans="1:7" ht="12.75" customHeight="1">
      <c r="A61" s="44"/>
      <c r="B61" s="54"/>
      <c r="C61" s="44"/>
      <c r="D61" s="44"/>
      <c r="E61" s="66"/>
      <c r="F61" s="101"/>
      <c r="G61" s="104"/>
    </row>
    <row r="62" spans="1:7" ht="12.75" customHeight="1">
      <c r="A62" s="44"/>
      <c r="B62" s="54"/>
      <c r="C62" s="44" t="s">
        <v>21</v>
      </c>
      <c r="D62" s="44"/>
      <c r="E62" s="65"/>
      <c r="F62" s="114">
        <f>SUM(F63:F67)</f>
        <v>117085.79680000001</v>
      </c>
      <c r="G62" s="104"/>
    </row>
    <row r="63" spans="1:7" ht="12.75" customHeight="1">
      <c r="A63" s="44"/>
      <c r="B63" s="54"/>
      <c r="D63" s="67" t="s">
        <v>22</v>
      </c>
      <c r="E63" s="68"/>
      <c r="F63" s="121">
        <f>(66220.33+281.8+5961.71)+(256108.02+5072.34+17493.67+67700)*4.4/100+1253.88-237.85</f>
        <v>88720.32732000001</v>
      </c>
      <c r="G63" s="104"/>
    </row>
    <row r="64" spans="1:7" ht="12.75" customHeight="1">
      <c r="A64" s="44"/>
      <c r="B64" s="54"/>
      <c r="D64" s="67" t="s">
        <v>23</v>
      </c>
      <c r="E64" s="68"/>
      <c r="F64" s="121">
        <f>(16857.93+70.45+1490.43)+(37162.28+1268.09+4373.42+17800)*4.4/100</f>
        <v>21085.37676</v>
      </c>
      <c r="G64" s="104"/>
    </row>
    <row r="65" spans="1:7" ht="12.75" customHeight="1">
      <c r="A65" s="44"/>
      <c r="B65" s="54"/>
      <c r="D65" s="67" t="s">
        <v>24</v>
      </c>
      <c r="E65" s="68"/>
      <c r="F65" s="121">
        <f>5489.6+(10979.21*4.4/100)</f>
        <v>5972.685240000001</v>
      </c>
      <c r="G65" s="104"/>
    </row>
    <row r="66" spans="1:7" ht="12.75" customHeight="1">
      <c r="A66" s="44"/>
      <c r="B66" s="54"/>
      <c r="D66" s="67" t="s">
        <v>25</v>
      </c>
      <c r="E66" s="68"/>
      <c r="F66" s="121">
        <v>0</v>
      </c>
      <c r="G66" s="104"/>
    </row>
    <row r="67" spans="1:7" ht="12.75" customHeight="1">
      <c r="A67" s="44"/>
      <c r="B67" s="54"/>
      <c r="D67" s="67" t="s">
        <v>126</v>
      </c>
      <c r="E67" s="68"/>
      <c r="F67" s="121">
        <f>1021.4+(6500.17*4.4/100)</f>
        <v>1307.40748</v>
      </c>
      <c r="G67" s="104"/>
    </row>
    <row r="68" spans="1:7" ht="12.75" customHeight="1">
      <c r="A68" s="44"/>
      <c r="B68" s="54"/>
      <c r="D68" s="67"/>
      <c r="E68" s="68"/>
      <c r="F68" s="121"/>
      <c r="G68" s="104"/>
    </row>
    <row r="69" spans="1:7" ht="12.75" customHeight="1">
      <c r="A69" s="44"/>
      <c r="B69" s="54"/>
      <c r="C69" s="44" t="s">
        <v>27</v>
      </c>
      <c r="D69" s="44"/>
      <c r="E69" s="65"/>
      <c r="F69" s="114">
        <f>SUM(F70:F74)</f>
        <v>2468.751</v>
      </c>
      <c r="G69" s="104"/>
    </row>
    <row r="70" spans="1:7" ht="12.75" customHeight="1">
      <c r="A70" s="44"/>
      <c r="B70" s="54"/>
      <c r="C70" s="44"/>
      <c r="D70" s="67" t="s">
        <v>28</v>
      </c>
      <c r="E70" s="68"/>
      <c r="F70" s="121">
        <f>1530+(2877.79*4.4/100)</f>
        <v>1656.62276</v>
      </c>
      <c r="G70" s="104"/>
    </row>
    <row r="71" spans="1:7" ht="12.75" customHeight="1">
      <c r="A71" s="44"/>
      <c r="B71" s="54"/>
      <c r="D71" s="67" t="s">
        <v>29</v>
      </c>
      <c r="E71" s="69"/>
      <c r="F71" s="121">
        <f>719.29+(2109.96*4.4/100)</f>
        <v>812.12824</v>
      </c>
      <c r="G71" s="104"/>
    </row>
    <row r="72" spans="1:7" ht="12.75" customHeight="1">
      <c r="A72" s="44"/>
      <c r="B72" s="54"/>
      <c r="D72" s="67" t="s">
        <v>31</v>
      </c>
      <c r="E72" s="68"/>
      <c r="F72" s="121">
        <v>0</v>
      </c>
      <c r="G72" s="104"/>
    </row>
    <row r="73" spans="1:7" ht="12.75" customHeight="1">
      <c r="A73" s="44"/>
      <c r="B73" s="54"/>
      <c r="D73" s="67" t="s">
        <v>32</v>
      </c>
      <c r="E73" s="68"/>
      <c r="F73" s="121"/>
      <c r="G73" s="104"/>
    </row>
    <row r="74" spans="1:7" ht="12.75" customHeight="1">
      <c r="A74" s="44"/>
      <c r="B74" s="54"/>
      <c r="D74" s="67"/>
      <c r="E74" s="69" t="s">
        <v>33</v>
      </c>
      <c r="F74" s="121">
        <v>0</v>
      </c>
      <c r="G74" s="104"/>
    </row>
    <row r="75" spans="1:7" ht="12.75" customHeight="1">
      <c r="A75" s="44"/>
      <c r="B75" s="54"/>
      <c r="D75" s="67"/>
      <c r="E75" s="69"/>
      <c r="F75" s="101"/>
      <c r="G75" s="104"/>
    </row>
    <row r="76" spans="1:7" ht="12.75" customHeight="1">
      <c r="A76" s="44"/>
      <c r="B76" s="54"/>
      <c r="C76" s="44" t="s">
        <v>34</v>
      </c>
      <c r="D76" s="44"/>
      <c r="E76" s="65"/>
      <c r="F76" s="95"/>
      <c r="G76" s="104"/>
    </row>
    <row r="77" spans="1:7" ht="12.75" customHeight="1">
      <c r="A77" s="44"/>
      <c r="B77" s="54"/>
      <c r="D77" s="44"/>
      <c r="E77" s="70" t="s">
        <v>35</v>
      </c>
      <c r="F77" s="124">
        <f>137428-96767.84</f>
        <v>40660.16</v>
      </c>
      <c r="G77" s="104"/>
    </row>
    <row r="78" spans="1:7" ht="12.75" customHeight="1">
      <c r="A78" s="44"/>
      <c r="B78" s="54"/>
      <c r="D78" s="44"/>
      <c r="E78" s="70"/>
      <c r="F78" s="124"/>
      <c r="G78" s="104"/>
    </row>
    <row r="79" spans="1:7" ht="12.75" customHeight="1">
      <c r="A79" s="44"/>
      <c r="B79" s="54"/>
      <c r="C79" s="44" t="s">
        <v>36</v>
      </c>
      <c r="D79" s="44"/>
      <c r="E79" s="65"/>
      <c r="F79" s="124">
        <f>121593.7*4.4/100</f>
        <v>5350.1228</v>
      </c>
      <c r="G79" s="104"/>
    </row>
    <row r="80" spans="1:7" ht="12.75" customHeight="1">
      <c r="A80" s="44"/>
      <c r="B80" s="54"/>
      <c r="C80" s="44"/>
      <c r="D80" s="44"/>
      <c r="E80" s="65"/>
      <c r="F80" s="124"/>
      <c r="G80" s="104"/>
    </row>
    <row r="81" spans="1:7" ht="12.75" customHeight="1">
      <c r="A81" s="44"/>
      <c r="B81" s="54"/>
      <c r="C81" s="44" t="s">
        <v>37</v>
      </c>
      <c r="D81" s="44"/>
      <c r="E81" s="65"/>
      <c r="F81" s="124">
        <v>0</v>
      </c>
      <c r="G81" s="104"/>
    </row>
    <row r="82" spans="1:7" ht="12.75" customHeight="1">
      <c r="A82" s="44"/>
      <c r="B82" s="54"/>
      <c r="C82" s="44"/>
      <c r="D82" s="44"/>
      <c r="E82" s="65"/>
      <c r="F82" s="124"/>
      <c r="G82" s="104"/>
    </row>
    <row r="83" spans="1:7" ht="12.75" customHeight="1">
      <c r="A83" s="44"/>
      <c r="B83" s="54"/>
      <c r="C83" s="44" t="s">
        <v>38</v>
      </c>
      <c r="D83" s="44"/>
      <c r="E83" s="65"/>
      <c r="F83" s="124">
        <f>SUM(F84:F90)</f>
        <v>2358.92288</v>
      </c>
      <c r="G83" s="104"/>
    </row>
    <row r="84" spans="1:7" ht="12.75" customHeight="1">
      <c r="A84" s="44"/>
      <c r="B84" s="54"/>
      <c r="C84" s="44"/>
      <c r="D84" s="44"/>
      <c r="E84" s="65" t="s">
        <v>123</v>
      </c>
      <c r="F84" s="101">
        <v>27.88</v>
      </c>
      <c r="G84" s="104"/>
    </row>
    <row r="85" spans="1:7" ht="12.75" customHeight="1">
      <c r="A85" s="44"/>
      <c r="B85" s="54"/>
      <c r="C85" s="44"/>
      <c r="D85" s="44"/>
      <c r="E85" s="65" t="s">
        <v>137</v>
      </c>
      <c r="F85" s="101">
        <v>558.29</v>
      </c>
      <c r="G85" s="104"/>
    </row>
    <row r="86" spans="1:7" ht="12.75" customHeight="1">
      <c r="A86" s="44"/>
      <c r="B86" s="54"/>
      <c r="C86" s="44"/>
      <c r="D86" s="44"/>
      <c r="E86" s="65" t="s">
        <v>202</v>
      </c>
      <c r="F86" s="101">
        <v>148.04</v>
      </c>
      <c r="G86" s="104"/>
    </row>
    <row r="87" spans="1:7" ht="12.75" customHeight="1">
      <c r="A87" s="44"/>
      <c r="B87" s="54"/>
      <c r="C87" s="44"/>
      <c r="D87" s="44"/>
      <c r="E87" s="65" t="s">
        <v>236</v>
      </c>
      <c r="F87" s="101">
        <v>303.84</v>
      </c>
      <c r="G87" s="104"/>
    </row>
    <row r="88" spans="1:7" ht="12.75" customHeight="1">
      <c r="A88" s="44"/>
      <c r="B88" s="54"/>
      <c r="C88" s="44"/>
      <c r="D88" s="44"/>
      <c r="E88" s="71" t="s">
        <v>138</v>
      </c>
      <c r="F88" s="101">
        <v>837.34</v>
      </c>
      <c r="G88" s="104"/>
    </row>
    <row r="89" spans="1:7" ht="12.75" customHeight="1">
      <c r="A89" s="44"/>
      <c r="B89" s="54"/>
      <c r="C89" s="44"/>
      <c r="D89" s="44"/>
      <c r="E89" s="66" t="s">
        <v>125</v>
      </c>
      <c r="F89" s="121">
        <v>9.63</v>
      </c>
      <c r="G89" s="104"/>
    </row>
    <row r="90" spans="1:7" ht="12.75" customHeight="1">
      <c r="A90" s="44"/>
      <c r="B90" s="54"/>
      <c r="C90" s="44"/>
      <c r="D90" s="44"/>
      <c r="E90" s="66" t="s">
        <v>189</v>
      </c>
      <c r="F90" s="99">
        <f>10770.52*4.4/100</f>
        <v>473.9028800000001</v>
      </c>
      <c r="G90" s="104"/>
    </row>
    <row r="91" spans="1:7" ht="12.75" customHeight="1">
      <c r="A91" s="44"/>
      <c r="B91" s="54"/>
      <c r="C91" s="44"/>
      <c r="D91" s="44"/>
      <c r="E91" s="70"/>
      <c r="F91" s="95" t="s">
        <v>0</v>
      </c>
      <c r="G91" s="104"/>
    </row>
    <row r="92" spans="1:7" ht="15.75" customHeight="1">
      <c r="A92" s="72"/>
      <c r="B92" s="57" t="s">
        <v>39</v>
      </c>
      <c r="C92" s="73"/>
      <c r="D92" s="73"/>
      <c r="E92" s="66"/>
      <c r="F92" s="95" t="s">
        <v>0</v>
      </c>
      <c r="G92" s="120">
        <f>G19+G33</f>
        <v>100705.77811999992</v>
      </c>
    </row>
    <row r="93" spans="1:7" ht="12.75" customHeight="1">
      <c r="A93" s="44"/>
      <c r="B93" s="74" t="s">
        <v>40</v>
      </c>
      <c r="C93" s="44"/>
      <c r="D93" s="44"/>
      <c r="E93" s="70"/>
      <c r="F93" s="95" t="s">
        <v>0</v>
      </c>
      <c r="G93" s="106"/>
    </row>
    <row r="94" spans="2:7" ht="12" customHeight="1">
      <c r="B94" s="76"/>
      <c r="E94" s="65"/>
      <c r="F94" s="95" t="s">
        <v>0</v>
      </c>
      <c r="G94" s="106"/>
    </row>
    <row r="95" spans="2:7" ht="15" customHeight="1">
      <c r="B95" s="57" t="s">
        <v>77</v>
      </c>
      <c r="C95" s="62"/>
      <c r="D95" s="62"/>
      <c r="E95" s="77"/>
      <c r="F95" s="96"/>
      <c r="G95" s="120">
        <f>F97+F98-F99</f>
        <v>378.0200000000001</v>
      </c>
    </row>
    <row r="96" spans="2:7" ht="12">
      <c r="B96" s="76"/>
      <c r="E96" s="65"/>
      <c r="F96" s="95"/>
      <c r="G96" s="106"/>
    </row>
    <row r="97" spans="2:7" ht="14.25">
      <c r="B97" s="54"/>
      <c r="C97" s="44" t="s">
        <v>74</v>
      </c>
      <c r="D97" s="44"/>
      <c r="E97" s="65"/>
      <c r="F97" s="116">
        <v>0</v>
      </c>
      <c r="G97" s="106"/>
    </row>
    <row r="98" spans="2:7" ht="14.25">
      <c r="B98" s="76"/>
      <c r="C98" s="44" t="s">
        <v>75</v>
      </c>
      <c r="E98" s="65"/>
      <c r="F98" s="124">
        <f>213.99+(11622.59*4.4/100)</f>
        <v>725.3839600000001</v>
      </c>
      <c r="G98" s="106"/>
    </row>
    <row r="99" spans="2:7" ht="14.25">
      <c r="B99" s="76"/>
      <c r="C99" s="44" t="s">
        <v>76</v>
      </c>
      <c r="E99" s="65"/>
      <c r="F99" s="151">
        <f>(78.85+(697+5405.59)*4.4/100)</f>
        <v>347.36396</v>
      </c>
      <c r="G99" s="106"/>
    </row>
    <row r="100" spans="2:7" ht="12">
      <c r="B100" s="76"/>
      <c r="E100" s="65"/>
      <c r="F100" s="95"/>
      <c r="G100" s="106"/>
    </row>
    <row r="101" spans="2:7" ht="15.75">
      <c r="B101" s="57" t="s">
        <v>78</v>
      </c>
      <c r="C101" s="62"/>
      <c r="D101" s="62"/>
      <c r="E101" s="77"/>
      <c r="F101" s="128">
        <v>0</v>
      </c>
      <c r="G101" s="120">
        <v>0</v>
      </c>
    </row>
    <row r="102" spans="2:7" ht="12">
      <c r="B102" s="76"/>
      <c r="E102" s="65"/>
      <c r="F102" s="95"/>
      <c r="G102" s="106"/>
    </row>
    <row r="103" spans="2:7" ht="15.75">
      <c r="B103" s="57" t="s">
        <v>73</v>
      </c>
      <c r="C103" s="62"/>
      <c r="D103" s="62"/>
      <c r="E103" s="77"/>
      <c r="F103" s="96"/>
      <c r="G103" s="120">
        <f>F105-F107</f>
        <v>-404.5482800000001</v>
      </c>
    </row>
    <row r="104" spans="2:7" ht="12">
      <c r="B104" s="76"/>
      <c r="E104" s="65"/>
      <c r="F104" s="95"/>
      <c r="G104" s="106"/>
    </row>
    <row r="105" spans="2:7" ht="14.25">
      <c r="B105" s="76"/>
      <c r="C105" s="44" t="s">
        <v>79</v>
      </c>
      <c r="E105" s="65"/>
      <c r="F105" s="124">
        <f>SUM(F106:F106)</f>
        <v>288.98</v>
      </c>
      <c r="G105" s="106"/>
    </row>
    <row r="106" spans="2:7" ht="14.25">
      <c r="B106" s="76"/>
      <c r="C106" s="44"/>
      <c r="D106" s="152" t="s">
        <v>249</v>
      </c>
      <c r="E106" s="153"/>
      <c r="F106" s="124">
        <v>288.98</v>
      </c>
      <c r="G106" s="106"/>
    </row>
    <row r="107" spans="2:7" ht="14.25">
      <c r="B107" s="76"/>
      <c r="C107" s="44" t="s">
        <v>80</v>
      </c>
      <c r="E107" s="65"/>
      <c r="F107" s="124">
        <f>31.4+(15048.37*4.4/100)</f>
        <v>693.5282800000001</v>
      </c>
      <c r="G107" s="106"/>
    </row>
    <row r="108" spans="2:7" ht="14.25">
      <c r="B108" s="76"/>
      <c r="E108" s="65"/>
      <c r="F108" s="124"/>
      <c r="G108" s="106"/>
    </row>
    <row r="109" spans="2:7" ht="15.75">
      <c r="B109" s="79" t="s">
        <v>81</v>
      </c>
      <c r="C109" s="63"/>
      <c r="D109" s="63"/>
      <c r="E109" s="77"/>
      <c r="F109" s="124">
        <f>111976.37*4.4/100</f>
        <v>4926.96028</v>
      </c>
      <c r="G109" s="120">
        <f>F109</f>
        <v>4926.96028</v>
      </c>
    </row>
    <row r="110" spans="2:7" ht="12">
      <c r="B110" s="76"/>
      <c r="E110" s="65"/>
      <c r="F110" s="95"/>
      <c r="G110" s="106"/>
    </row>
    <row r="111" spans="2:7" ht="15.75">
      <c r="B111" s="57"/>
      <c r="E111" s="80" t="s">
        <v>82</v>
      </c>
      <c r="F111" s="95"/>
      <c r="G111" s="125">
        <f>G92+G95-G101+G103-G109</f>
        <v>95752.28955999992</v>
      </c>
    </row>
    <row r="112" spans="2:7" ht="12">
      <c r="B112" s="81"/>
      <c r="C112" s="82"/>
      <c r="D112" s="82"/>
      <c r="E112" s="83"/>
      <c r="F112" s="107"/>
      <c r="G112" s="108"/>
    </row>
  </sheetData>
  <mergeCells count="5">
    <mergeCell ref="D106:E106"/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gascari</cp:lastModifiedBy>
  <cp:lastPrinted>2005-06-03T15:27:28Z</cp:lastPrinted>
  <dcterms:created xsi:type="dcterms:W3CDTF">1997-08-28T16:58:31Z</dcterms:created>
  <dcterms:modified xsi:type="dcterms:W3CDTF">2005-10-06T12:18:28Z</dcterms:modified>
  <cp:category/>
  <cp:version/>
  <cp:contentType/>
  <cp:contentStatus/>
</cp:coreProperties>
</file>