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76" yWindow="105" windowWidth="9690" windowHeight="7290" tabRatio="737" activeTab="1"/>
  </bookViews>
  <sheets>
    <sheet name="Foglio1" sheetId="1" r:id="rId1"/>
    <sheet name="BILANCIO CEE ASPEF 04" sheetId="2" r:id="rId2"/>
  </sheets>
  <definedNames>
    <definedName name="_xlnm.Print_Area" localSheetId="1">'BILANCIO CEE ASPEF 04'!$B$1:$I$464</definedName>
    <definedName name="_xlnm.Print_Titles" localSheetId="1">'BILANCIO CEE ASPEF 04'!$1:$1</definedName>
  </definedNames>
  <calcPr fullCalcOnLoad="1"/>
</workbook>
</file>

<file path=xl/comments2.xml><?xml version="1.0" encoding="utf-8"?>
<comments xmlns="http://schemas.openxmlformats.org/spreadsheetml/2006/main">
  <authors>
    <author>PAOLO</author>
  </authors>
  <commentList>
    <comment ref="F358" authorId="0">
      <text>
        <r>
          <rPr>
            <sz val="8"/>
            <rFont val="Tahoma"/>
            <family val="0"/>
          </rPr>
          <t xml:space="preserve">tolto lavoro interinale e messo tra i servizi RSA este e bianchi
</t>
        </r>
      </text>
    </comment>
    <comment ref="F102" authorId="0">
      <text>
        <r>
          <rPr>
            <b/>
            <sz val="8"/>
            <rFont val="Tahoma"/>
            <family val="0"/>
          </rPr>
          <t>farmacie:
684.673,26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<sst xmlns="http://schemas.openxmlformats.org/spreadsheetml/2006/main" count="642" uniqueCount="333">
  <si>
    <t>STATO PATRIMONIALE</t>
  </si>
  <si>
    <t>ATTIVO</t>
  </si>
  <si>
    <t>PARZIALE</t>
  </si>
  <si>
    <t>INTERMEDIO</t>
  </si>
  <si>
    <t xml:space="preserve"> </t>
  </si>
  <si>
    <t>B) Immobilizzazioni:</t>
  </si>
  <si>
    <t>I - Immobilizzazioni immateriali:</t>
  </si>
  <si>
    <t>1) costi di impianto e di ampliamento;</t>
  </si>
  <si>
    <t>meno: fondo ammortamento</t>
  </si>
  <si>
    <t>2) costi di ricerca, di sviluppo e di pubblicità</t>
  </si>
  <si>
    <t>3) diritti di brevetto industriale e diritti di</t>
  </si>
  <si>
    <t>utilizzazione opere dell'ingegno;</t>
  </si>
  <si>
    <t>4) concessioni, licenze, marchi e diritti simili</t>
  </si>
  <si>
    <t>5) avviamento;</t>
  </si>
  <si>
    <t>6) immobilizzazioni in corso e acconti;</t>
  </si>
  <si>
    <t xml:space="preserve">7) altre </t>
  </si>
  <si>
    <t>II - Immobilizzazioni materiali:</t>
  </si>
  <si>
    <t>1) terreni e fabbricati;</t>
  </si>
  <si>
    <t>costruzioni leggere</t>
  </si>
  <si>
    <t>2) impianti e macchinari;</t>
  </si>
  <si>
    <t>impianti e macchinari specifici</t>
  </si>
  <si>
    <t>impianti e macchinari generici</t>
  </si>
  <si>
    <t>3) attrezzature industriali e commerciali;</t>
  </si>
  <si>
    <t>automezzi e autovetture</t>
  </si>
  <si>
    <t>macchine elettroniche</t>
  </si>
  <si>
    <t>attrezzature varie</t>
  </si>
  <si>
    <t>4) altri beni</t>
  </si>
  <si>
    <t>5) immobilizzazioni in corso e acconti.</t>
  </si>
  <si>
    <t>III - Immobilizzazioni finanziarie, con separata</t>
  </si>
  <si>
    <t>indicazione,per ciascuna voce dei crediti e</t>
  </si>
  <si>
    <t>importi esigibili entro l'esercizio successivo</t>
  </si>
  <si>
    <t xml:space="preserve">1) partecipazioni in: </t>
  </si>
  <si>
    <t>a) imprese controllate;</t>
  </si>
  <si>
    <t>b) imprese collegate;</t>
  </si>
  <si>
    <t>meno fondo svalutazione partecipazioni</t>
  </si>
  <si>
    <t>2) crediti:</t>
  </si>
  <si>
    <t>Entro 12 mesi</t>
  </si>
  <si>
    <t>Oltre 12 mesi</t>
  </si>
  <si>
    <t>a) verso imprese controllate;</t>
  </si>
  <si>
    <t>b) verso imprese collegate;</t>
  </si>
  <si>
    <t xml:space="preserve">3) altri titoli;          </t>
  </si>
  <si>
    <t>C) Attivo circolante:</t>
  </si>
  <si>
    <t>I - Rimanenze:</t>
  </si>
  <si>
    <t>1) materie prime, sussidiarie e consumo;</t>
  </si>
  <si>
    <t xml:space="preserve">2) prodotti in corso di lavoraz. e semilav. </t>
  </si>
  <si>
    <t>3) lavori in corso su ordinazione;</t>
  </si>
  <si>
    <t>4) prodotti finiti e merci;</t>
  </si>
  <si>
    <t>5) acconti.</t>
  </si>
  <si>
    <t>II - Crediti, con separata indicazione, per ciascuna</t>
  </si>
  <si>
    <t>voce, degli importi esigibili oltre l'esercizio</t>
  </si>
  <si>
    <t>1) verso clienti;</t>
  </si>
  <si>
    <t xml:space="preserve">     fatture da emettere</t>
  </si>
  <si>
    <t>meno fondo svalutazione crediti</t>
  </si>
  <si>
    <t>2) verso imprese controllate;</t>
  </si>
  <si>
    <t>3) verso imprese collegate;</t>
  </si>
  <si>
    <t>5) verso altri.</t>
  </si>
  <si>
    <t>III - Attività finanziarie che non sono immobilizz.</t>
  </si>
  <si>
    <t>1) partecipazioni in imprese controllate;</t>
  </si>
  <si>
    <t>2) partecipazioni in imprese collegate;</t>
  </si>
  <si>
    <t>IV - Disponibilità liquide:</t>
  </si>
  <si>
    <t>2) assegni;</t>
  </si>
  <si>
    <t>3) danaro e valori in cassa.</t>
  </si>
  <si>
    <t>D) Ratei e risconti, con separata indicazione</t>
  </si>
  <si>
    <t>del disaggio sui prestiti.</t>
  </si>
  <si>
    <t>1) Ratei attivi</t>
  </si>
  <si>
    <t>2) Risconti attivi</t>
  </si>
  <si>
    <t>TOTALE DELLE ATTIVITA'</t>
  </si>
  <si>
    <t>PASSIVO</t>
  </si>
  <si>
    <t>A) Patrimonio netto:</t>
  </si>
  <si>
    <t>III - Riserva di rivalutazione;</t>
  </si>
  <si>
    <t>IV - Riserva legale;</t>
  </si>
  <si>
    <t>VII - Altre riserve, distintamente indicate;</t>
  </si>
  <si>
    <t>VIII - Utili (perdite) portati a nuovo;</t>
  </si>
  <si>
    <t>perdite portate a nuovo</t>
  </si>
  <si>
    <t>utili portati a nuovo</t>
  </si>
  <si>
    <t>XI - Utile (perdita) d'esercizio.</t>
  </si>
  <si>
    <t>B) Fondi per rischi e oneri:</t>
  </si>
  <si>
    <t>1) trattamento di quiescenza e obblighi simili;</t>
  </si>
  <si>
    <t>3) altri.</t>
  </si>
  <si>
    <t>C)Trattamento di fine rapporto di lavoro</t>
  </si>
  <si>
    <t>subordinato</t>
  </si>
  <si>
    <t>D) Debiti, con separata indicazione, per cia-</t>
  </si>
  <si>
    <t>scuna voce, degli importi esigibili oltre</t>
  </si>
  <si>
    <t>l'esercizio successivo:</t>
  </si>
  <si>
    <t>1) obbligazioni;</t>
  </si>
  <si>
    <t xml:space="preserve">sociale; </t>
  </si>
  <si>
    <t xml:space="preserve">inps  v/istituti previdenziali </t>
  </si>
  <si>
    <t>altri debiti</t>
  </si>
  <si>
    <t>E) Ratei e risconti, con separata indicazione</t>
  </si>
  <si>
    <t xml:space="preserve">dell'aggio sui prestiti. </t>
  </si>
  <si>
    <t>1) Ratei passivi</t>
  </si>
  <si>
    <t>2) Risconti passivi</t>
  </si>
  <si>
    <t>TOTALE DELLE PASSIVITA'</t>
  </si>
  <si>
    <t>CONTO ECONOMICO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</si>
  <si>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</si>
  <si>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</si>
  <si>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</si>
  <si>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</si>
  <si>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</si>
  <si>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</si>
  <si>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</si>
  <si>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</si>
  <si>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</si>
  <si>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</si>
  <si>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</si>
  <si>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</si>
  <si>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</si>
  <si>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</si>
  <si>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</si>
  <si>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</si>
  <si>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</si>
  <si>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</si>
  <si>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</si>
  <si>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</si>
  <si>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</si>
  <si>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</si>
  <si>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</si>
  <si>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</si>
  <si>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</si>
  <si>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</si>
  <si>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</si>
  <si>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</si>
  <si>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</si>
  <si>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</si>
  <si>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</si>
  <si>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</si>
  <si>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</si>
  <si>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</si>
  <si>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</si>
  <si>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</si>
  <si>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</si>
  <si>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</si>
  <si>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</si>
  <si>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</si>
  <si>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</si>
  <si>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</si>
  <si>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</si>
  <si>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</si>
  <si>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</si>
  <si>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</si>
  <si>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</si>
  <si>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</si>
  <si>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 xml:space="preserve"> -   altri proventi finanziari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</si>
  <si>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</si>
  <si>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</si>
  <si>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</si>
  <si>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</si>
  <si>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</si>
  <si>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</si>
  <si>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</si>
  <si>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</si>
  <si>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</si>
  <si>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</si>
  <si>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</si>
  <si>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</si>
  <si>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</si>
  <si>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</si>
  <si>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</si>
  <si>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</si>
  <si>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</si>
  <si>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</si>
  <si>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</si>
  <si>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</si>
  <si>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</si>
  <si>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</si>
  <si>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23) utile (perdita) dell'esercizio.</t>
  </si>
  <si>
    <t>S.A.D.</t>
  </si>
  <si>
    <t>IRAP</t>
  </si>
  <si>
    <t>Farmacia 2 Pini</t>
  </si>
  <si>
    <t>Farmacia Gramsci</t>
  </si>
  <si>
    <t>Nuoto disabili</t>
  </si>
  <si>
    <t>per capitale di dotazione deliberato da versare</t>
  </si>
  <si>
    <t xml:space="preserve">        A.S.P.e F. Azienda Servizi alla Persona e alla Famiglia</t>
  </si>
  <si>
    <t>redatto secondo il Decreto del Ministero del Tesoro 26.04.1995</t>
  </si>
  <si>
    <t>* fatture da emettere</t>
  </si>
  <si>
    <t>1) depositi bancari e postali presso:</t>
  </si>
  <si>
    <t>I - Capitale di dotazione;</t>
  </si>
  <si>
    <t>* fatture da ricevere</t>
  </si>
  <si>
    <t>* fornitori</t>
  </si>
  <si>
    <t xml:space="preserve"> - da Ente pubblico di riferimento</t>
  </si>
  <si>
    <t>trollate e collegate</t>
  </si>
  <si>
    <t>* plusvalenze da alienazioni</t>
  </si>
  <si>
    <t>* sopravv. attive e insuss. passive</t>
  </si>
  <si>
    <t>* altre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</si>
  <si>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</si>
  <si>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</si>
  <si>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</si>
  <si>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</si>
  <si>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</si>
  <si>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</si>
  <si>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* Farmacia 2 Pini</t>
  </si>
  <si>
    <t>* Farmacia Gramsci</t>
  </si>
  <si>
    <t>* R.S.A.</t>
  </si>
  <si>
    <t>* cassa economale</t>
  </si>
  <si>
    <t>* cassa farmacia 2 Pini</t>
  </si>
  <si>
    <t>* cassa farmacia Gramsci</t>
  </si>
  <si>
    <t xml:space="preserve">depositi cauzionali </t>
  </si>
  <si>
    <t>erario c/Irap</t>
  </si>
  <si>
    <t>trattenute sindacali su retribuzioni</t>
  </si>
  <si>
    <t>trattenute volontarie su retribuzioni</t>
  </si>
  <si>
    <t>* note di accredito da emettere</t>
  </si>
  <si>
    <t>* note accredito da ricevere</t>
  </si>
  <si>
    <t>* clienti</t>
  </si>
  <si>
    <t>* crediti documentati da fatture</t>
  </si>
  <si>
    <t xml:space="preserve">ASL c/fatture da emettere </t>
  </si>
  <si>
    <t>ASL c/crediti documentati da fatture</t>
  </si>
  <si>
    <t>Compensi C.d.A.</t>
  </si>
  <si>
    <t>Compensi Collegio revisori</t>
  </si>
  <si>
    <t xml:space="preserve">* </t>
  </si>
  <si>
    <t>e - altri costi per il personale</t>
  </si>
  <si>
    <t>terreni</t>
  </si>
  <si>
    <t xml:space="preserve">fabbricati </t>
  </si>
  <si>
    <t>fabbricati</t>
  </si>
  <si>
    <t>arredamento</t>
  </si>
  <si>
    <t>mobili e macchine ufficio</t>
  </si>
  <si>
    <t>Altri crediti diversi</t>
  </si>
  <si>
    <t>fondo rinnovo impianti</t>
  </si>
  <si>
    <t>debiti v/inps c/gest. sep.</t>
  </si>
  <si>
    <t>erario c/ritenute lavoro dipendente</t>
  </si>
  <si>
    <t>erario c/ritenute</t>
  </si>
  <si>
    <t xml:space="preserve">altri beni </t>
  </si>
  <si>
    <t>Ristorazione</t>
  </si>
  <si>
    <t>Centro Diurno Integrato</t>
  </si>
  <si>
    <t>fondo sviluppo investimenti</t>
  </si>
  <si>
    <t>* Ristorazione</t>
  </si>
  <si>
    <t>Cauzioni</t>
  </si>
  <si>
    <t>Erario c/Irap</t>
  </si>
  <si>
    <t>Erario c/Irpeg per ritenute subite</t>
  </si>
  <si>
    <r>
      <t xml:space="preserve">Ristorazione </t>
    </r>
    <r>
      <rPr>
        <sz val="8"/>
        <rFont val="Geneva"/>
        <family val="0"/>
      </rPr>
      <t>(*vedi nota integrativa)</t>
    </r>
  </si>
  <si>
    <t>Pensionato Sociale</t>
  </si>
  <si>
    <t>Comunità alloggio Handicap</t>
  </si>
  <si>
    <t>* Banco Posta</t>
  </si>
  <si>
    <t>erario c/imposta sostitutiva T.f.r.</t>
  </si>
  <si>
    <t>Franchigia ospiti</t>
  </si>
  <si>
    <t>inps c/pensioni ospiti</t>
  </si>
  <si>
    <t>debito v/inail</t>
  </si>
  <si>
    <t>dipendenti c/retribuzioni</t>
  </si>
  <si>
    <t>Altri ricavi e proventi</t>
  </si>
  <si>
    <t>Dormitorio / Semipensionato</t>
  </si>
  <si>
    <t>Agenzia di locazione</t>
  </si>
  <si>
    <t>Servizio Trasporto Protetto</t>
  </si>
  <si>
    <t>Area Minori (ex C.a.g. e SADM)</t>
  </si>
  <si>
    <t>Comunità Alloggio Handicap</t>
  </si>
  <si>
    <t>Costi comuni</t>
  </si>
  <si>
    <t>erario c/iva</t>
  </si>
  <si>
    <t>Credito vs. Inail</t>
  </si>
  <si>
    <t>dotaz</t>
  </si>
  <si>
    <t>contr c/manut</t>
  </si>
  <si>
    <t>contr regione</t>
  </si>
  <si>
    <t>dormit handi</t>
  </si>
  <si>
    <t>cag all pro</t>
  </si>
  <si>
    <t>pensionato</t>
  </si>
  <si>
    <t>contrib famiglia</t>
  </si>
  <si>
    <t>giroc 5-6</t>
  </si>
  <si>
    <t>giroc sic</t>
  </si>
  <si>
    <t>giroc immigr</t>
  </si>
  <si>
    <t>beni mob</t>
  </si>
  <si>
    <t>altri beni</t>
  </si>
  <si>
    <t>giacenze</t>
  </si>
  <si>
    <t>immobili</t>
  </si>
  <si>
    <t>TOT 31 12 2001</t>
  </si>
  <si>
    <t>capitale dotazione</t>
  </si>
  <si>
    <t>sicurezza</t>
  </si>
  <si>
    <t>sicurezza 2001</t>
  </si>
  <si>
    <t>facciate 2001</t>
  </si>
  <si>
    <t>5 -6 piano 2001</t>
  </si>
  <si>
    <t>5 -6 piano 1999</t>
  </si>
  <si>
    <t>sicurezza 1999</t>
  </si>
  <si>
    <t>31 -12 2001</t>
  </si>
  <si>
    <t>totale</t>
  </si>
  <si>
    <t>facciate 2002</t>
  </si>
  <si>
    <t>massobrio 2002</t>
  </si>
  <si>
    <t>5 -6 piano 2002</t>
  </si>
  <si>
    <t xml:space="preserve">famiglia </t>
  </si>
  <si>
    <t>lavori 5-6</t>
  </si>
  <si>
    <t>PATR NETT</t>
  </si>
  <si>
    <t>* Tesoriere Banca Agricola Mantovana</t>
  </si>
  <si>
    <t>* Bam c/Farmacia Due Pini</t>
  </si>
  <si>
    <t>* Bam c/ Farmacia Gramsci</t>
  </si>
  <si>
    <t>* Bam c/RSA</t>
  </si>
  <si>
    <t>* Bam c/SAD</t>
  </si>
  <si>
    <t>* Bam c/Nuoto Disabili</t>
  </si>
  <si>
    <t>altre trattenute su retribuzioni</t>
  </si>
  <si>
    <t>CONTROLLO</t>
  </si>
  <si>
    <t>* imposte da condono</t>
  </si>
  <si>
    <t xml:space="preserve">altri </t>
  </si>
  <si>
    <t>CONTI D'ORDINE</t>
  </si>
  <si>
    <t>TOTALE GENERALE</t>
  </si>
  <si>
    <t>Garanzie a terzi per fidejussioni concesse</t>
  </si>
  <si>
    <t>Ente pubblico c/conferimento Capitale di dotazione</t>
  </si>
  <si>
    <t>Altri</t>
  </si>
  <si>
    <t>BILANCIO AL 31 DICEMBRE 2004</t>
  </si>
  <si>
    <t>BILANCIO DELL'ESERCIZIO CHIUSO AL 31 DICEMBRE 2004</t>
  </si>
  <si>
    <t>4bis) per crediti tributari</t>
  </si>
  <si>
    <t>4ter) per imposte anticipate</t>
  </si>
  <si>
    <t>3) partecipazioni in imprese controllanti;</t>
  </si>
  <si>
    <t>5) azioni proprie</t>
  </si>
  <si>
    <t>6) altri titoli.</t>
  </si>
  <si>
    <t>4) altre partecipazioni;</t>
  </si>
  <si>
    <t xml:space="preserve">4) azioni proprie;          </t>
  </si>
  <si>
    <t>d) altre imprese;</t>
  </si>
  <si>
    <t>d) verso altri;</t>
  </si>
  <si>
    <t>V - Riserve statutarie;</t>
  </si>
  <si>
    <t>VI - Riserva per azioni proprie in portafoglio</t>
  </si>
  <si>
    <t>II - Riserva di sovrapprezzo azioni</t>
  </si>
  <si>
    <t>2) per imposte, anche differite;</t>
  </si>
  <si>
    <t>2) obbligazioni convertibili</t>
  </si>
  <si>
    <t>3) debiti verso soci per finanziamenti</t>
  </si>
  <si>
    <t>4) debiti verso banche;</t>
  </si>
  <si>
    <t xml:space="preserve">5) debiti verso altri finanziatori; </t>
  </si>
  <si>
    <t xml:space="preserve">6) acconti; </t>
  </si>
  <si>
    <t>7) debiti verso fornitori;</t>
  </si>
  <si>
    <t>8) debiti rappresentati da titoli di credito;</t>
  </si>
  <si>
    <t>9) debiti verso imprese controllate;</t>
  </si>
  <si>
    <t>10) debiti verso imprese collegate;</t>
  </si>
  <si>
    <t>12) debiti tributari;</t>
  </si>
  <si>
    <t>13) debiti verso istituti di previdenza e di sicurezza</t>
  </si>
  <si>
    <t>14) altri debiti.</t>
  </si>
  <si>
    <t>17bis) utili e perdite su cambi</t>
  </si>
  <si>
    <t xml:space="preserve">22) imposte sul reddito dell'esercizio, correnti, </t>
  </si>
  <si>
    <t>differite e anticipate</t>
  </si>
  <si>
    <t>IRES</t>
  </si>
  <si>
    <t>R.S.A. Isabella d'Este</t>
  </si>
  <si>
    <t>R.S.A. Luigi Bianchi</t>
  </si>
  <si>
    <t>di cui: contributi in conto esercizio</t>
  </si>
  <si>
    <t>A) Crediti verso Ente Pubblico di riferimento</t>
  </si>
  <si>
    <t>c) ente pubblico di riferimento;</t>
  </si>
  <si>
    <t>4) verso ente pubblico di riferimento;</t>
  </si>
  <si>
    <t>11) debiti verso ente pubblico di riferimento;</t>
  </si>
  <si>
    <t>e conforme agli articoli 2423 e seguenti del Codice Civile</t>
  </si>
  <si>
    <t>Erario c/Iva</t>
  </si>
  <si>
    <t>* mutui passivi</t>
  </si>
  <si>
    <t>Spese per lavoro interinale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</si>
</sst>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#,##0.0"/>
    <numFmt numFmtId="181" formatCode="[$€]\ #,##0.00;[Red]&quot;-&quot;[$€]\ #,##0.00"/>
    <numFmt numFmtId="182" formatCode="#,##0.00\ [$€-1];[Red]#,##0.00\ [$€-1]"/>
  </numFmts>
  <fonts count="27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u val="single"/>
      <sz val="10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b/>
      <u val="single"/>
      <sz val="10"/>
      <name val="Geneva"/>
      <family val="0"/>
    </font>
    <font>
      <i/>
      <sz val="9"/>
      <name val="Geneva"/>
      <family val="0"/>
    </font>
    <font>
      <u val="single"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8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Geneva"/>
      <family val="0"/>
    </font>
    <font>
      <b/>
      <i/>
      <sz val="11"/>
      <name val="Geneva"/>
      <family val="0"/>
    </font>
    <font>
      <b/>
      <i/>
      <sz val="12"/>
      <name val="Geneva"/>
      <family val="0"/>
    </font>
    <font>
      <sz val="11"/>
      <name val="Geneva"/>
      <family val="0"/>
    </font>
    <font>
      <i/>
      <sz val="11"/>
      <name val="Geneva"/>
      <family val="0"/>
    </font>
    <font>
      <b/>
      <sz val="1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3" fontId="1" fillId="0" borderId="6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3" fontId="0" fillId="0" borderId="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>
      <alignment/>
    </xf>
    <xf numFmtId="0" fontId="15" fillId="0" borderId="5" xfId="0" applyFont="1" applyFill="1" applyBorder="1" applyAlignment="1" applyProtection="1">
      <alignment/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3" fontId="5" fillId="0" borderId="8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3" fontId="16" fillId="0" borderId="8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0" fillId="2" borderId="6" xfId="0" applyNumberFormat="1" applyFill="1" applyBorder="1" applyAlignment="1" applyProtection="1">
      <alignment/>
      <protection locked="0"/>
    </xf>
    <xf numFmtId="3" fontId="9" fillId="2" borderId="6" xfId="0" applyNumberFormat="1" applyFont="1" applyFill="1" applyBorder="1" applyAlignment="1" applyProtection="1">
      <alignment/>
      <protection locked="0"/>
    </xf>
    <xf numFmtId="3" fontId="11" fillId="2" borderId="6" xfId="0" applyNumberFormat="1" applyFont="1" applyFill="1" applyBorder="1" applyAlignment="1" applyProtection="1">
      <alignment horizontal="right"/>
      <protection locked="0"/>
    </xf>
    <xf numFmtId="3" fontId="0" fillId="2" borderId="6" xfId="0" applyNumberFormat="1" applyFont="1" applyFill="1" applyBorder="1" applyAlignment="1" applyProtection="1">
      <alignment/>
      <protection locked="0"/>
    </xf>
    <xf numFmtId="3" fontId="11" fillId="2" borderId="6" xfId="0" applyNumberFormat="1" applyFont="1" applyFill="1" applyBorder="1" applyAlignment="1" applyProtection="1">
      <alignment/>
      <protection locked="0"/>
    </xf>
    <xf numFmtId="3" fontId="2" fillId="2" borderId="6" xfId="0" applyNumberFormat="1" applyFont="1" applyFill="1" applyBorder="1" applyAlignment="1" applyProtection="1">
      <alignment/>
      <protection locked="0"/>
    </xf>
    <xf numFmtId="3" fontId="4" fillId="2" borderId="6" xfId="0" applyNumberFormat="1" applyFont="1" applyFill="1" applyBorder="1" applyAlignment="1" applyProtection="1">
      <alignment/>
      <protection locked="0"/>
    </xf>
    <xf numFmtId="3" fontId="1" fillId="2" borderId="6" xfId="0" applyNumberFormat="1" applyFont="1" applyFill="1" applyBorder="1" applyAlignment="1" applyProtection="1">
      <alignment/>
      <protection locked="0"/>
    </xf>
    <xf numFmtId="3" fontId="13" fillId="2" borderId="6" xfId="0" applyNumberFormat="1" applyFont="1" applyFill="1" applyBorder="1" applyAlignment="1" applyProtection="1">
      <alignment/>
      <protection locked="0"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3" fontId="0" fillId="2" borderId="20" xfId="0" applyNumberFormat="1" applyFill="1" applyBorder="1" applyAlignment="1" applyProtection="1">
      <alignment/>
      <protection locked="0"/>
    </xf>
    <xf numFmtId="3" fontId="14" fillId="2" borderId="6" xfId="0" applyNumberFormat="1" applyFon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1" fillId="0" borderId="6" xfId="0" applyNumberFormat="1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4" fontId="14" fillId="0" borderId="4" xfId="0" applyNumberFormat="1" applyFont="1" applyFill="1" applyBorder="1" applyAlignment="1" applyProtection="1">
      <alignment/>
      <protection/>
    </xf>
    <xf numFmtId="4" fontId="14" fillId="0" borderId="6" xfId="0" applyNumberFormat="1" applyFont="1" applyFill="1" applyBorder="1" applyAlignment="1" applyProtection="1">
      <alignment/>
      <protection locked="0"/>
    </xf>
    <xf numFmtId="4" fontId="14" fillId="0" borderId="6" xfId="0" applyNumberFormat="1" applyFont="1" applyFill="1" applyBorder="1" applyAlignment="1" applyProtection="1">
      <alignment/>
      <protection/>
    </xf>
    <xf numFmtId="4" fontId="0" fillId="0" borderId="6" xfId="0" applyNumberFormat="1" applyFill="1" applyBorder="1" applyAlignment="1" applyProtection="1">
      <alignment/>
      <protection locked="0"/>
    </xf>
    <xf numFmtId="4" fontId="14" fillId="0" borderId="5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0" xfId="0" applyNumberFormat="1" applyFill="1" applyBorder="1" applyAlignment="1" applyProtection="1">
      <alignment/>
      <protection locked="0"/>
    </xf>
    <xf numFmtId="4" fontId="0" fillId="0" borderId="6" xfId="0" applyNumberFormat="1" applyFill="1" applyBorder="1" applyAlignment="1" applyProtection="1">
      <alignment/>
      <protection/>
    </xf>
    <xf numFmtId="4" fontId="9" fillId="0" borderId="6" xfId="0" applyNumberFormat="1" applyFont="1" applyFill="1" applyBorder="1" applyAlignment="1" applyProtection="1">
      <alignment/>
      <protection locked="0"/>
    </xf>
    <xf numFmtId="4" fontId="14" fillId="0" borderId="21" xfId="0" applyNumberFormat="1" applyFont="1" applyFill="1" applyBorder="1" applyAlignment="1" applyProtection="1">
      <alignment/>
      <protection locked="0"/>
    </xf>
    <xf numFmtId="4" fontId="14" fillId="0" borderId="22" xfId="0" applyNumberFormat="1" applyFon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/>
    </xf>
    <xf numFmtId="4" fontId="14" fillId="0" borderId="4" xfId="0" applyNumberFormat="1" applyFont="1" applyBorder="1" applyAlignment="1" applyProtection="1">
      <alignment horizontal="right"/>
      <protection locked="0"/>
    </xf>
    <xf numFmtId="4" fontId="0" fillId="0" borderId="24" xfId="0" applyNumberFormat="1" applyFill="1" applyBorder="1" applyAlignment="1" applyProtection="1">
      <alignment/>
      <protection locked="0"/>
    </xf>
    <xf numFmtId="4" fontId="14" fillId="0" borderId="25" xfId="0" applyNumberFormat="1" applyFon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 locked="0"/>
    </xf>
    <xf numFmtId="4" fontId="0" fillId="0" borderId="26" xfId="0" applyNumberFormat="1" applyFill="1" applyBorder="1" applyAlignment="1" applyProtection="1">
      <alignment/>
      <protection locked="0"/>
    </xf>
    <xf numFmtId="4" fontId="1" fillId="0" borderId="6" xfId="0" applyNumberFormat="1" applyFont="1" applyFill="1" applyBorder="1" applyAlignment="1" applyProtection="1">
      <alignment/>
      <protection locked="0"/>
    </xf>
    <xf numFmtId="4" fontId="4" fillId="0" borderId="26" xfId="0" applyNumberFormat="1" applyFont="1" applyFill="1" applyBorder="1" applyAlignment="1" applyProtection="1">
      <alignment/>
      <protection locked="0"/>
    </xf>
    <xf numFmtId="4" fontId="4" fillId="0" borderId="6" xfId="0" applyNumberFormat="1" applyFont="1" applyFill="1" applyBorder="1" applyAlignment="1" applyProtection="1">
      <alignment/>
      <protection locked="0"/>
    </xf>
    <xf numFmtId="4" fontId="1" fillId="2" borderId="6" xfId="0" applyNumberFormat="1" applyFont="1" applyFill="1" applyBorder="1" applyAlignment="1" applyProtection="1">
      <alignment/>
      <protection locked="0"/>
    </xf>
    <xf numFmtId="4" fontId="0" fillId="2" borderId="6" xfId="0" applyNumberFormat="1" applyFont="1" applyFill="1" applyBorder="1" applyAlignment="1" applyProtection="1">
      <alignment/>
      <protection locked="0"/>
    </xf>
    <xf numFmtId="4" fontId="0" fillId="2" borderId="6" xfId="0" applyNumberFormat="1" applyFill="1" applyBorder="1" applyAlignment="1" applyProtection="1">
      <alignment/>
      <protection locked="0"/>
    </xf>
    <xf numFmtId="4" fontId="14" fillId="2" borderId="6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4" fontId="9" fillId="2" borderId="6" xfId="0" applyNumberFormat="1" applyFont="1" applyFill="1" applyBorder="1" applyAlignment="1" applyProtection="1">
      <alignment/>
      <protection locked="0"/>
    </xf>
    <xf numFmtId="4" fontId="14" fillId="2" borderId="21" xfId="0" applyNumberFormat="1" applyFont="1" applyFill="1" applyBorder="1" applyAlignment="1" applyProtection="1">
      <alignment/>
      <protection locked="0"/>
    </xf>
    <xf numFmtId="4" fontId="14" fillId="2" borderId="22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4" fontId="0" fillId="2" borderId="23" xfId="0" applyNumberFormat="1" applyFill="1" applyBorder="1" applyAlignment="1" applyProtection="1">
      <alignment/>
      <protection locked="0"/>
    </xf>
    <xf numFmtId="4" fontId="0" fillId="2" borderId="21" xfId="0" applyNumberFormat="1" applyFill="1" applyBorder="1" applyAlignment="1" applyProtection="1">
      <alignment/>
      <protection locked="0"/>
    </xf>
    <xf numFmtId="4" fontId="0" fillId="2" borderId="22" xfId="0" applyNumberFormat="1" applyFill="1" applyBorder="1" applyAlignment="1" applyProtection="1">
      <alignment/>
      <protection locked="0"/>
    </xf>
    <xf numFmtId="4" fontId="0" fillId="2" borderId="21" xfId="0" applyNumberFormat="1" applyFont="1" applyFill="1" applyBorder="1" applyAlignment="1" applyProtection="1">
      <alignment/>
      <protection/>
    </xf>
    <xf numFmtId="4" fontId="14" fillId="2" borderId="4" xfId="0" applyNumberFormat="1" applyFont="1" applyFill="1" applyBorder="1" applyAlignment="1" applyProtection="1">
      <alignment horizontal="right"/>
      <protection locked="0"/>
    </xf>
    <xf numFmtId="4" fontId="0" fillId="2" borderId="24" xfId="0" applyNumberFormat="1" applyFill="1" applyBorder="1" applyAlignment="1" applyProtection="1">
      <alignment/>
      <protection locked="0"/>
    </xf>
    <xf numFmtId="4" fontId="14" fillId="2" borderId="25" xfId="0" applyNumberFormat="1" applyFont="1" applyFill="1" applyBorder="1" applyAlignment="1" applyProtection="1">
      <alignment/>
      <protection locked="0"/>
    </xf>
    <xf numFmtId="4" fontId="0" fillId="2" borderId="5" xfId="0" applyNumberFormat="1" applyFill="1" applyBorder="1" applyAlignment="1" applyProtection="1">
      <alignment/>
      <protection locked="0"/>
    </xf>
    <xf numFmtId="4" fontId="0" fillId="2" borderId="26" xfId="0" applyNumberFormat="1" applyFill="1" applyBorder="1" applyAlignment="1" applyProtection="1">
      <alignment/>
      <protection locked="0"/>
    </xf>
    <xf numFmtId="4" fontId="1" fillId="2" borderId="6" xfId="0" applyNumberFormat="1" applyFont="1" applyFill="1" applyBorder="1" applyAlignment="1" applyProtection="1">
      <alignment/>
      <protection/>
    </xf>
    <xf numFmtId="4" fontId="4" fillId="2" borderId="26" xfId="0" applyNumberFormat="1" applyFont="1" applyFill="1" applyBorder="1" applyAlignment="1" applyProtection="1">
      <alignment/>
      <protection locked="0"/>
    </xf>
    <xf numFmtId="4" fontId="4" fillId="2" borderId="6" xfId="0" applyNumberFormat="1" applyFont="1" applyFill="1" applyBorder="1" applyAlignment="1" applyProtection="1">
      <alignment/>
      <protection locked="0"/>
    </xf>
    <xf numFmtId="4" fontId="0" fillId="0" borderId="6" xfId="0" applyNumberFormat="1" applyFill="1" applyBorder="1" applyAlignment="1" applyProtection="1">
      <alignment horizontal="left"/>
      <protection locked="0"/>
    </xf>
    <xf numFmtId="4" fontId="9" fillId="0" borderId="4" xfId="0" applyNumberFormat="1" applyFont="1" applyFill="1" applyBorder="1" applyAlignment="1" applyProtection="1">
      <alignment horizontal="left"/>
      <protection locked="0"/>
    </xf>
    <xf numFmtId="4" fontId="0" fillId="0" borderId="4" xfId="0" applyNumberFormat="1" applyFont="1" applyFill="1" applyBorder="1" applyAlignment="1" applyProtection="1">
      <alignment horizontal="left"/>
      <protection locked="0"/>
    </xf>
    <xf numFmtId="4" fontId="11" fillId="0" borderId="6" xfId="0" applyNumberFormat="1" applyFon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4" fontId="11" fillId="0" borderId="21" xfId="0" applyNumberFormat="1" applyFont="1" applyFill="1" applyBorder="1" applyAlignment="1" applyProtection="1">
      <alignment/>
      <protection locked="0"/>
    </xf>
    <xf numFmtId="4" fontId="11" fillId="0" borderId="4" xfId="0" applyNumberFormat="1" applyFont="1" applyFill="1" applyBorder="1" applyAlignment="1" applyProtection="1">
      <alignment horizontal="left"/>
      <protection locked="0"/>
    </xf>
    <xf numFmtId="4" fontId="11" fillId="0" borderId="4" xfId="0" applyNumberFormat="1" applyFont="1" applyFill="1" applyBorder="1" applyAlignment="1" applyProtection="1">
      <alignment/>
      <protection locked="0"/>
    </xf>
    <xf numFmtId="4" fontId="11" fillId="0" borderId="6" xfId="0" applyNumberFormat="1" applyFont="1" applyFill="1" applyBorder="1" applyAlignment="1" applyProtection="1">
      <alignment/>
      <protection locked="0"/>
    </xf>
    <xf numFmtId="4" fontId="9" fillId="0" borderId="4" xfId="0" applyNumberFormat="1" applyFont="1" applyFill="1" applyBorder="1" applyAlignment="1" applyProtection="1">
      <alignment/>
      <protection locked="0"/>
    </xf>
    <xf numFmtId="4" fontId="14" fillId="0" borderId="4" xfId="0" applyNumberFormat="1" applyFont="1" applyFill="1" applyBorder="1" applyAlignment="1" applyProtection="1">
      <alignment horizontal="right"/>
      <protection locked="0"/>
    </xf>
    <xf numFmtId="4" fontId="0" fillId="0" borderId="4" xfId="0" applyNumberFormat="1" applyFill="1" applyBorder="1" applyAlignment="1" applyProtection="1">
      <alignment horizontal="left"/>
      <protection locked="0"/>
    </xf>
    <xf numFmtId="4" fontId="14" fillId="0" borderId="4" xfId="0" applyNumberFormat="1" applyFont="1" applyFill="1" applyBorder="1" applyAlignment="1" applyProtection="1">
      <alignment/>
      <protection locked="0"/>
    </xf>
    <xf numFmtId="4" fontId="3" fillId="0" borderId="6" xfId="0" applyNumberFormat="1" applyFont="1" applyFill="1" applyBorder="1" applyAlignment="1" applyProtection="1">
      <alignment/>
      <protection/>
    </xf>
    <xf numFmtId="4" fontId="2" fillId="0" borderId="6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28" xfId="0" applyNumberForma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11" fillId="0" borderId="26" xfId="0" applyNumberFormat="1" applyFont="1" applyFill="1" applyBorder="1" applyAlignment="1" applyProtection="1">
      <alignment/>
      <protection locked="0"/>
    </xf>
    <xf numFmtId="4" fontId="3" fillId="0" borderId="4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3" fontId="0" fillId="3" borderId="0" xfId="0" applyNumberFormat="1" applyFill="1" applyAlignment="1">
      <alignment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181" fontId="9" fillId="0" borderId="0" xfId="15" applyFont="1" applyAlignment="1">
      <alignment horizontal="right"/>
    </xf>
    <xf numFmtId="181" fontId="0" fillId="0" borderId="0" xfId="15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81" fontId="9" fillId="0" borderId="0" xfId="15" applyFont="1" applyAlignment="1">
      <alignment/>
    </xf>
    <xf numFmtId="181" fontId="0" fillId="0" borderId="0" xfId="0" applyNumberFormat="1" applyAlignment="1">
      <alignment/>
    </xf>
    <xf numFmtId="181" fontId="0" fillId="3" borderId="0" xfId="15" applyFill="1" applyAlignment="1">
      <alignment horizontal="right"/>
    </xf>
    <xf numFmtId="182" fontId="17" fillId="0" borderId="0" xfId="0" applyNumberFormat="1" applyFont="1" applyAlignment="1">
      <alignment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25" xfId="0" applyNumberFormat="1" applyFont="1" applyFill="1" applyBorder="1" applyAlignment="1" applyProtection="1">
      <alignment/>
      <protection/>
    </xf>
    <xf numFmtId="4" fontId="1" fillId="2" borderId="25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8" fillId="0" borderId="2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4" fontId="3" fillId="2" borderId="29" xfId="0" applyNumberFormat="1" applyFont="1" applyFill="1" applyBorder="1" applyAlignment="1" applyProtection="1">
      <alignment horizontal="right"/>
      <protection locked="0"/>
    </xf>
    <xf numFmtId="4" fontId="3" fillId="2" borderId="5" xfId="0" applyNumberFormat="1" applyFont="1" applyFill="1" applyBorder="1" applyAlignment="1" applyProtection="1">
      <alignment horizontal="right"/>
      <protection locked="0"/>
    </xf>
    <xf numFmtId="4" fontId="0" fillId="0" borderId="6" xfId="0" applyNumberFormat="1" applyFont="1" applyFill="1" applyBorder="1" applyAlignment="1" applyProtection="1">
      <alignment/>
      <protection/>
    </xf>
    <xf numFmtId="4" fontId="0" fillId="2" borderId="6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4" fontId="15" fillId="0" borderId="6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/>
      <protection locked="0"/>
    </xf>
    <xf numFmtId="4" fontId="1" fillId="0" borderId="9" xfId="0" applyNumberFormat="1" applyFont="1" applyFill="1" applyBorder="1" applyAlignment="1" applyProtection="1">
      <alignment/>
      <protection locked="0"/>
    </xf>
    <xf numFmtId="4" fontId="1" fillId="0" borderId="24" xfId="0" applyNumberFormat="1" applyFont="1" applyFill="1" applyBorder="1" applyAlignment="1" applyProtection="1">
      <alignment/>
      <protection/>
    </xf>
    <xf numFmtId="4" fontId="1" fillId="2" borderId="24" xfId="0" applyNumberFormat="1" applyFont="1" applyFill="1" applyBorder="1" applyAlignment="1" applyProtection="1">
      <alignment horizontal="right"/>
      <protection locked="0"/>
    </xf>
    <xf numFmtId="0" fontId="9" fillId="0" borderId="8" xfId="0" applyFont="1" applyFill="1" applyBorder="1" applyAlignment="1" applyProtection="1">
      <alignment/>
      <protection locked="0"/>
    </xf>
    <xf numFmtId="4" fontId="1" fillId="2" borderId="26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4" fontId="22" fillId="2" borderId="6" xfId="0" applyNumberFormat="1" applyFont="1" applyFill="1" applyBorder="1" applyAlignment="1" applyProtection="1">
      <alignment horizontal="right"/>
      <protection locked="0"/>
    </xf>
    <xf numFmtId="4" fontId="23" fillId="0" borderId="6" xfId="0" applyNumberFormat="1" applyFont="1" applyFill="1" applyBorder="1" applyAlignment="1" applyProtection="1">
      <alignment horizontal="right"/>
      <protection/>
    </xf>
    <xf numFmtId="4" fontId="23" fillId="2" borderId="6" xfId="0" applyNumberFormat="1" applyFont="1" applyFill="1" applyBorder="1" applyAlignment="1" applyProtection="1">
      <alignment horizontal="right"/>
      <protection locked="0"/>
    </xf>
    <xf numFmtId="4" fontId="24" fillId="0" borderId="23" xfId="0" applyNumberFormat="1" applyFont="1" applyFill="1" applyBorder="1" applyAlignment="1" applyProtection="1">
      <alignment/>
      <protection locked="0"/>
    </xf>
    <xf numFmtId="4" fontId="24" fillId="0" borderId="4" xfId="0" applyNumberFormat="1" applyFont="1" applyFill="1" applyBorder="1" applyAlignment="1" applyProtection="1">
      <alignment/>
      <protection locked="0"/>
    </xf>
    <xf numFmtId="4" fontId="24" fillId="0" borderId="6" xfId="0" applyNumberFormat="1" applyFont="1" applyFill="1" applyBorder="1" applyAlignment="1" applyProtection="1">
      <alignment/>
      <protection locked="0"/>
    </xf>
    <xf numFmtId="4" fontId="24" fillId="0" borderId="21" xfId="0" applyNumberFormat="1" applyFont="1" applyFill="1" applyBorder="1" applyAlignment="1" applyProtection="1">
      <alignment/>
      <protection locked="0"/>
    </xf>
    <xf numFmtId="4" fontId="24" fillId="0" borderId="19" xfId="0" applyNumberFormat="1" applyFont="1" applyFill="1" applyBorder="1" applyAlignment="1" applyProtection="1">
      <alignment/>
      <protection locked="0"/>
    </xf>
    <xf numFmtId="4" fontId="24" fillId="0" borderId="25" xfId="0" applyNumberFormat="1" applyFont="1" applyFill="1" applyBorder="1" applyAlignment="1" applyProtection="1">
      <alignment/>
      <protection/>
    </xf>
    <xf numFmtId="4" fontId="24" fillId="2" borderId="25" xfId="0" applyNumberFormat="1" applyFont="1" applyFill="1" applyBorder="1" applyAlignment="1" applyProtection="1">
      <alignment horizontal="right"/>
      <protection locked="0"/>
    </xf>
    <xf numFmtId="4" fontId="22" fillId="0" borderId="6" xfId="0" applyNumberFormat="1" applyFont="1" applyFill="1" applyBorder="1" applyAlignment="1" applyProtection="1">
      <alignment horizontal="right"/>
      <protection locked="0"/>
    </xf>
    <xf numFmtId="4" fontId="4" fillId="0" borderId="21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" fontId="24" fillId="0" borderId="6" xfId="0" applyNumberFormat="1" applyFont="1" applyFill="1" applyBorder="1" applyAlignment="1" applyProtection="1">
      <alignment/>
      <protection/>
    </xf>
    <xf numFmtId="4" fontId="24" fillId="2" borderId="6" xfId="0" applyNumberFormat="1" applyFont="1" applyFill="1" applyBorder="1" applyAlignment="1" applyProtection="1">
      <alignment horizontal="right"/>
      <protection locked="0"/>
    </xf>
    <xf numFmtId="4" fontId="0" fillId="0" borderId="30" xfId="0" applyNumberFormat="1" applyFont="1" applyFill="1" applyBorder="1" applyAlignment="1" applyProtection="1">
      <alignment/>
      <protection locked="0"/>
    </xf>
    <xf numFmtId="4" fontId="24" fillId="0" borderId="20" xfId="0" applyNumberFormat="1" applyFont="1" applyFill="1" applyBorder="1" applyAlignment="1" applyProtection="1">
      <alignment/>
      <protection locked="0"/>
    </xf>
    <xf numFmtId="4" fontId="24" fillId="0" borderId="18" xfId="0" applyNumberFormat="1" applyFont="1" applyFill="1" applyBorder="1" applyAlignment="1" applyProtection="1">
      <alignment/>
      <protection locked="0"/>
    </xf>
    <xf numFmtId="4" fontId="24" fillId="0" borderId="26" xfId="0" applyNumberFormat="1" applyFont="1" applyFill="1" applyBorder="1" applyAlignment="1" applyProtection="1">
      <alignment/>
      <protection/>
    </xf>
    <xf numFmtId="4" fontId="24" fillId="2" borderId="26" xfId="0" applyNumberFormat="1" applyFont="1" applyFill="1" applyBorder="1" applyAlignment="1" applyProtection="1">
      <alignment horizontal="right"/>
      <protection locked="0"/>
    </xf>
    <xf numFmtId="4" fontId="24" fillId="0" borderId="7" xfId="0" applyNumberFormat="1" applyFont="1" applyFill="1" applyBorder="1" applyAlignment="1" applyProtection="1">
      <alignment horizontal="center"/>
      <protection locked="0"/>
    </xf>
    <xf numFmtId="4" fontId="25" fillId="0" borderId="6" xfId="0" applyNumberFormat="1" applyFont="1" applyFill="1" applyBorder="1" applyAlignment="1" applyProtection="1">
      <alignment/>
      <protection locked="0"/>
    </xf>
    <xf numFmtId="3" fontId="24" fillId="2" borderId="6" xfId="0" applyNumberFormat="1" applyFont="1" applyFill="1" applyBorder="1" applyAlignment="1" applyProtection="1">
      <alignment/>
      <protection locked="0"/>
    </xf>
    <xf numFmtId="4" fontId="24" fillId="0" borderId="31" xfId="0" applyNumberFormat="1" applyFont="1" applyFill="1" applyBorder="1" applyAlignment="1" applyProtection="1">
      <alignment/>
      <protection locked="0"/>
    </xf>
    <xf numFmtId="4" fontId="24" fillId="0" borderId="32" xfId="0" applyNumberFormat="1" applyFont="1" applyFill="1" applyBorder="1" applyAlignment="1" applyProtection="1">
      <alignment/>
      <protection locked="0"/>
    </xf>
    <xf numFmtId="4" fontId="24" fillId="0" borderId="33" xfId="0" applyNumberFormat="1" applyFont="1" applyFill="1" applyBorder="1" applyAlignment="1" applyProtection="1">
      <alignment/>
      <protection locked="0"/>
    </xf>
    <xf numFmtId="4" fontId="24" fillId="0" borderId="34" xfId="0" applyNumberFormat="1" applyFont="1" applyFill="1" applyBorder="1" applyAlignment="1" applyProtection="1">
      <alignment/>
      <protection locked="0"/>
    </xf>
    <xf numFmtId="4" fontId="24" fillId="0" borderId="35" xfId="0" applyNumberFormat="1" applyFont="1" applyFill="1" applyBorder="1" applyAlignment="1" applyProtection="1">
      <alignment/>
      <protection locked="0"/>
    </xf>
    <xf numFmtId="4" fontId="24" fillId="0" borderId="36" xfId="0" applyNumberFormat="1" applyFont="1" applyFill="1" applyBorder="1" applyAlignment="1" applyProtection="1">
      <alignment/>
      <protection locked="0"/>
    </xf>
    <xf numFmtId="4" fontId="26" fillId="0" borderId="6" xfId="0" applyNumberFormat="1" applyFont="1" applyFill="1" applyBorder="1" applyAlignment="1" applyProtection="1">
      <alignment/>
      <protection/>
    </xf>
    <xf numFmtId="4" fontId="26" fillId="2" borderId="6" xfId="0" applyNumberFormat="1" applyFont="1" applyFill="1" applyBorder="1" applyAlignment="1" applyProtection="1">
      <alignment horizontal="right"/>
      <protection locked="0"/>
    </xf>
    <xf numFmtId="4" fontId="24" fillId="0" borderId="26" xfId="0" applyNumberFormat="1" applyFont="1" applyFill="1" applyBorder="1" applyAlignment="1" applyProtection="1">
      <alignment/>
      <protection locked="0"/>
    </xf>
    <xf numFmtId="4" fontId="24" fillId="0" borderId="4" xfId="0" applyNumberFormat="1" applyFont="1" applyFill="1" applyBorder="1" applyAlignment="1" applyProtection="1">
      <alignment/>
      <protection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/>
      <protection locked="0"/>
    </xf>
    <xf numFmtId="4" fontId="24" fillId="0" borderId="28" xfId="0" applyNumberFormat="1" applyFont="1" applyFill="1" applyBorder="1" applyAlignment="1" applyProtection="1">
      <alignment/>
      <protection locked="0"/>
    </xf>
    <xf numFmtId="4" fontId="0" fillId="0" borderId="37" xfId="0" applyNumberFormat="1" applyFont="1" applyFill="1" applyBorder="1" applyAlignment="1" applyProtection="1">
      <alignment/>
      <protection locked="0"/>
    </xf>
    <xf numFmtId="4" fontId="0" fillId="0" borderId="35" xfId="0" applyNumberFormat="1" applyFont="1" applyFill="1" applyBorder="1" applyAlignment="1" applyProtection="1">
      <alignment/>
      <protection locked="0"/>
    </xf>
    <xf numFmtId="4" fontId="24" fillId="0" borderId="27" xfId="0" applyNumberFormat="1" applyFont="1" applyFill="1" applyBorder="1" applyAlignment="1" applyProtection="1">
      <alignment/>
      <protection locked="0"/>
    </xf>
    <xf numFmtId="3" fontId="24" fillId="0" borderId="6" xfId="0" applyNumberFormat="1" applyFont="1" applyFill="1" applyBorder="1" applyAlignment="1" applyProtection="1">
      <alignment/>
      <protection locked="0"/>
    </xf>
    <xf numFmtId="4" fontId="26" fillId="0" borderId="25" xfId="0" applyNumberFormat="1" applyFont="1" applyFill="1" applyBorder="1" applyAlignment="1" applyProtection="1">
      <alignment/>
      <protection/>
    </xf>
    <xf numFmtId="4" fontId="24" fillId="2" borderId="5" xfId="0" applyNumberFormat="1" applyFont="1" applyFill="1" applyBorder="1" applyAlignment="1" applyProtection="1">
      <alignment horizontal="right"/>
      <protection locked="0"/>
    </xf>
    <xf numFmtId="4" fontId="24" fillId="2" borderId="6" xfId="0" applyNumberFormat="1" applyFont="1" applyFill="1" applyBorder="1" applyAlignment="1" applyProtection="1">
      <alignment/>
      <protection/>
    </xf>
    <xf numFmtId="4" fontId="22" fillId="2" borderId="5" xfId="0" applyNumberFormat="1" applyFont="1" applyFill="1" applyBorder="1" applyAlignment="1" applyProtection="1">
      <alignment horizontal="right"/>
      <protection locked="0"/>
    </xf>
    <xf numFmtId="4" fontId="22" fillId="2" borderId="25" xfId="0" applyNumberFormat="1" applyFont="1" applyFill="1" applyBorder="1" applyAlignment="1" applyProtection="1">
      <alignment/>
      <protection/>
    </xf>
    <xf numFmtId="3" fontId="24" fillId="2" borderId="5" xfId="0" applyNumberFormat="1" applyFont="1" applyFill="1" applyBorder="1" applyAlignment="1" applyProtection="1">
      <alignment/>
      <protection locked="0"/>
    </xf>
    <xf numFmtId="4" fontId="26" fillId="0" borderId="6" xfId="0" applyNumberFormat="1" applyFont="1" applyFill="1" applyBorder="1" applyAlignment="1" applyProtection="1">
      <alignment/>
      <protection locked="0"/>
    </xf>
    <xf numFmtId="4" fontId="24" fillId="0" borderId="38" xfId="0" applyNumberFormat="1" applyFont="1" applyFill="1" applyBorder="1" applyAlignment="1" applyProtection="1">
      <alignment/>
      <protection/>
    </xf>
    <xf numFmtId="4" fontId="24" fillId="0" borderId="31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/>
      <protection locked="0"/>
    </xf>
    <xf numFmtId="4" fontId="24" fillId="0" borderId="4" xfId="0" applyNumberFormat="1" applyFont="1" applyFill="1" applyBorder="1" applyAlignment="1" applyProtection="1">
      <alignment horizontal="right"/>
      <protection locked="0"/>
    </xf>
    <xf numFmtId="4" fontId="24" fillId="0" borderId="6" xfId="0" applyNumberFormat="1" applyFont="1" applyFill="1" applyBorder="1" applyAlignment="1" applyProtection="1">
      <alignment horizontal="right"/>
      <protection locked="0"/>
    </xf>
    <xf numFmtId="3" fontId="24" fillId="2" borderId="26" xfId="0" applyNumberFormat="1" applyFont="1" applyFill="1" applyBorder="1" applyAlignment="1" applyProtection="1">
      <alignment/>
      <protection locked="0"/>
    </xf>
    <xf numFmtId="3" fontId="26" fillId="2" borderId="6" xfId="0" applyNumberFormat="1" applyFont="1" applyFill="1" applyBorder="1" applyAlignment="1" applyProtection="1">
      <alignment/>
      <protection locked="0"/>
    </xf>
    <xf numFmtId="3" fontId="25" fillId="2" borderId="6" xfId="0" applyNumberFormat="1" applyFont="1" applyFill="1" applyBorder="1" applyAlignment="1" applyProtection="1">
      <alignment/>
      <protection locked="0"/>
    </xf>
    <xf numFmtId="3" fontId="25" fillId="2" borderId="26" xfId="0" applyNumberFormat="1" applyFont="1" applyFill="1" applyBorder="1" applyAlignment="1" applyProtection="1">
      <alignment/>
      <protection locked="0"/>
    </xf>
    <xf numFmtId="3" fontId="22" fillId="2" borderId="6" xfId="0" applyNumberFormat="1" applyFont="1" applyFill="1" applyBorder="1" applyAlignment="1" applyProtection="1">
      <alignment/>
      <protection locked="0"/>
    </xf>
    <xf numFmtId="4" fontId="26" fillId="2" borderId="39" xfId="0" applyNumberFormat="1" applyFont="1" applyFill="1" applyBorder="1" applyAlignment="1" applyProtection="1">
      <alignment horizontal="right"/>
      <protection locked="0"/>
    </xf>
    <xf numFmtId="4" fontId="26" fillId="2" borderId="25" xfId="0" applyNumberFormat="1" applyFont="1" applyFill="1" applyBorder="1" applyAlignment="1" applyProtection="1">
      <alignment/>
      <protection/>
    </xf>
    <xf numFmtId="4" fontId="5" fillId="0" borderId="6" xfId="0" applyNumberFormat="1" applyFont="1" applyFill="1" applyBorder="1" applyAlignment="1" applyProtection="1">
      <alignment/>
      <protection/>
    </xf>
    <xf numFmtId="4" fontId="0" fillId="0" borderId="4" xfId="0" applyNumberFormat="1" applyFont="1" applyFill="1" applyBorder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11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ont="1" applyFill="1" applyBorder="1" applyAlignment="1" applyProtection="1">
      <alignment/>
      <protection/>
    </xf>
    <xf numFmtId="4" fontId="5" fillId="2" borderId="6" xfId="0" applyNumberFormat="1" applyFont="1" applyFill="1" applyBorder="1" applyAlignment="1" applyProtection="1">
      <alignment/>
      <protection/>
    </xf>
    <xf numFmtId="4" fontId="24" fillId="2" borderId="6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/>
      <protection/>
    </xf>
    <xf numFmtId="4" fontId="0" fillId="2" borderId="19" xfId="0" applyNumberFormat="1" applyFont="1" applyFill="1" applyBorder="1" applyAlignment="1" applyProtection="1">
      <alignment/>
      <protection/>
    </xf>
    <xf numFmtId="4" fontId="11" fillId="2" borderId="4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4" fontId="24" fillId="0" borderId="20" xfId="0" applyNumberFormat="1" applyFont="1" applyFill="1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/>
      <protection locked="0"/>
    </xf>
    <xf numFmtId="4" fontId="24" fillId="0" borderId="23" xfId="0" applyNumberFormat="1" applyFont="1" applyFill="1" applyBorder="1" applyAlignment="1" applyProtection="1">
      <alignment/>
      <protection/>
    </xf>
    <xf numFmtId="4" fontId="24" fillId="2" borderId="20" xfId="0" applyNumberFormat="1" applyFont="1" applyFill="1" applyBorder="1" applyAlignment="1" applyProtection="1">
      <alignment/>
      <protection/>
    </xf>
    <xf numFmtId="4" fontId="0" fillId="2" borderId="19" xfId="0" applyNumberFormat="1" applyFont="1" applyFill="1" applyBorder="1" applyAlignment="1" applyProtection="1">
      <alignment/>
      <protection locked="0"/>
    </xf>
    <xf numFmtId="4" fontId="24" fillId="2" borderId="23" xfId="0" applyNumberFormat="1" applyFont="1" applyFill="1" applyBorder="1" applyAlignment="1" applyProtection="1">
      <alignment/>
      <protection/>
    </xf>
    <xf numFmtId="4" fontId="0" fillId="2" borderId="21" xfId="0" applyNumberFormat="1" applyFont="1" applyFill="1" applyBorder="1" applyAlignment="1" applyProtection="1">
      <alignment/>
      <protection locked="0"/>
    </xf>
    <xf numFmtId="4" fontId="0" fillId="2" borderId="22" xfId="0" applyNumberFormat="1" applyFont="1" applyFill="1" applyBorder="1" applyAlignment="1" applyProtection="1">
      <alignment/>
      <protection locked="0"/>
    </xf>
    <xf numFmtId="4" fontId="24" fillId="2" borderId="21" xfId="0" applyNumberFormat="1" applyFont="1" applyFill="1" applyBorder="1" applyAlignment="1" applyProtection="1">
      <alignment/>
      <protection locked="0"/>
    </xf>
    <xf numFmtId="4" fontId="24" fillId="0" borderId="21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4" xfId="0" applyNumberFormat="1" applyFont="1" applyBorder="1" applyAlignment="1" applyProtection="1">
      <alignment horizontal="right"/>
      <protection locked="0"/>
    </xf>
    <xf numFmtId="4" fontId="0" fillId="0" borderId="40" xfId="0" applyNumberFormat="1" applyFont="1" applyBorder="1" applyAlignment="1" applyProtection="1">
      <alignment horizontal="right"/>
      <protection locked="0"/>
    </xf>
    <xf numFmtId="4" fontId="24" fillId="2" borderId="23" xfId="0" applyNumberFormat="1" applyFont="1" applyFill="1" applyBorder="1" applyAlignment="1" applyProtection="1">
      <alignment/>
      <protection locked="0"/>
    </xf>
    <xf numFmtId="4" fontId="24" fillId="2" borderId="22" xfId="0" applyNumberFormat="1" applyFont="1" applyFill="1" applyBorder="1" applyAlignment="1" applyProtection="1">
      <alignment/>
      <protection locked="0"/>
    </xf>
    <xf numFmtId="4" fontId="24" fillId="2" borderId="21" xfId="0" applyNumberFormat="1" applyFont="1" applyFill="1" applyBorder="1" applyAlignment="1" applyProtection="1">
      <alignment/>
      <protection/>
    </xf>
    <xf numFmtId="4" fontId="4" fillId="2" borderId="21" xfId="0" applyNumberFormat="1" applyFont="1" applyFill="1" applyBorder="1" applyAlignment="1" applyProtection="1">
      <alignment/>
      <protection/>
    </xf>
    <xf numFmtId="4" fontId="0" fillId="2" borderId="21" xfId="0" applyNumberFormat="1" applyFont="1" applyFill="1" applyBorder="1" applyAlignment="1" applyProtection="1">
      <alignment horizontal="right"/>
      <protection locked="0"/>
    </xf>
    <xf numFmtId="4" fontId="0" fillId="2" borderId="22" xfId="0" applyNumberFormat="1" applyFont="1" applyFill="1" applyBorder="1" applyAlignment="1" applyProtection="1">
      <alignment horizontal="right"/>
      <protection locked="0"/>
    </xf>
    <xf numFmtId="4" fontId="0" fillId="2" borderId="4" xfId="0" applyNumberFormat="1" applyFont="1" applyFill="1" applyBorder="1" applyAlignment="1" applyProtection="1">
      <alignment horizontal="right"/>
      <protection locked="0"/>
    </xf>
    <xf numFmtId="4" fontId="0" fillId="2" borderId="40" xfId="0" applyNumberFormat="1" applyFont="1" applyFill="1" applyBorder="1" applyAlignment="1" applyProtection="1">
      <alignment horizontal="right"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2" borderId="0" xfId="0" applyNumberFormat="1" applyFont="1" applyFill="1" applyBorder="1" applyAlignment="1" applyProtection="1">
      <alignment/>
      <protection locked="0"/>
    </xf>
    <xf numFmtId="4" fontId="0" fillId="2" borderId="25" xfId="0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 applyProtection="1">
      <alignment/>
      <protection/>
    </xf>
    <xf numFmtId="4" fontId="5" fillId="2" borderId="25" xfId="0" applyNumberFormat="1" applyFont="1" applyFill="1" applyBorder="1" applyAlignment="1" applyProtection="1">
      <alignment/>
      <protection/>
    </xf>
    <xf numFmtId="0" fontId="26" fillId="0" borderId="1" xfId="0" applyNumberFormat="1" applyFont="1" applyFill="1" applyBorder="1" applyAlignment="1" applyProtection="1">
      <alignment horizontal="center"/>
      <protection locked="0"/>
    </xf>
    <xf numFmtId="0" fontId="26" fillId="0" borderId="41" xfId="0" applyNumberFormat="1" applyFont="1" applyFill="1" applyBorder="1" applyAlignment="1" applyProtection="1">
      <alignment horizontal="center"/>
      <protection locked="0"/>
    </xf>
  </cellXfs>
  <cellStyles count="5">
    <cellStyle name="Normal" xfId="0"/>
    <cellStyle name="Euro" xfId="15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3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D4" sqref="D4"/>
    </sheetView>
  </sheetViews>
  <sheetFormatPr defaultColWidth="9.00390625" defaultRowHeight="12"/>
  <cols>
    <col min="2" max="2" width="14.625" style="0" customWidth="1"/>
    <col min="3" max="3" width="17.875" style="208" customWidth="1"/>
    <col min="4" max="4" width="20.375" style="211" customWidth="1"/>
    <col min="5" max="5" width="18.00390625" style="0" customWidth="1"/>
    <col min="6" max="6" width="17.125" style="0" customWidth="1"/>
  </cols>
  <sheetData>
    <row r="3" spans="3:4" ht="12">
      <c r="C3" s="210">
        <v>2702165</v>
      </c>
      <c r="D3" s="209">
        <v>36159</v>
      </c>
    </row>
    <row r="4" ht="25.5" customHeight="1"/>
    <row r="5" spans="3:4" ht="12">
      <c r="C5" s="208">
        <v>1861930</v>
      </c>
      <c r="D5" s="211" t="s">
        <v>246</v>
      </c>
    </row>
    <row r="6" spans="3:4" ht="12">
      <c r="C6" s="208">
        <v>-614029</v>
      </c>
      <c r="D6" s="211" t="s">
        <v>247</v>
      </c>
    </row>
    <row r="7" spans="3:4" ht="12">
      <c r="C7" s="208">
        <v>1454264</v>
      </c>
      <c r="D7" s="211" t="s">
        <v>248</v>
      </c>
    </row>
    <row r="9" ht="12">
      <c r="C9" s="210">
        <f>SUM(C5:C8)</f>
        <v>2702165</v>
      </c>
    </row>
    <row r="10" ht="24.75" customHeight="1"/>
    <row r="11" spans="3:4" ht="12">
      <c r="C11" s="208">
        <v>105594</v>
      </c>
      <c r="D11" s="211" t="s">
        <v>256</v>
      </c>
    </row>
    <row r="12" spans="3:4" ht="12">
      <c r="C12" s="208">
        <v>29582</v>
      </c>
      <c r="D12" s="211" t="s">
        <v>257</v>
      </c>
    </row>
    <row r="13" spans="3:4" ht="12">
      <c r="C13" s="208">
        <v>191477</v>
      </c>
      <c r="D13" s="211" t="s">
        <v>258</v>
      </c>
    </row>
    <row r="14" spans="3:4" ht="12">
      <c r="C14" s="208">
        <v>865530</v>
      </c>
      <c r="D14" s="211" t="s">
        <v>259</v>
      </c>
    </row>
    <row r="16" ht="12">
      <c r="C16" s="210">
        <f>SUM(C11:C15)</f>
        <v>1192183</v>
      </c>
    </row>
    <row r="18" spans="3:4" ht="12">
      <c r="C18" s="208">
        <v>253064</v>
      </c>
      <c r="D18" s="211" t="s">
        <v>249</v>
      </c>
    </row>
    <row r="19" spans="3:4" ht="12">
      <c r="C19" s="208">
        <v>115686</v>
      </c>
      <c r="D19" s="211" t="s">
        <v>250</v>
      </c>
    </row>
    <row r="20" spans="3:4" ht="12">
      <c r="C20" s="208">
        <v>113582</v>
      </c>
      <c r="D20" s="211" t="s">
        <v>251</v>
      </c>
    </row>
    <row r="21" spans="3:4" ht="12">
      <c r="C21" s="208">
        <v>49580</v>
      </c>
      <c r="D21" s="211" t="s">
        <v>250</v>
      </c>
    </row>
    <row r="22" spans="3:4" ht="12">
      <c r="C22" s="208">
        <v>80035</v>
      </c>
      <c r="D22" s="211" t="s">
        <v>251</v>
      </c>
    </row>
    <row r="24" spans="3:4" ht="12">
      <c r="C24" s="210">
        <f>SUM(C18:C23)</f>
        <v>611947</v>
      </c>
      <c r="D24" s="215"/>
    </row>
    <row r="25" ht="12">
      <c r="D25" s="212"/>
    </row>
    <row r="26" spans="3:4" ht="12">
      <c r="C26" s="217">
        <f>C16+C24</f>
        <v>1804130</v>
      </c>
      <c r="D26" s="212" t="s">
        <v>260</v>
      </c>
    </row>
    <row r="27" ht="12">
      <c r="D27" s="212"/>
    </row>
    <row r="28" spans="3:4" ht="12">
      <c r="C28" s="214">
        <v>57799</v>
      </c>
      <c r="D28" s="211" t="s">
        <v>255</v>
      </c>
    </row>
    <row r="30" spans="3:4" ht="12">
      <c r="C30" s="216">
        <f>SUM(C26:C28)</f>
        <v>1861929</v>
      </c>
      <c r="D30" s="211" t="s">
        <v>261</v>
      </c>
    </row>
    <row r="34" spans="3:4" ht="12">
      <c r="C34" s="208">
        <v>-269731</v>
      </c>
      <c r="D34" s="211" t="s">
        <v>253</v>
      </c>
    </row>
    <row r="35" spans="3:4" ht="12">
      <c r="C35" s="208">
        <v>-344297.39</v>
      </c>
      <c r="D35" s="211" t="s">
        <v>254</v>
      </c>
    </row>
    <row r="37" spans="3:4" ht="12">
      <c r="C37" s="213">
        <f>167848.49+160898.23+111575.73+309874.14</f>
        <v>750196.59</v>
      </c>
      <c r="D37" s="211" t="s">
        <v>252</v>
      </c>
    </row>
    <row r="38" spans="3:5" ht="12">
      <c r="C38" s="208">
        <v>-290644.94</v>
      </c>
      <c r="D38" s="211" t="s">
        <v>253</v>
      </c>
      <c r="E38" s="208">
        <f>C34+C38</f>
        <v>-560375.94</v>
      </c>
    </row>
    <row r="39" spans="3:5" ht="12">
      <c r="C39" s="208">
        <v>-226444</v>
      </c>
      <c r="D39" s="211" t="s">
        <v>254</v>
      </c>
      <c r="E39" s="208">
        <f>C35+C39</f>
        <v>-570741.39</v>
      </c>
    </row>
    <row r="40" spans="3:5" ht="12">
      <c r="C40" s="214"/>
      <c r="D40" s="220"/>
      <c r="E40" s="221"/>
    </row>
    <row r="42" spans="3:5" ht="12">
      <c r="C42" s="208">
        <v>2364488808</v>
      </c>
      <c r="D42" s="218">
        <f>C42/1936.27</f>
        <v>1221156.5577114762</v>
      </c>
      <c r="E42" s="211" t="s">
        <v>268</v>
      </c>
    </row>
    <row r="43" spans="3:5" ht="12">
      <c r="C43" s="214"/>
      <c r="D43" s="220"/>
      <c r="E43" s="221"/>
    </row>
    <row r="44" spans="3:5" ht="12">
      <c r="C44" s="208">
        <v>438456582</v>
      </c>
      <c r="D44" s="219">
        <f>C44/1936.27</f>
        <v>226443.92672509517</v>
      </c>
      <c r="E44" t="s">
        <v>263</v>
      </c>
    </row>
    <row r="45" spans="3:5" ht="12">
      <c r="C45" s="208">
        <v>325000000</v>
      </c>
      <c r="D45" s="219">
        <f>C45/1936.27</f>
        <v>167848.4922040831</v>
      </c>
      <c r="E45" t="s">
        <v>264</v>
      </c>
    </row>
    <row r="46" spans="3:5" ht="12">
      <c r="C46" s="208">
        <v>398038271</v>
      </c>
      <c r="D46" s="219">
        <f>C46/1936.27</f>
        <v>205569.61115960067</v>
      </c>
      <c r="E46" t="s">
        <v>265</v>
      </c>
    </row>
    <row r="47" spans="3:5" ht="12">
      <c r="C47" s="208">
        <v>14067250</v>
      </c>
      <c r="D47" s="224">
        <f>C47/1936.27</f>
        <v>7265.128313716579</v>
      </c>
      <c r="E47" t="s">
        <v>263</v>
      </c>
    </row>
    <row r="48" ht="12">
      <c r="D48" s="219"/>
    </row>
    <row r="49" spans="3:5" ht="12">
      <c r="C49" s="208">
        <v>45594000</v>
      </c>
      <c r="D49" s="219">
        <f>C49/1936.27</f>
        <v>23547.335857086047</v>
      </c>
      <c r="E49" t="s">
        <v>266</v>
      </c>
    </row>
    <row r="50" spans="3:5" ht="12">
      <c r="C50" s="208">
        <v>96453932</v>
      </c>
      <c r="D50" s="224">
        <f>C50/1936.27</f>
        <v>49814.298625708194</v>
      </c>
      <c r="E50" t="s">
        <v>267</v>
      </c>
    </row>
    <row r="51" spans="3:5" ht="12">
      <c r="C51" s="208">
        <v>476679000</v>
      </c>
      <c r="D51" s="219">
        <f>C51/1936.27</f>
        <v>246184.15820107734</v>
      </c>
      <c r="E51" t="s">
        <v>266</v>
      </c>
    </row>
    <row r="52" spans="3:5" ht="12">
      <c r="C52" s="208">
        <v>570198773</v>
      </c>
      <c r="D52" s="224">
        <f>C52/1936.27</f>
        <v>294483.09016821004</v>
      </c>
      <c r="E52" t="s">
        <v>267</v>
      </c>
    </row>
    <row r="53" ht="12">
      <c r="D53" s="219"/>
    </row>
    <row r="54" spans="4:5" ht="12">
      <c r="D54" s="218">
        <f>SUM(D44:D52)</f>
        <v>1221156.0412545772</v>
      </c>
      <c r="E54" s="211" t="s">
        <v>269</v>
      </c>
    </row>
    <row r="55" ht="12">
      <c r="D55" s="219"/>
    </row>
    <row r="56" spans="3:5" ht="12">
      <c r="C56" s="208">
        <v>325000000</v>
      </c>
      <c r="D56" s="219">
        <f>C56/1936.27</f>
        <v>167848.4922040831</v>
      </c>
      <c r="E56" t="s">
        <v>270</v>
      </c>
    </row>
    <row r="57" spans="2:5" ht="12">
      <c r="B57" s="223">
        <f>SUM(D56:D59)</f>
        <v>750196.5908680091</v>
      </c>
      <c r="C57" s="208">
        <v>311542415</v>
      </c>
      <c r="D57" s="224">
        <f>C57/1936.27</f>
        <v>160898.2295857499</v>
      </c>
      <c r="E57" t="s">
        <v>271</v>
      </c>
    </row>
    <row r="58" spans="3:5" ht="12">
      <c r="C58" s="208">
        <v>216040738</v>
      </c>
      <c r="D58" s="219">
        <f>C58/1936.27</f>
        <v>111575.72962448419</v>
      </c>
      <c r="E58" t="s">
        <v>272</v>
      </c>
    </row>
    <row r="59" spans="3:6" ht="12">
      <c r="C59" s="208">
        <v>600000000</v>
      </c>
      <c r="D59" s="224">
        <f>C59/1936.27</f>
        <v>309874.1394536919</v>
      </c>
      <c r="E59" t="s">
        <v>273</v>
      </c>
      <c r="F59" s="225">
        <f>D47+D50+D52+D57+D59</f>
        <v>822334.8861470766</v>
      </c>
    </row>
    <row r="60" ht="12">
      <c r="D60" s="219"/>
    </row>
    <row r="61" ht="12">
      <c r="D61" s="218">
        <f>SUM(D54:D59)</f>
        <v>1971352.6321225865</v>
      </c>
    </row>
    <row r="62" ht="12">
      <c r="D62" s="219"/>
    </row>
    <row r="63" spans="4:5" ht="12">
      <c r="D63" s="219">
        <v>-290644.64</v>
      </c>
      <c r="E63" t="s">
        <v>274</v>
      </c>
    </row>
    <row r="64" spans="3:5" ht="12">
      <c r="C64" s="208">
        <f>SUM(D63:D64)</f>
        <v>-560376.13</v>
      </c>
      <c r="D64" s="219">
        <v>-269731.49</v>
      </c>
      <c r="E64" t="s">
        <v>274</v>
      </c>
    </row>
    <row r="65" spans="2:4" ht="12">
      <c r="B65" s="208">
        <f>SUM(C64:C67)</f>
        <v>-1131117.96</v>
      </c>
      <c r="D65" s="219"/>
    </row>
    <row r="66" spans="4:5" ht="12">
      <c r="D66" s="219">
        <v>-226444.44</v>
      </c>
      <c r="E66" t="s">
        <v>262</v>
      </c>
    </row>
    <row r="67" spans="3:5" ht="12">
      <c r="C67" s="208">
        <f>SUM(D66:D67)</f>
        <v>-570741.8300000001</v>
      </c>
      <c r="D67" s="219">
        <v>-344297.39</v>
      </c>
      <c r="E67" t="s">
        <v>262</v>
      </c>
    </row>
    <row r="68" spans="4:6" ht="12">
      <c r="D68" s="219"/>
      <c r="F68">
        <v>-614028.88</v>
      </c>
    </row>
    <row r="69" spans="4:7" ht="12">
      <c r="D69" s="218">
        <f>SUM(D61:D67)</f>
        <v>840234.6721225864</v>
      </c>
      <c r="F69">
        <v>1454264.07</v>
      </c>
      <c r="G69" t="s">
        <v>275</v>
      </c>
    </row>
    <row r="70" spans="4:6" ht="12">
      <c r="D70" s="219"/>
      <c r="F70" s="222">
        <f>SUM(F68:F69)</f>
        <v>840235.1900000001</v>
      </c>
    </row>
    <row r="71" ht="12">
      <c r="D71" s="219"/>
    </row>
    <row r="72" ht="12">
      <c r="D72" s="219"/>
    </row>
    <row r="73" ht="12">
      <c r="D73" s="219"/>
    </row>
    <row r="74" ht="12">
      <c r="D74" s="219"/>
    </row>
    <row r="75" ht="12">
      <c r="D75" s="219"/>
    </row>
    <row r="76" ht="12">
      <c r="D76" s="219"/>
    </row>
    <row r="77" ht="12">
      <c r="D77" s="219"/>
    </row>
    <row r="78" ht="12">
      <c r="D78" s="219"/>
    </row>
    <row r="79" ht="12">
      <c r="D79" s="219"/>
    </row>
    <row r="80" ht="12">
      <c r="D80" s="219"/>
    </row>
    <row r="81" ht="12">
      <c r="D81" s="219"/>
    </row>
    <row r="82" ht="12">
      <c r="D82" s="219"/>
    </row>
    <row r="83" ht="12">
      <c r="D83" s="219"/>
    </row>
    <row r="84" ht="12">
      <c r="D84" s="219"/>
    </row>
    <row r="85" ht="12">
      <c r="D85" s="219"/>
    </row>
    <row r="86" ht="12">
      <c r="D86" s="219"/>
    </row>
    <row r="87" ht="12">
      <c r="D87" s="219"/>
    </row>
    <row r="88" ht="12">
      <c r="D88" s="219"/>
    </row>
    <row r="89" ht="12">
      <c r="D89" s="219"/>
    </row>
    <row r="90" ht="12">
      <c r="D90" s="219"/>
    </row>
    <row r="91" ht="12">
      <c r="D91" s="219"/>
    </row>
    <row r="92" ht="12">
      <c r="D92" s="219"/>
    </row>
    <row r="93" ht="12">
      <c r="D93" s="219"/>
    </row>
    <row r="94" ht="12">
      <c r="D94" s="219"/>
    </row>
    <row r="95" ht="12">
      <c r="D95" s="219"/>
    </row>
    <row r="96" ht="12">
      <c r="D96" s="219"/>
    </row>
    <row r="97" ht="12">
      <c r="D97" s="219"/>
    </row>
    <row r="98" ht="12">
      <c r="D98" s="219"/>
    </row>
    <row r="99" ht="12">
      <c r="D99" s="219"/>
    </row>
    <row r="100" ht="12">
      <c r="D100" s="219"/>
    </row>
    <row r="101" ht="12">
      <c r="D101" s="219"/>
    </row>
    <row r="102" ht="12">
      <c r="D102" s="219"/>
    </row>
    <row r="103" ht="12">
      <c r="D103" s="219"/>
    </row>
    <row r="104" ht="12">
      <c r="D104" s="219"/>
    </row>
    <row r="105" ht="12">
      <c r="D105" s="219"/>
    </row>
    <row r="106" ht="12">
      <c r="D106" s="219"/>
    </row>
    <row r="107" ht="12">
      <c r="D107" s="219"/>
    </row>
    <row r="108" ht="12">
      <c r="D108" s="219"/>
    </row>
    <row r="109" ht="12">
      <c r="D109" s="219"/>
    </row>
    <row r="110" ht="12">
      <c r="D110" s="219"/>
    </row>
    <row r="111" ht="12">
      <c r="D111" s="219"/>
    </row>
    <row r="112" ht="12">
      <c r="D112" s="219"/>
    </row>
    <row r="113" ht="12">
      <c r="D113" s="219"/>
    </row>
    <row r="114" ht="12">
      <c r="D114" s="219"/>
    </row>
    <row r="115" ht="12">
      <c r="D115" s="219"/>
    </row>
    <row r="116" ht="12">
      <c r="D116" s="219"/>
    </row>
    <row r="117" ht="12">
      <c r="D117" s="219"/>
    </row>
    <row r="118" ht="12">
      <c r="D118" s="219"/>
    </row>
    <row r="119" ht="12">
      <c r="D119" s="219"/>
    </row>
    <row r="120" ht="12">
      <c r="D120" s="219"/>
    </row>
    <row r="121" ht="12">
      <c r="D121" s="219"/>
    </row>
    <row r="122" ht="12">
      <c r="D122" s="219"/>
    </row>
    <row r="123" ht="12">
      <c r="D123" s="21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4"/>
  <sheetViews>
    <sheetView showGridLines="0" tabSelected="1" zoomScale="75" zoomScaleNormal="75" workbookViewId="0" topLeftCell="B1">
      <pane ySplit="1" topLeftCell="BM314" activePane="bottomLeft" state="frozen"/>
      <selection pane="topLeft" activeCell="F391" sqref="F391"/>
      <selection pane="bottomLeft" activeCell="F339" sqref="F339"/>
    </sheetView>
  </sheetViews>
  <sheetFormatPr defaultColWidth="9.00390625" defaultRowHeight="12"/>
  <cols>
    <col min="1" max="1" width="1.25" style="18" hidden="1" customWidth="1"/>
    <col min="2" max="2" width="2.75390625" style="18" customWidth="1"/>
    <col min="3" max="3" width="2.00390625" style="18" customWidth="1"/>
    <col min="4" max="4" width="2.25390625" style="18" customWidth="1"/>
    <col min="5" max="5" width="39.125" style="18" customWidth="1"/>
    <col min="6" max="6" width="14.375" style="16" customWidth="1"/>
    <col min="7" max="7" width="17.75390625" style="16" customWidth="1"/>
    <col min="8" max="8" width="18.25390625" style="16" customWidth="1"/>
    <col min="9" max="9" width="20.375" style="16" customWidth="1"/>
    <col min="10" max="10" width="2.875" style="1" customWidth="1"/>
    <col min="11" max="11" width="18.125" style="1" hidden="1" customWidth="1"/>
    <col min="12" max="12" width="20.125" style="1" customWidth="1"/>
    <col min="13" max="13" width="11.875" style="2" customWidth="1"/>
    <col min="14" max="255" width="11.875" style="1" customWidth="1"/>
    <col min="256" max="16384" width="10.875" style="1" customWidth="1"/>
  </cols>
  <sheetData>
    <row r="1" spans="1:9" ht="13.5" customHeight="1">
      <c r="A1" s="13"/>
      <c r="B1" s="98"/>
      <c r="C1" s="98"/>
      <c r="D1" s="98"/>
      <c r="E1" s="98"/>
      <c r="F1" s="99"/>
      <c r="G1" s="99"/>
      <c r="H1" s="100"/>
      <c r="I1" s="102" t="s">
        <v>291</v>
      </c>
    </row>
    <row r="2" spans="1:8" ht="13.5" customHeight="1" thickBot="1">
      <c r="A2" s="13"/>
      <c r="B2" s="13"/>
      <c r="C2" s="13"/>
      <c r="D2" s="13"/>
      <c r="E2" s="13"/>
      <c r="F2" s="14"/>
      <c r="G2" s="14"/>
      <c r="H2" s="15"/>
    </row>
    <row r="3" spans="1:9" ht="13.5" customHeight="1">
      <c r="A3" s="13"/>
      <c r="B3" s="101"/>
      <c r="C3" s="95"/>
      <c r="D3" s="95"/>
      <c r="E3" s="95"/>
      <c r="F3" s="96"/>
      <c r="G3" s="96"/>
      <c r="H3" s="97"/>
      <c r="I3" s="59"/>
    </row>
    <row r="4" spans="1:13" s="12" customFormat="1" ht="13.5" customHeight="1">
      <c r="A4" s="58"/>
      <c r="B4" s="103"/>
      <c r="C4" s="58"/>
      <c r="D4" s="58"/>
      <c r="E4" s="58"/>
      <c r="F4" s="104"/>
      <c r="G4"/>
      <c r="H4" s="47"/>
      <c r="I4" s="105"/>
      <c r="M4" s="130"/>
    </row>
    <row r="5" spans="1:13" s="12" customFormat="1" ht="13.5" customHeight="1">
      <c r="A5" s="106"/>
      <c r="B5" s="107"/>
      <c r="C5" s="106"/>
      <c r="D5" s="106"/>
      <c r="E5" s="106"/>
      <c r="F5" s="94"/>
      <c r="G5"/>
      <c r="H5" s="72"/>
      <c r="I5" s="105"/>
      <c r="M5" s="130"/>
    </row>
    <row r="6" spans="1:13" s="12" customFormat="1" ht="23.25">
      <c r="A6" s="106"/>
      <c r="B6" s="107"/>
      <c r="C6" s="106"/>
      <c r="D6" s="106"/>
      <c r="E6" s="85"/>
      <c r="F6" s="17" t="s">
        <v>172</v>
      </c>
      <c r="G6"/>
      <c r="H6" s="72"/>
      <c r="I6" s="105"/>
      <c r="M6" s="130"/>
    </row>
    <row r="7" spans="1:13" s="12" customFormat="1" ht="13.5" customHeight="1">
      <c r="A7" s="106"/>
      <c r="B7" s="107"/>
      <c r="C7" s="106"/>
      <c r="D7" s="106"/>
      <c r="E7" s="106"/>
      <c r="F7" s="94"/>
      <c r="G7"/>
      <c r="H7" s="72"/>
      <c r="I7" s="105"/>
      <c r="M7" s="130"/>
    </row>
    <row r="8" spans="1:9" ht="13.5" customHeight="1">
      <c r="A8" s="13"/>
      <c r="B8" s="61"/>
      <c r="C8" s="13"/>
      <c r="D8" s="13"/>
      <c r="E8" s="13"/>
      <c r="F8" s="14"/>
      <c r="G8" s="14"/>
      <c r="H8" s="15"/>
      <c r="I8" s="60"/>
    </row>
    <row r="9" spans="1:9" ht="13.5" customHeight="1" thickBot="1">
      <c r="A9" s="13"/>
      <c r="B9" s="62"/>
      <c r="C9" s="63"/>
      <c r="D9" s="63"/>
      <c r="E9" s="63"/>
      <c r="F9" s="64"/>
      <c r="G9" s="64"/>
      <c r="H9" s="65"/>
      <c r="I9" s="66"/>
    </row>
    <row r="10" spans="1:8" ht="13.5" customHeight="1">
      <c r="A10" s="13"/>
      <c r="B10" s="13"/>
      <c r="C10" s="13"/>
      <c r="D10" s="13"/>
      <c r="E10" s="13"/>
      <c r="F10" s="14"/>
      <c r="G10" s="14"/>
      <c r="H10" s="15"/>
    </row>
    <row r="11" spans="1:8" ht="16.5" customHeight="1">
      <c r="A11" s="13"/>
      <c r="B11" s="13"/>
      <c r="C11" s="13"/>
      <c r="D11" s="13"/>
      <c r="E11" s="13"/>
      <c r="F11" s="252" t="s">
        <v>292</v>
      </c>
      <c r="G11" s="14"/>
      <c r="H11" s="15"/>
    </row>
    <row r="12" spans="1:8" ht="16.5" customHeight="1">
      <c r="A12" s="13"/>
      <c r="B12" s="13"/>
      <c r="C12" s="13"/>
      <c r="D12" s="13"/>
      <c r="E12" s="13"/>
      <c r="F12" s="14" t="s">
        <v>173</v>
      </c>
      <c r="G12" s="14"/>
      <c r="H12" s="15"/>
    </row>
    <row r="13" spans="1:8" ht="16.5" customHeight="1">
      <c r="A13" s="13"/>
      <c r="B13" s="13"/>
      <c r="C13" s="13"/>
      <c r="D13" s="13"/>
      <c r="E13" s="13"/>
      <c r="F13" s="14" t="s">
        <v>329</v>
      </c>
      <c r="G13" s="14"/>
      <c r="H13" s="15"/>
    </row>
    <row r="14" spans="1:8" ht="16.5" customHeight="1">
      <c r="A14" s="13"/>
      <c r="B14" s="13"/>
      <c r="C14" s="13"/>
      <c r="D14" s="13"/>
      <c r="E14" s="13"/>
      <c r="F14" s="104"/>
      <c r="G14" s="14"/>
      <c r="H14" s="15"/>
    </row>
    <row r="15" spans="1:13" s="113" customFormat="1" ht="17.25" customHeight="1">
      <c r="A15" s="108"/>
      <c r="B15" s="108"/>
      <c r="C15" s="108"/>
      <c r="D15" s="108"/>
      <c r="E15" s="109"/>
      <c r="F15" s="253" t="s">
        <v>0</v>
      </c>
      <c r="G15" s="110"/>
      <c r="H15" s="111"/>
      <c r="I15" s="112"/>
      <c r="M15" s="131"/>
    </row>
    <row r="16" spans="1:9" ht="12.75" customHeight="1">
      <c r="A16" s="17"/>
      <c r="B16" s="17"/>
      <c r="C16" s="17"/>
      <c r="D16" s="17"/>
      <c r="E16" s="17"/>
      <c r="F16" s="14"/>
      <c r="G16" s="14"/>
      <c r="H16" s="15"/>
      <c r="I16" s="226"/>
    </row>
    <row r="17" spans="1:14" s="6" customFormat="1" ht="16.5" customHeight="1">
      <c r="A17" s="67"/>
      <c r="B17" s="19"/>
      <c r="C17" s="20"/>
      <c r="D17" s="20"/>
      <c r="E17" s="20" t="s">
        <v>1</v>
      </c>
      <c r="F17" s="21" t="s">
        <v>2</v>
      </c>
      <c r="G17" s="22" t="s">
        <v>3</v>
      </c>
      <c r="H17" s="23">
        <v>2004</v>
      </c>
      <c r="I17" s="23">
        <v>2003</v>
      </c>
      <c r="J17" s="3"/>
      <c r="K17" s="4">
        <v>2001</v>
      </c>
      <c r="L17" s="5"/>
      <c r="M17" s="132"/>
      <c r="N17" s="5"/>
    </row>
    <row r="18" spans="1:14" ht="12.75">
      <c r="A18" s="25"/>
      <c r="B18" s="24"/>
      <c r="C18" s="25"/>
      <c r="D18" s="25"/>
      <c r="E18" s="26"/>
      <c r="F18" s="184"/>
      <c r="G18" s="157"/>
      <c r="H18" s="141"/>
      <c r="I18" s="114"/>
      <c r="K18" s="7"/>
      <c r="L18" s="7"/>
      <c r="M18" s="133"/>
      <c r="N18" s="7"/>
    </row>
    <row r="19" spans="1:9" ht="12.75" customHeight="1">
      <c r="A19" s="30"/>
      <c r="B19" s="27" t="s">
        <v>325</v>
      </c>
      <c r="C19" s="28"/>
      <c r="D19" s="28"/>
      <c r="E19" s="78"/>
      <c r="F19" s="185" t="s">
        <v>4</v>
      </c>
      <c r="G19" s="157"/>
      <c r="H19" s="147"/>
      <c r="I19" s="115"/>
    </row>
    <row r="20" spans="1:11" ht="12.75" customHeight="1">
      <c r="A20" s="30"/>
      <c r="B20" s="27"/>
      <c r="C20" s="30" t="s">
        <v>171</v>
      </c>
      <c r="D20" s="28"/>
      <c r="E20" s="78"/>
      <c r="F20" s="185" t="s">
        <v>4</v>
      </c>
      <c r="G20" s="157"/>
      <c r="H20" s="264">
        <v>0</v>
      </c>
      <c r="I20" s="254">
        <v>0</v>
      </c>
      <c r="K20" s="1">
        <v>0</v>
      </c>
    </row>
    <row r="21" spans="1:9" ht="12.75" customHeight="1">
      <c r="A21" s="30"/>
      <c r="B21" s="29"/>
      <c r="C21" s="30"/>
      <c r="D21" s="30"/>
      <c r="E21" s="76"/>
      <c r="F21" s="186"/>
      <c r="G21" s="157"/>
      <c r="H21" s="187"/>
      <c r="I21" s="116"/>
    </row>
    <row r="22" spans="1:13" s="8" customFormat="1" ht="12.75" customHeight="1">
      <c r="A22" s="28"/>
      <c r="B22" s="27" t="s">
        <v>5</v>
      </c>
      <c r="C22" s="28"/>
      <c r="D22" s="28"/>
      <c r="E22" s="78"/>
      <c r="F22" s="185"/>
      <c r="G22" s="157"/>
      <c r="H22" s="255">
        <f>H33+H66+H84</f>
        <v>4868024.910000001</v>
      </c>
      <c r="I22" s="256">
        <v>3584043.92</v>
      </c>
      <c r="K22" s="8">
        <v>5285137089</v>
      </c>
      <c r="M22" s="129"/>
    </row>
    <row r="23" spans="1:9" ht="12.75" customHeight="1">
      <c r="A23" s="30"/>
      <c r="B23" s="29"/>
      <c r="C23" s="31" t="s">
        <v>6</v>
      </c>
      <c r="D23" s="31"/>
      <c r="E23" s="79"/>
      <c r="F23" s="186"/>
      <c r="G23" s="157"/>
      <c r="H23" s="141"/>
      <c r="I23" s="114"/>
    </row>
    <row r="24" spans="1:9" ht="12.75" customHeight="1">
      <c r="A24" s="30"/>
      <c r="B24" s="29"/>
      <c r="C24" s="30"/>
      <c r="D24" s="30" t="s">
        <v>7</v>
      </c>
      <c r="E24" s="77"/>
      <c r="F24" s="257">
        <v>0</v>
      </c>
      <c r="G24" s="157"/>
      <c r="H24" s="146"/>
      <c r="I24" s="114"/>
    </row>
    <row r="25" spans="1:9" ht="12.75" customHeight="1">
      <c r="A25" s="30"/>
      <c r="B25" s="29"/>
      <c r="C25" s="30"/>
      <c r="D25" s="30" t="s">
        <v>9</v>
      </c>
      <c r="E25" s="77"/>
      <c r="F25" s="258">
        <v>0</v>
      </c>
      <c r="G25" s="157"/>
      <c r="H25" s="141"/>
      <c r="I25" s="114"/>
    </row>
    <row r="26" spans="1:9" ht="12.75" customHeight="1">
      <c r="A26" s="30"/>
      <c r="B26" s="29"/>
      <c r="C26" s="30"/>
      <c r="D26" s="30" t="s">
        <v>10</v>
      </c>
      <c r="E26" s="77"/>
      <c r="F26" s="258">
        <v>7202.85</v>
      </c>
      <c r="G26" s="157"/>
      <c r="H26" s="141"/>
      <c r="I26" s="114"/>
    </row>
    <row r="27" spans="1:9" ht="12.75" customHeight="1">
      <c r="A27" s="30"/>
      <c r="B27" s="29"/>
      <c r="C27" s="30"/>
      <c r="D27" s="30"/>
      <c r="E27" s="18" t="s">
        <v>11</v>
      </c>
      <c r="F27" s="259"/>
      <c r="G27" s="166"/>
      <c r="H27" s="141"/>
      <c r="I27" s="114"/>
    </row>
    <row r="28" spans="1:10" ht="12.75" customHeight="1">
      <c r="A28" s="30"/>
      <c r="B28" s="29"/>
      <c r="C28" s="30"/>
      <c r="D28" s="30" t="s">
        <v>12</v>
      </c>
      <c r="E28" s="77"/>
      <c r="F28" s="260">
        <v>0</v>
      </c>
      <c r="G28" s="157"/>
      <c r="H28" s="141"/>
      <c r="I28" s="114"/>
      <c r="J28" s="8"/>
    </row>
    <row r="29" spans="1:9" ht="12.75" customHeight="1">
      <c r="A29" s="30"/>
      <c r="B29" s="29"/>
      <c r="C29" s="30"/>
      <c r="D29" s="30" t="s">
        <v>13</v>
      </c>
      <c r="E29" s="77"/>
      <c r="F29" s="258">
        <v>0</v>
      </c>
      <c r="G29" s="157"/>
      <c r="H29" s="141"/>
      <c r="I29" s="114"/>
    </row>
    <row r="30" spans="1:9" ht="12.75" customHeight="1">
      <c r="A30" s="30"/>
      <c r="B30" s="29"/>
      <c r="C30" s="30"/>
      <c r="D30" s="30" t="s">
        <v>14</v>
      </c>
      <c r="E30" s="77"/>
      <c r="F30" s="258">
        <v>0</v>
      </c>
      <c r="G30" s="157"/>
      <c r="H30" s="141"/>
      <c r="I30" s="114"/>
    </row>
    <row r="31" spans="1:9" ht="12.75" customHeight="1">
      <c r="A31" s="30"/>
      <c r="B31" s="29"/>
      <c r="C31" s="30"/>
      <c r="D31" s="30" t="s">
        <v>15</v>
      </c>
      <c r="E31" s="77"/>
      <c r="F31" s="261">
        <f>555698.21+722278.99+334724.1+22267.05+12240+197992.49-69462.27-83188.29-29106.44-8999.66</f>
        <v>1654444.18</v>
      </c>
      <c r="G31" s="157"/>
      <c r="H31" s="158"/>
      <c r="I31" s="127"/>
    </row>
    <row r="32" spans="1:9" ht="12.75" customHeight="1">
      <c r="A32" s="30"/>
      <c r="B32" s="29"/>
      <c r="C32" s="30"/>
      <c r="D32" s="30"/>
      <c r="E32" s="77"/>
      <c r="F32" s="157"/>
      <c r="G32" s="157"/>
      <c r="H32" s="137"/>
      <c r="I32" s="117"/>
    </row>
    <row r="33" spans="1:11" ht="12.75" customHeight="1" thickBot="1">
      <c r="A33" s="28"/>
      <c r="B33" s="27"/>
      <c r="C33" s="30"/>
      <c r="D33" s="30"/>
      <c r="E33" s="76"/>
      <c r="F33" s="188"/>
      <c r="G33" s="157"/>
      <c r="H33" s="262">
        <f>F24+F25+F26+F28+F29+F30+F31</f>
        <v>1661647.03</v>
      </c>
      <c r="I33" s="263">
        <v>1533743.68</v>
      </c>
      <c r="K33" s="1">
        <v>34505057</v>
      </c>
    </row>
    <row r="34" spans="1:9" ht="12.75" customHeight="1" thickTop="1">
      <c r="A34" s="34"/>
      <c r="B34" s="33"/>
      <c r="C34" s="31" t="s">
        <v>16</v>
      </c>
      <c r="D34" s="31"/>
      <c r="E34" s="79"/>
      <c r="F34" s="186"/>
      <c r="G34" s="157"/>
      <c r="H34" s="141"/>
      <c r="I34" s="114"/>
    </row>
    <row r="35" spans="1:11" ht="12.75" customHeight="1">
      <c r="A35" s="30"/>
      <c r="B35" s="29"/>
      <c r="C35" s="30"/>
      <c r="D35" s="30" t="s">
        <v>17</v>
      </c>
      <c r="E35" s="77"/>
      <c r="F35" s="257">
        <f>SUM(F36:F38)</f>
        <v>2446386.2800000003</v>
      </c>
      <c r="G35" s="157"/>
      <c r="H35" s="268">
        <f>F35+F39</f>
        <v>2316373.5200000005</v>
      </c>
      <c r="I35" s="269">
        <v>1384384.7</v>
      </c>
      <c r="K35" s="1">
        <v>2573756177</v>
      </c>
    </row>
    <row r="36" spans="1:9" ht="12.75" customHeight="1">
      <c r="A36" s="30"/>
      <c r="B36" s="29"/>
      <c r="C36" s="30"/>
      <c r="D36" s="30"/>
      <c r="E36" s="77" t="s">
        <v>210</v>
      </c>
      <c r="F36" s="265">
        <v>13.43</v>
      </c>
      <c r="G36" s="157"/>
      <c r="H36" s="146"/>
      <c r="I36" s="126"/>
    </row>
    <row r="37" spans="1:9" ht="12.75" customHeight="1">
      <c r="A37" s="30"/>
      <c r="B37" s="29"/>
      <c r="C37" s="30"/>
      <c r="D37" s="30"/>
      <c r="E37" s="77" t="s">
        <v>211</v>
      </c>
      <c r="F37" s="265">
        <v>2446372.85</v>
      </c>
      <c r="G37" s="157"/>
      <c r="H37" s="146"/>
      <c r="I37" s="126"/>
    </row>
    <row r="38" spans="1:9" ht="12.75" customHeight="1">
      <c r="A38" s="30"/>
      <c r="B38" s="29"/>
      <c r="C38" s="30"/>
      <c r="D38" s="30"/>
      <c r="E38" s="77" t="s">
        <v>18</v>
      </c>
      <c r="F38" s="265">
        <v>0</v>
      </c>
      <c r="G38" s="157"/>
      <c r="H38" s="146"/>
      <c r="I38" s="114"/>
    </row>
    <row r="39" spans="1:9" ht="12.75" customHeight="1">
      <c r="A39" s="30"/>
      <c r="B39" s="29"/>
      <c r="C39" s="30"/>
      <c r="D39" s="30"/>
      <c r="E39" s="80" t="s">
        <v>8</v>
      </c>
      <c r="F39" s="260">
        <f>SUM(F40:F41)</f>
        <v>-130012.76</v>
      </c>
      <c r="G39" s="157"/>
      <c r="H39" s="146"/>
      <c r="I39" s="114"/>
    </row>
    <row r="40" spans="1:9" ht="12.75" customHeight="1">
      <c r="A40" s="30"/>
      <c r="B40" s="29"/>
      <c r="C40" s="30"/>
      <c r="D40" s="30"/>
      <c r="E40" s="80" t="s">
        <v>212</v>
      </c>
      <c r="F40" s="266">
        <v>-130012.76</v>
      </c>
      <c r="G40" s="157"/>
      <c r="H40" s="146"/>
      <c r="I40" s="126"/>
    </row>
    <row r="41" spans="1:9" ht="12.75" customHeight="1">
      <c r="A41" s="30"/>
      <c r="B41" s="29"/>
      <c r="C41" s="30"/>
      <c r="D41" s="30"/>
      <c r="E41" s="80" t="s">
        <v>285</v>
      </c>
      <c r="F41" s="267">
        <v>0</v>
      </c>
      <c r="G41" s="157"/>
      <c r="H41" s="146"/>
      <c r="I41" s="114"/>
    </row>
    <row r="42" spans="1:11" ht="12.75" customHeight="1">
      <c r="A42" s="30"/>
      <c r="B42" s="29"/>
      <c r="C42" s="30"/>
      <c r="D42" s="30" t="s">
        <v>19</v>
      </c>
      <c r="E42" s="77"/>
      <c r="F42" s="257">
        <f>SUM(F43:F44)</f>
        <v>144817.9</v>
      </c>
      <c r="G42" s="157"/>
      <c r="H42" s="268">
        <f>F42+F45</f>
        <v>110534.32999999999</v>
      </c>
      <c r="I42" s="269">
        <v>86071.04</v>
      </c>
      <c r="K42" s="1">
        <v>42496200</v>
      </c>
    </row>
    <row r="43" spans="1:9" ht="12.75" customHeight="1">
      <c r="A43" s="30"/>
      <c r="B43" s="29"/>
      <c r="C43" s="30"/>
      <c r="D43" s="30"/>
      <c r="E43" s="77" t="s">
        <v>20</v>
      </c>
      <c r="F43" s="266">
        <v>144817.9</v>
      </c>
      <c r="G43" s="157"/>
      <c r="H43" s="146"/>
      <c r="I43" s="126"/>
    </row>
    <row r="44" spans="1:9" ht="12.75" customHeight="1">
      <c r="A44" s="30"/>
      <c r="B44" s="29"/>
      <c r="C44" s="30"/>
      <c r="D44" s="30"/>
      <c r="E44" s="77" t="s">
        <v>21</v>
      </c>
      <c r="F44" s="266">
        <v>0</v>
      </c>
      <c r="G44" s="157"/>
      <c r="H44" s="146"/>
      <c r="I44" s="114"/>
    </row>
    <row r="45" spans="1:9" ht="12.75" customHeight="1">
      <c r="A45" s="30"/>
      <c r="B45" s="29"/>
      <c r="C45" s="30"/>
      <c r="D45" s="30"/>
      <c r="E45" s="80" t="s">
        <v>8</v>
      </c>
      <c r="F45" s="260">
        <f>SUM(F46:F47)</f>
        <v>-34283.57</v>
      </c>
      <c r="G45" s="157"/>
      <c r="H45" s="146"/>
      <c r="I45" s="114"/>
    </row>
    <row r="46" spans="1:9" ht="12.75" customHeight="1">
      <c r="A46" s="30"/>
      <c r="B46" s="29"/>
      <c r="C46" s="30"/>
      <c r="D46" s="30"/>
      <c r="E46" s="80" t="s">
        <v>20</v>
      </c>
      <c r="F46" s="266">
        <v>-34283.57</v>
      </c>
      <c r="G46" s="157"/>
      <c r="H46" s="146"/>
      <c r="I46" s="126"/>
    </row>
    <row r="47" spans="1:9" ht="12.75" customHeight="1">
      <c r="A47" s="30"/>
      <c r="B47" s="29"/>
      <c r="C47" s="30"/>
      <c r="D47" s="30"/>
      <c r="E47" s="80" t="s">
        <v>21</v>
      </c>
      <c r="F47" s="267">
        <v>0</v>
      </c>
      <c r="G47" s="157"/>
      <c r="H47" s="146"/>
      <c r="I47" s="114"/>
    </row>
    <row r="48" spans="1:11" ht="12.75" customHeight="1">
      <c r="A48" s="30"/>
      <c r="B48" s="29"/>
      <c r="C48" s="30"/>
      <c r="D48" s="30" t="s">
        <v>22</v>
      </c>
      <c r="E48" s="77"/>
      <c r="F48" s="257">
        <f>SUM(F49:F54)</f>
        <v>633144.68</v>
      </c>
      <c r="G48" s="157"/>
      <c r="H48" s="268">
        <f>F48+F55</f>
        <v>459785.06000000006</v>
      </c>
      <c r="I48" s="269">
        <v>361503.98</v>
      </c>
      <c r="K48" s="1">
        <v>350259259</v>
      </c>
    </row>
    <row r="49" spans="1:9" ht="12.75" customHeight="1">
      <c r="A49" s="30"/>
      <c r="B49" s="29"/>
      <c r="C49" s="30"/>
      <c r="D49" s="30"/>
      <c r="E49" s="81" t="s">
        <v>23</v>
      </c>
      <c r="F49" s="266">
        <v>108424.46</v>
      </c>
      <c r="G49" s="157"/>
      <c r="H49" s="146"/>
      <c r="I49" s="114"/>
    </row>
    <row r="50" spans="1:9" ht="12.75" customHeight="1">
      <c r="A50" s="30"/>
      <c r="B50" s="29"/>
      <c r="C50" s="30"/>
      <c r="D50" s="30"/>
      <c r="E50" s="81" t="s">
        <v>213</v>
      </c>
      <c r="F50" s="266">
        <v>230631.95</v>
      </c>
      <c r="G50" s="157"/>
      <c r="H50" s="146"/>
      <c r="I50" s="126"/>
    </row>
    <row r="51" spans="1:9" ht="12.75" customHeight="1">
      <c r="A51" s="30"/>
      <c r="B51" s="29"/>
      <c r="C51" s="30"/>
      <c r="D51" s="30"/>
      <c r="E51" s="81" t="s">
        <v>214</v>
      </c>
      <c r="F51" s="266">
        <v>20270.41</v>
      </c>
      <c r="G51" s="157"/>
      <c r="H51" s="146"/>
      <c r="I51" s="126"/>
    </row>
    <row r="52" spans="1:9" ht="12.75" customHeight="1">
      <c r="A52" s="30"/>
      <c r="B52" s="29"/>
      <c r="C52" s="30"/>
      <c r="D52" s="30"/>
      <c r="E52" s="81" t="s">
        <v>24</v>
      </c>
      <c r="F52" s="266">
        <v>61569.47</v>
      </c>
      <c r="G52" s="157"/>
      <c r="H52" s="146"/>
      <c r="I52" s="126"/>
    </row>
    <row r="53" spans="1:9" ht="12.75" customHeight="1">
      <c r="A53" s="30"/>
      <c r="B53" s="29"/>
      <c r="C53" s="30"/>
      <c r="D53" s="30"/>
      <c r="E53" s="81" t="s">
        <v>25</v>
      </c>
      <c r="F53" s="266">
        <v>212248.39</v>
      </c>
      <c r="G53" s="157"/>
      <c r="H53" s="146"/>
      <c r="I53" s="126"/>
    </row>
    <row r="54" spans="1:9" ht="12.75" customHeight="1">
      <c r="A54" s="30"/>
      <c r="B54" s="29"/>
      <c r="C54" s="30"/>
      <c r="D54" s="30"/>
      <c r="E54" s="81" t="s">
        <v>220</v>
      </c>
      <c r="F54" s="266">
        <v>0</v>
      </c>
      <c r="G54" s="157"/>
      <c r="H54" s="146"/>
      <c r="I54" s="114"/>
    </row>
    <row r="55" spans="1:9" ht="12.75" customHeight="1">
      <c r="A55" s="30"/>
      <c r="B55" s="29"/>
      <c r="C55" s="30"/>
      <c r="D55" s="30"/>
      <c r="E55" s="82" t="s">
        <v>8</v>
      </c>
      <c r="F55" s="260">
        <f>SUM(F56:F61)</f>
        <v>-173359.62</v>
      </c>
      <c r="G55" s="157"/>
      <c r="H55" s="146"/>
      <c r="I55" s="114"/>
    </row>
    <row r="56" spans="1:9" ht="12.75" customHeight="1">
      <c r="A56" s="30"/>
      <c r="B56" s="29"/>
      <c r="C56" s="30"/>
      <c r="D56" s="30"/>
      <c r="E56" s="82" t="s">
        <v>23</v>
      </c>
      <c r="F56" s="266">
        <v>-51273.04</v>
      </c>
      <c r="G56" s="157"/>
      <c r="H56" s="146"/>
      <c r="I56" s="114"/>
    </row>
    <row r="57" spans="1:9" ht="12.75" customHeight="1">
      <c r="A57" s="30"/>
      <c r="B57" s="29"/>
      <c r="C57" s="30"/>
      <c r="D57" s="30"/>
      <c r="E57" s="82" t="s">
        <v>213</v>
      </c>
      <c r="F57" s="266">
        <v>-38603.84</v>
      </c>
      <c r="G57" s="157"/>
      <c r="H57" s="146"/>
      <c r="I57" s="126"/>
    </row>
    <row r="58" spans="1:9" ht="12.75" customHeight="1">
      <c r="A58" s="30"/>
      <c r="B58" s="29"/>
      <c r="C58" s="30"/>
      <c r="D58" s="30"/>
      <c r="E58" s="82" t="s">
        <v>214</v>
      </c>
      <c r="F58" s="266">
        <v>-9073.91</v>
      </c>
      <c r="G58" s="157"/>
      <c r="H58" s="146"/>
      <c r="I58" s="126"/>
    </row>
    <row r="59" spans="1:9" ht="12.75" customHeight="1">
      <c r="A59" s="30"/>
      <c r="B59" s="29"/>
      <c r="C59" s="30"/>
      <c r="D59" s="30"/>
      <c r="E59" s="82" t="s">
        <v>24</v>
      </c>
      <c r="F59" s="266">
        <v>-21323.45</v>
      </c>
      <c r="G59" s="157"/>
      <c r="H59" s="146"/>
      <c r="I59" s="126"/>
    </row>
    <row r="60" spans="1:9" ht="12.75" customHeight="1">
      <c r="A60" s="30"/>
      <c r="B60" s="29"/>
      <c r="C60" s="30"/>
      <c r="D60" s="30"/>
      <c r="E60" s="82" t="s">
        <v>25</v>
      </c>
      <c r="F60" s="137">
        <v>-53085.38</v>
      </c>
      <c r="G60" s="157"/>
      <c r="H60" s="146"/>
      <c r="I60" s="126"/>
    </row>
    <row r="61" spans="1:9" ht="12.75" customHeight="1">
      <c r="A61" s="30"/>
      <c r="B61" s="29"/>
      <c r="C61" s="30"/>
      <c r="D61" s="30"/>
      <c r="E61" s="82" t="s">
        <v>220</v>
      </c>
      <c r="F61" s="270">
        <v>0</v>
      </c>
      <c r="G61" s="157"/>
      <c r="H61" s="146"/>
      <c r="I61" s="114"/>
    </row>
    <row r="62" spans="1:11" ht="12.75" customHeight="1">
      <c r="A62" s="30"/>
      <c r="B62" s="29"/>
      <c r="C62" s="30"/>
      <c r="D62" s="30" t="s">
        <v>26</v>
      </c>
      <c r="E62" s="77"/>
      <c r="F62" s="271">
        <v>0</v>
      </c>
      <c r="G62" s="157"/>
      <c r="H62" s="268">
        <f>F62+F63</f>
        <v>0</v>
      </c>
      <c r="I62" s="269">
        <v>0</v>
      </c>
      <c r="K62" s="1">
        <v>0</v>
      </c>
    </row>
    <row r="63" spans="1:9" ht="12.75" customHeight="1">
      <c r="A63" s="30"/>
      <c r="B63" s="29"/>
      <c r="C63" s="30"/>
      <c r="D63" s="30"/>
      <c r="E63" s="82" t="s">
        <v>8</v>
      </c>
      <c r="F63" s="189"/>
      <c r="G63" s="157"/>
      <c r="H63" s="146"/>
      <c r="I63" s="114"/>
    </row>
    <row r="64" spans="1:11" ht="14.25" customHeight="1">
      <c r="A64" s="30"/>
      <c r="B64" s="29"/>
      <c r="C64" s="30"/>
      <c r="D64" s="30" t="s">
        <v>27</v>
      </c>
      <c r="E64" s="77"/>
      <c r="F64" s="272">
        <v>79684.97</v>
      </c>
      <c r="G64" s="157"/>
      <c r="H64" s="273">
        <f>F64+F69</f>
        <v>79684.97</v>
      </c>
      <c r="I64" s="274">
        <v>218340.52</v>
      </c>
      <c r="K64" s="1">
        <v>2284120396</v>
      </c>
    </row>
    <row r="65" spans="1:9" ht="6.75" customHeight="1">
      <c r="A65" s="30"/>
      <c r="B65" s="29"/>
      <c r="C65" s="30"/>
      <c r="D65" s="30"/>
      <c r="E65" s="76"/>
      <c r="F65" s="186"/>
      <c r="G65" s="157"/>
      <c r="H65" s="141"/>
      <c r="I65" s="114"/>
    </row>
    <row r="66" spans="1:11" ht="15.75" customHeight="1" thickBot="1">
      <c r="A66" s="28"/>
      <c r="B66" s="27"/>
      <c r="C66" s="30"/>
      <c r="D66" s="30"/>
      <c r="E66" s="75"/>
      <c r="F66" s="188"/>
      <c r="G66" s="157"/>
      <c r="H66" s="262">
        <f>SUM(H35:H64)</f>
        <v>2966377.880000001</v>
      </c>
      <c r="I66" s="263">
        <v>2050300.24</v>
      </c>
      <c r="K66" s="1">
        <v>5250632032</v>
      </c>
    </row>
    <row r="67" spans="1:9" ht="12.75" customHeight="1" thickTop="1">
      <c r="A67" s="30"/>
      <c r="B67" s="29"/>
      <c r="C67" s="31" t="s">
        <v>28</v>
      </c>
      <c r="D67" s="31"/>
      <c r="E67" s="74"/>
      <c r="F67" s="188"/>
      <c r="G67" s="157"/>
      <c r="H67" s="141"/>
      <c r="I67" s="114"/>
    </row>
    <row r="68" spans="1:9" ht="12.75" customHeight="1">
      <c r="A68" s="30"/>
      <c r="B68" s="29"/>
      <c r="C68" s="31"/>
      <c r="D68" s="31"/>
      <c r="E68" s="74" t="s">
        <v>29</v>
      </c>
      <c r="F68" s="188"/>
      <c r="G68" s="157"/>
      <c r="H68" s="141"/>
      <c r="I68" s="114"/>
    </row>
    <row r="69" spans="1:9" ht="12.75" customHeight="1">
      <c r="A69" s="30"/>
      <c r="B69" s="29"/>
      <c r="C69" s="31"/>
      <c r="D69" s="31"/>
      <c r="E69" s="74" t="s">
        <v>30</v>
      </c>
      <c r="F69" s="188"/>
      <c r="G69" s="157"/>
      <c r="H69" s="141"/>
      <c r="I69" s="114"/>
    </row>
    <row r="70" spans="1:9" ht="12.75" customHeight="1">
      <c r="A70" s="30"/>
      <c r="B70" s="29"/>
      <c r="D70" s="30" t="s">
        <v>31</v>
      </c>
      <c r="E70" s="75"/>
      <c r="F70" s="188"/>
      <c r="G70" s="157"/>
      <c r="H70" s="141"/>
      <c r="I70" s="114"/>
    </row>
    <row r="71" spans="1:11" ht="12.75" customHeight="1">
      <c r="A71" s="30"/>
      <c r="B71" s="29"/>
      <c r="C71" s="30"/>
      <c r="D71" s="30"/>
      <c r="E71" s="76" t="s">
        <v>32</v>
      </c>
      <c r="F71" s="186"/>
      <c r="G71" s="157"/>
      <c r="H71" s="259">
        <v>240000</v>
      </c>
      <c r="I71" s="269">
        <v>0</v>
      </c>
      <c r="K71" s="1">
        <v>0</v>
      </c>
    </row>
    <row r="72" spans="1:11" ht="12.75" customHeight="1">
      <c r="A72" s="30"/>
      <c r="B72" s="29"/>
      <c r="C72" s="30"/>
      <c r="D72" s="30"/>
      <c r="E72" s="76" t="s">
        <v>33</v>
      </c>
      <c r="F72" s="186"/>
      <c r="G72" s="157"/>
      <c r="H72" s="259">
        <v>0</v>
      </c>
      <c r="I72" s="269">
        <v>0</v>
      </c>
      <c r="K72" s="1">
        <v>0</v>
      </c>
    </row>
    <row r="73" spans="1:11" ht="12.75" customHeight="1">
      <c r="A73" s="30"/>
      <c r="B73" s="29"/>
      <c r="C73" s="30"/>
      <c r="D73" s="30"/>
      <c r="E73" s="76" t="s">
        <v>326</v>
      </c>
      <c r="F73" s="186"/>
      <c r="G73" s="157"/>
      <c r="H73" s="259">
        <v>0</v>
      </c>
      <c r="I73" s="269">
        <v>0</v>
      </c>
      <c r="K73" s="1">
        <v>0</v>
      </c>
    </row>
    <row r="74" spans="1:11" ht="12.75" customHeight="1">
      <c r="A74" s="30"/>
      <c r="B74" s="29"/>
      <c r="C74" s="30"/>
      <c r="D74" s="30"/>
      <c r="E74" s="76" t="s">
        <v>300</v>
      </c>
      <c r="F74" s="186"/>
      <c r="G74" s="157"/>
      <c r="H74" s="259">
        <v>0</v>
      </c>
      <c r="I74" s="269">
        <v>0</v>
      </c>
      <c r="K74" s="1">
        <v>0</v>
      </c>
    </row>
    <row r="75" spans="1:13" s="9" customFormat="1" ht="12.75" customHeight="1">
      <c r="A75" s="36"/>
      <c r="B75" s="35"/>
      <c r="C75" s="36"/>
      <c r="D75" s="36"/>
      <c r="E75" s="83" t="s">
        <v>34</v>
      </c>
      <c r="F75" s="190"/>
      <c r="G75" s="191"/>
      <c r="H75" s="276">
        <v>0</v>
      </c>
      <c r="I75" s="269">
        <v>0</v>
      </c>
      <c r="K75" s="9">
        <v>0</v>
      </c>
      <c r="M75" s="134"/>
    </row>
    <row r="76" spans="1:9" ht="12.75" customHeight="1">
      <c r="A76" s="30"/>
      <c r="B76" s="29"/>
      <c r="C76" s="30"/>
      <c r="D76" s="30" t="s">
        <v>35</v>
      </c>
      <c r="E76" s="75"/>
      <c r="F76" s="275" t="s">
        <v>36</v>
      </c>
      <c r="G76" s="275" t="s">
        <v>37</v>
      </c>
      <c r="H76" s="259"/>
      <c r="I76" s="277"/>
    </row>
    <row r="77" spans="1:11" ht="12.75" customHeight="1">
      <c r="A77" s="30"/>
      <c r="B77" s="29"/>
      <c r="C77" s="30"/>
      <c r="D77" s="30"/>
      <c r="E77" s="76" t="s">
        <v>38</v>
      </c>
      <c r="F77" s="278">
        <v>0</v>
      </c>
      <c r="G77" s="281">
        <v>0</v>
      </c>
      <c r="H77" s="268">
        <f>F77+G77</f>
        <v>0</v>
      </c>
      <c r="I77" s="269">
        <v>0</v>
      </c>
      <c r="K77" s="1">
        <v>0</v>
      </c>
    </row>
    <row r="78" spans="1:11" ht="12.75" customHeight="1">
      <c r="A78" s="30"/>
      <c r="B78" s="29"/>
      <c r="C78" s="30"/>
      <c r="D78" s="30"/>
      <c r="E78" s="76" t="s">
        <v>39</v>
      </c>
      <c r="F78" s="279">
        <v>0</v>
      </c>
      <c r="G78" s="282">
        <v>0</v>
      </c>
      <c r="H78" s="268">
        <f>F78+G78</f>
        <v>0</v>
      </c>
      <c r="I78" s="269">
        <v>0</v>
      </c>
      <c r="K78" s="1">
        <v>0</v>
      </c>
    </row>
    <row r="79" spans="1:11" ht="12.75" customHeight="1">
      <c r="A79" s="30"/>
      <c r="B79" s="29"/>
      <c r="C79" s="30"/>
      <c r="D79" s="30"/>
      <c r="E79" s="76" t="s">
        <v>326</v>
      </c>
      <c r="F79" s="279">
        <v>0</v>
      </c>
      <c r="G79" s="282">
        <v>0</v>
      </c>
      <c r="H79" s="268">
        <f>F79+G79</f>
        <v>0</v>
      </c>
      <c r="I79" s="269">
        <v>0</v>
      </c>
      <c r="K79" s="1">
        <v>0</v>
      </c>
    </row>
    <row r="80" spans="1:15" ht="12.75" customHeight="1">
      <c r="A80" s="30"/>
      <c r="B80" s="29"/>
      <c r="C80" s="30"/>
      <c r="D80" s="30"/>
      <c r="E80" s="76" t="s">
        <v>301</v>
      </c>
      <c r="F80" s="280">
        <v>0</v>
      </c>
      <c r="G80" s="283">
        <v>0</v>
      </c>
      <c r="H80" s="268">
        <f>F80+G80</f>
        <v>0</v>
      </c>
      <c r="I80" s="269">
        <v>0</v>
      </c>
      <c r="K80" s="1">
        <v>0</v>
      </c>
      <c r="O80" s="11"/>
    </row>
    <row r="81" spans="1:11" ht="12.75" customHeight="1">
      <c r="A81" s="30"/>
      <c r="B81" s="29"/>
      <c r="C81" s="30"/>
      <c r="D81" s="30" t="s">
        <v>40</v>
      </c>
      <c r="E81" s="75"/>
      <c r="F81" s="188"/>
      <c r="G81" s="157"/>
      <c r="H81" s="259">
        <v>0</v>
      </c>
      <c r="I81" s="269">
        <v>0</v>
      </c>
      <c r="K81" s="1">
        <v>0</v>
      </c>
    </row>
    <row r="82" spans="1:11" ht="12.75" customHeight="1">
      <c r="A82" s="30"/>
      <c r="B82" s="29"/>
      <c r="C82" s="30"/>
      <c r="D82" s="30" t="s">
        <v>299</v>
      </c>
      <c r="E82" s="75"/>
      <c r="F82" s="188"/>
      <c r="G82" s="157"/>
      <c r="H82" s="259">
        <v>0</v>
      </c>
      <c r="I82" s="269">
        <v>0</v>
      </c>
      <c r="K82" s="1">
        <v>0</v>
      </c>
    </row>
    <row r="83" spans="1:9" ht="12.75" customHeight="1">
      <c r="A83" s="30"/>
      <c r="B83" s="29"/>
      <c r="C83" s="30"/>
      <c r="D83" s="30"/>
      <c r="E83" s="76"/>
      <c r="F83" s="186"/>
      <c r="G83" s="157"/>
      <c r="H83" s="259"/>
      <c r="I83" s="277"/>
    </row>
    <row r="84" spans="1:11" ht="12.75" customHeight="1" thickBot="1">
      <c r="A84" s="28"/>
      <c r="B84" s="27"/>
      <c r="C84" s="30"/>
      <c r="D84" s="30"/>
      <c r="E84" s="75"/>
      <c r="F84" s="188"/>
      <c r="G84" s="157"/>
      <c r="H84" s="262">
        <f>SUM(H71:H82)</f>
        <v>240000</v>
      </c>
      <c r="I84" s="263">
        <v>0</v>
      </c>
      <c r="K84" s="1">
        <v>0</v>
      </c>
    </row>
    <row r="85" spans="1:9" ht="12.75" customHeight="1" thickTop="1">
      <c r="A85" s="30"/>
      <c r="B85" s="29"/>
      <c r="C85" s="30"/>
      <c r="D85" s="30"/>
      <c r="E85" s="76"/>
      <c r="F85" s="186"/>
      <c r="G85" s="157"/>
      <c r="H85" s="141"/>
      <c r="I85" s="114"/>
    </row>
    <row r="86" spans="1:13" s="8" customFormat="1" ht="12.75" customHeight="1">
      <c r="A86" s="28"/>
      <c r="B86" s="27" t="s">
        <v>41</v>
      </c>
      <c r="C86" s="28"/>
      <c r="D86" s="28"/>
      <c r="E86" s="73"/>
      <c r="F86" s="193"/>
      <c r="G86" s="157"/>
      <c r="H86" s="284">
        <f>H98+H124+H133+H149</f>
        <v>3373934.64</v>
      </c>
      <c r="I86" s="285">
        <v>2143582.59</v>
      </c>
      <c r="K86" s="8">
        <v>3814237939</v>
      </c>
      <c r="M86" s="129"/>
    </row>
    <row r="87" spans="1:11" ht="12.75" customHeight="1">
      <c r="A87" s="25"/>
      <c r="B87" s="24"/>
      <c r="C87" s="31" t="s">
        <v>42</v>
      </c>
      <c r="D87" s="31"/>
      <c r="E87" s="74"/>
      <c r="F87" s="157"/>
      <c r="G87" s="157"/>
      <c r="H87" s="259">
        <f>F87</f>
        <v>0</v>
      </c>
      <c r="I87" s="269">
        <v>0</v>
      </c>
      <c r="K87" s="1">
        <v>0</v>
      </c>
    </row>
    <row r="88" spans="1:11" ht="12.75" customHeight="1">
      <c r="A88" s="25"/>
      <c r="B88" s="24"/>
      <c r="C88" s="25"/>
      <c r="D88" s="25" t="s">
        <v>43</v>
      </c>
      <c r="E88" s="77"/>
      <c r="F88" s="258">
        <f>SUM(F89:F90)</f>
        <v>31920.15</v>
      </c>
      <c r="G88" s="157"/>
      <c r="H88" s="259">
        <f>F88</f>
        <v>31920.15</v>
      </c>
      <c r="I88" s="269">
        <v>30990.2</v>
      </c>
      <c r="K88" s="1">
        <v>45977035</v>
      </c>
    </row>
    <row r="89" spans="1:9" ht="12.75" customHeight="1">
      <c r="A89" s="25"/>
      <c r="B89" s="24"/>
      <c r="C89" s="25"/>
      <c r="D89" s="25"/>
      <c r="E89" s="77" t="s">
        <v>192</v>
      </c>
      <c r="F89" s="203">
        <v>26905</v>
      </c>
      <c r="G89" s="194"/>
      <c r="H89" s="141"/>
      <c r="I89" s="114"/>
    </row>
    <row r="90" spans="1:9" ht="12.75" customHeight="1">
      <c r="A90" s="25"/>
      <c r="B90" s="24"/>
      <c r="C90" s="25"/>
      <c r="D90" s="25"/>
      <c r="E90" s="77" t="s">
        <v>224</v>
      </c>
      <c r="F90" s="203">
        <v>5015.15</v>
      </c>
      <c r="G90" s="194"/>
      <c r="H90" s="141"/>
      <c r="I90" s="114"/>
    </row>
    <row r="91" spans="1:12" ht="12.75" customHeight="1">
      <c r="A91" s="25"/>
      <c r="B91" s="24"/>
      <c r="C91" s="25"/>
      <c r="D91" s="25" t="s">
        <v>44</v>
      </c>
      <c r="E91" s="77"/>
      <c r="F91" s="157">
        <v>0</v>
      </c>
      <c r="G91" s="157"/>
      <c r="H91" s="259">
        <f>F91</f>
        <v>0</v>
      </c>
      <c r="I91" s="269">
        <v>0</v>
      </c>
      <c r="K91" s="1">
        <v>0</v>
      </c>
      <c r="L91" s="171"/>
    </row>
    <row r="92" spans="1:11" ht="12.75" customHeight="1">
      <c r="A92" s="25"/>
      <c r="B92" s="24"/>
      <c r="C92" s="25"/>
      <c r="D92" s="25" t="s">
        <v>45</v>
      </c>
      <c r="E92" s="77"/>
      <c r="F92" s="157">
        <v>0</v>
      </c>
      <c r="G92" s="157"/>
      <c r="H92" s="259">
        <f>F92</f>
        <v>0</v>
      </c>
      <c r="I92" s="269">
        <v>0</v>
      </c>
      <c r="K92" s="1">
        <v>0</v>
      </c>
    </row>
    <row r="93" spans="1:11" ht="12.75" customHeight="1">
      <c r="A93" s="25"/>
      <c r="B93" s="24"/>
      <c r="C93" s="25"/>
      <c r="D93" s="25" t="s">
        <v>46</v>
      </c>
      <c r="E93" s="77"/>
      <c r="F93" s="258">
        <f>SUM(F94:F95)</f>
        <v>285024.87</v>
      </c>
      <c r="G93" s="157"/>
      <c r="H93" s="259">
        <f>F93</f>
        <v>285024.87</v>
      </c>
      <c r="I93" s="269">
        <v>351406.85</v>
      </c>
      <c r="K93" s="1">
        <v>680789863</v>
      </c>
    </row>
    <row r="94" spans="1:9" ht="12.75" customHeight="1">
      <c r="A94" s="25"/>
      <c r="B94" s="24"/>
      <c r="C94" s="25"/>
      <c r="D94" s="25"/>
      <c r="E94" s="77" t="s">
        <v>190</v>
      </c>
      <c r="F94" s="203">
        <v>96767.84</v>
      </c>
      <c r="G94" s="157"/>
      <c r="H94" s="141"/>
      <c r="I94" s="114"/>
    </row>
    <row r="95" spans="1:9" ht="12.75" customHeight="1">
      <c r="A95" s="25"/>
      <c r="B95" s="24"/>
      <c r="C95" s="25"/>
      <c r="D95" s="25"/>
      <c r="E95" s="77" t="s">
        <v>191</v>
      </c>
      <c r="F95" s="203">
        <v>188257.03</v>
      </c>
      <c r="G95" s="157"/>
      <c r="H95" s="141"/>
      <c r="I95" s="114"/>
    </row>
    <row r="96" spans="1:11" ht="12.75" customHeight="1">
      <c r="A96" s="25"/>
      <c r="B96" s="24"/>
      <c r="C96" s="25"/>
      <c r="D96" s="25" t="s">
        <v>47</v>
      </c>
      <c r="E96" s="77"/>
      <c r="F96" s="157">
        <v>0</v>
      </c>
      <c r="G96" s="157"/>
      <c r="H96" s="286">
        <f>F96</f>
        <v>0</v>
      </c>
      <c r="I96" s="274">
        <v>0</v>
      </c>
      <c r="K96" s="1">
        <v>0</v>
      </c>
    </row>
    <row r="97" spans="1:9" ht="12.75" customHeight="1">
      <c r="A97" s="25"/>
      <c r="B97" s="24"/>
      <c r="C97" s="25"/>
      <c r="D97" s="25"/>
      <c r="E97" s="26"/>
      <c r="F97" s="195"/>
      <c r="G97" s="157"/>
      <c r="H97" s="141"/>
      <c r="I97" s="114"/>
    </row>
    <row r="98" spans="1:11" ht="12.75" customHeight="1" thickBot="1">
      <c r="A98" s="28"/>
      <c r="B98" s="27"/>
      <c r="C98" s="25"/>
      <c r="D98" s="25"/>
      <c r="E98" s="77"/>
      <c r="F98" s="157"/>
      <c r="G98" s="157"/>
      <c r="H98" s="262">
        <f>SUM(H88:H96)</f>
        <v>316945.02</v>
      </c>
      <c r="I98" s="263">
        <v>382397.05</v>
      </c>
      <c r="K98" s="1">
        <v>726766898</v>
      </c>
    </row>
    <row r="99" spans="1:9" ht="12.75" customHeight="1" thickTop="1">
      <c r="A99" s="25"/>
      <c r="B99" s="24"/>
      <c r="C99" s="31" t="s">
        <v>48</v>
      </c>
      <c r="D99" s="31"/>
      <c r="E99" s="74"/>
      <c r="F99" s="157"/>
      <c r="G99" s="157"/>
      <c r="H99" s="141"/>
      <c r="I99" s="114"/>
    </row>
    <row r="100" spans="1:9" ht="12.75" customHeight="1">
      <c r="A100" s="25"/>
      <c r="B100" s="24"/>
      <c r="C100" s="31"/>
      <c r="D100" s="31"/>
      <c r="E100" s="74" t="s">
        <v>49</v>
      </c>
      <c r="F100" s="275" t="s">
        <v>36</v>
      </c>
      <c r="G100" s="275" t="s">
        <v>37</v>
      </c>
      <c r="H100" s="141"/>
      <c r="I100" s="114"/>
    </row>
    <row r="101" spans="1:11" ht="12.75" customHeight="1">
      <c r="A101" s="25"/>
      <c r="B101" s="24"/>
      <c r="C101" s="25"/>
      <c r="D101" s="25" t="s">
        <v>50</v>
      </c>
      <c r="E101" s="77"/>
      <c r="F101" s="287">
        <f>SUM(F102:F104)</f>
        <v>1029178.3199999998</v>
      </c>
      <c r="G101" s="287">
        <f>SUM(G102:G104)</f>
        <v>0</v>
      </c>
      <c r="H101" s="268">
        <f>F101+G101</f>
        <v>1029178.3199999998</v>
      </c>
      <c r="I101" s="269">
        <v>292326.32</v>
      </c>
      <c r="K101" s="1">
        <v>347485288</v>
      </c>
    </row>
    <row r="102" spans="1:9" ht="12.75" customHeight="1">
      <c r="A102" s="25"/>
      <c r="B102" s="24"/>
      <c r="C102" s="25"/>
      <c r="D102" s="25" t="s">
        <v>51</v>
      </c>
      <c r="E102" s="77" t="s">
        <v>202</v>
      </c>
      <c r="F102" s="203">
        <f>1414598.97-F108-F117</f>
        <v>980387.4499999998</v>
      </c>
      <c r="G102" s="203">
        <v>0</v>
      </c>
      <c r="H102" s="141"/>
      <c r="I102" s="114"/>
    </row>
    <row r="103" spans="1:9" ht="12.75" customHeight="1">
      <c r="A103" s="25"/>
      <c r="B103" s="24"/>
      <c r="C103" s="25"/>
      <c r="D103" s="25"/>
      <c r="E103" s="77" t="s">
        <v>174</v>
      </c>
      <c r="F103" s="203">
        <v>51511.9</v>
      </c>
      <c r="G103" s="203">
        <v>0</v>
      </c>
      <c r="H103" s="141"/>
      <c r="I103" s="114"/>
    </row>
    <row r="104" spans="1:9" ht="12.75" customHeight="1">
      <c r="A104" s="25"/>
      <c r="B104" s="24"/>
      <c r="C104" s="25"/>
      <c r="D104" s="25"/>
      <c r="E104" s="80" t="s">
        <v>52</v>
      </c>
      <c r="F104" s="288">
        <v>-2721.03</v>
      </c>
      <c r="G104" s="291">
        <v>0</v>
      </c>
      <c r="H104" s="141"/>
      <c r="I104" s="114"/>
    </row>
    <row r="105" spans="1:11" ht="12.75" customHeight="1">
      <c r="A105" s="25"/>
      <c r="B105" s="24"/>
      <c r="C105" s="25"/>
      <c r="D105" s="25" t="s">
        <v>53</v>
      </c>
      <c r="E105" s="77"/>
      <c r="F105" s="258">
        <v>0</v>
      </c>
      <c r="G105" s="258">
        <v>0</v>
      </c>
      <c r="H105" s="268">
        <f>F105+G105</f>
        <v>0</v>
      </c>
      <c r="I105" s="269">
        <v>0</v>
      </c>
      <c r="K105" s="1">
        <v>0</v>
      </c>
    </row>
    <row r="106" spans="1:11" ht="12.75" customHeight="1">
      <c r="A106" s="25"/>
      <c r="B106" s="24"/>
      <c r="C106" s="25"/>
      <c r="D106" s="25" t="s">
        <v>54</v>
      </c>
      <c r="E106" s="77"/>
      <c r="F106" s="258">
        <v>0</v>
      </c>
      <c r="G106" s="258">
        <v>0</v>
      </c>
      <c r="H106" s="268">
        <f>F106+G106</f>
        <v>0</v>
      </c>
      <c r="I106" s="269">
        <v>0</v>
      </c>
      <c r="K106" s="1">
        <v>0</v>
      </c>
    </row>
    <row r="107" spans="1:11" ht="12.75" customHeight="1">
      <c r="A107" s="25"/>
      <c r="B107" s="24"/>
      <c r="C107" s="25"/>
      <c r="D107" s="25" t="s">
        <v>327</v>
      </c>
      <c r="E107" s="77"/>
      <c r="F107" s="258">
        <f>SUM(F108:F110)</f>
        <v>152140.55000000002</v>
      </c>
      <c r="G107" s="258">
        <f>SUM(G108:G109)</f>
        <v>0</v>
      </c>
      <c r="H107" s="268">
        <f>F107+G107</f>
        <v>152140.55000000002</v>
      </c>
      <c r="I107" s="269">
        <v>295887.42</v>
      </c>
      <c r="K107" s="1">
        <v>731358528</v>
      </c>
    </row>
    <row r="108" spans="1:9" ht="12.75" customHeight="1">
      <c r="A108" s="25"/>
      <c r="B108" s="24"/>
      <c r="C108" s="25"/>
      <c r="D108" s="25" t="s">
        <v>51</v>
      </c>
      <c r="E108" s="77" t="s">
        <v>203</v>
      </c>
      <c r="F108" s="203">
        <v>118749.88</v>
      </c>
      <c r="G108" s="203">
        <v>0</v>
      </c>
      <c r="H108" s="268"/>
      <c r="I108" s="277"/>
    </row>
    <row r="109" spans="1:9" ht="12.75" customHeight="1">
      <c r="A109" s="25"/>
      <c r="B109" s="24"/>
      <c r="C109" s="25"/>
      <c r="D109" s="25"/>
      <c r="E109" s="77" t="s">
        <v>174</v>
      </c>
      <c r="F109" s="203">
        <v>44255.64</v>
      </c>
      <c r="G109" s="203">
        <v>0</v>
      </c>
      <c r="H109" s="268"/>
      <c r="I109" s="277"/>
    </row>
    <row r="110" spans="1:9" ht="12.75" customHeight="1">
      <c r="A110" s="25"/>
      <c r="B110" s="24"/>
      <c r="C110" s="25"/>
      <c r="D110" s="25"/>
      <c r="E110" s="77" t="s">
        <v>200</v>
      </c>
      <c r="F110" s="289">
        <v>-10864.97</v>
      </c>
      <c r="G110" s="203">
        <v>0</v>
      </c>
      <c r="H110" s="268"/>
      <c r="I110" s="277"/>
    </row>
    <row r="111" spans="1:11" ht="12.75" customHeight="1">
      <c r="A111" s="25"/>
      <c r="B111" s="24"/>
      <c r="C111" s="25"/>
      <c r="D111" s="25" t="s">
        <v>293</v>
      </c>
      <c r="E111" s="77"/>
      <c r="F111" s="258">
        <f>SUM(F112:F114)</f>
        <v>179865.06</v>
      </c>
      <c r="G111" s="258">
        <f>SUM(G112:G114)</f>
        <v>0</v>
      </c>
      <c r="H111" s="268">
        <f>F111+G111</f>
        <v>179865.06</v>
      </c>
      <c r="I111" s="269">
        <v>0</v>
      </c>
      <c r="K111" s="1">
        <v>731358528</v>
      </c>
    </row>
    <row r="112" spans="1:13" ht="12.75" customHeight="1">
      <c r="A112" s="25"/>
      <c r="B112" s="24"/>
      <c r="C112" s="25"/>
      <c r="D112" s="25" t="s">
        <v>115</v>
      </c>
      <c r="E112" s="18" t="s">
        <v>227</v>
      </c>
      <c r="F112" s="137">
        <f>3418.11+6075.12</f>
        <v>9493.23</v>
      </c>
      <c r="G112" s="292">
        <v>0</v>
      </c>
      <c r="H112" s="259"/>
      <c r="I112" s="277"/>
      <c r="L112" s="171"/>
      <c r="M112" s="171"/>
    </row>
    <row r="113" spans="1:13" ht="12.75" customHeight="1">
      <c r="A113" s="25"/>
      <c r="B113" s="24"/>
      <c r="C113" s="25"/>
      <c r="D113" s="25" t="s">
        <v>115</v>
      </c>
      <c r="E113" s="18" t="s">
        <v>226</v>
      </c>
      <c r="F113" s="137">
        <f>119473.2-111976.37</f>
        <v>7496.830000000002</v>
      </c>
      <c r="G113" s="292">
        <v>0</v>
      </c>
      <c r="H113" s="259"/>
      <c r="I113" s="277"/>
      <c r="M113" s="171"/>
    </row>
    <row r="114" spans="1:9" ht="12.75" customHeight="1">
      <c r="A114" s="25"/>
      <c r="B114" s="24"/>
      <c r="C114" s="25"/>
      <c r="D114" s="25" t="s">
        <v>115</v>
      </c>
      <c r="E114" s="18" t="s">
        <v>330</v>
      </c>
      <c r="F114" s="137">
        <v>162875</v>
      </c>
      <c r="G114" s="292">
        <v>0</v>
      </c>
      <c r="H114" s="259"/>
      <c r="I114" s="277"/>
    </row>
    <row r="115" spans="1:11" ht="12.75" customHeight="1">
      <c r="A115" s="25"/>
      <c r="B115" s="24"/>
      <c r="C115" s="25"/>
      <c r="D115" s="25" t="s">
        <v>294</v>
      </c>
      <c r="E115" s="77"/>
      <c r="F115" s="258">
        <v>0</v>
      </c>
      <c r="G115" s="258">
        <v>0</v>
      </c>
      <c r="H115" s="268">
        <f>F115+G115</f>
        <v>0</v>
      </c>
      <c r="I115" s="269">
        <v>0</v>
      </c>
      <c r="K115" s="1">
        <v>731358528</v>
      </c>
    </row>
    <row r="116" spans="1:11" ht="12.75" customHeight="1">
      <c r="A116" s="25"/>
      <c r="B116" s="24"/>
      <c r="C116" s="25"/>
      <c r="D116" s="25" t="s">
        <v>55</v>
      </c>
      <c r="E116" s="77"/>
      <c r="F116" s="279">
        <f>SUM(F117:F122)</f>
        <v>807369.8</v>
      </c>
      <c r="G116" s="282">
        <f>SUM(G117:G122)</f>
        <v>0</v>
      </c>
      <c r="H116" s="268">
        <f>F116+G116</f>
        <v>807369.8</v>
      </c>
      <c r="I116" s="269">
        <v>614363.01</v>
      </c>
      <c r="K116" s="1">
        <v>733432505</v>
      </c>
    </row>
    <row r="117" spans="1:9" ht="12.75" customHeight="1">
      <c r="A117" s="25"/>
      <c r="B117" s="24"/>
      <c r="C117" s="25"/>
      <c r="D117" s="25" t="s">
        <v>115</v>
      </c>
      <c r="E117" s="77" t="s">
        <v>205</v>
      </c>
      <c r="F117" s="290">
        <v>315461.64</v>
      </c>
      <c r="G117" s="293">
        <v>0</v>
      </c>
      <c r="H117" s="259"/>
      <c r="I117" s="277"/>
    </row>
    <row r="118" spans="1:9" ht="12.75" customHeight="1">
      <c r="A118" s="25"/>
      <c r="B118" s="24"/>
      <c r="C118" s="25"/>
      <c r="D118" s="25" t="s">
        <v>115</v>
      </c>
      <c r="E118" s="77" t="s">
        <v>204</v>
      </c>
      <c r="F118" s="290">
        <v>469278.95</v>
      </c>
      <c r="G118" s="293">
        <v>0</v>
      </c>
      <c r="H118" s="259"/>
      <c r="I118" s="277"/>
    </row>
    <row r="119" spans="1:9" ht="12.75" customHeight="1">
      <c r="A119" s="25"/>
      <c r="B119" s="24"/>
      <c r="C119" s="25"/>
      <c r="D119" s="25" t="s">
        <v>115</v>
      </c>
      <c r="E119" s="18" t="s">
        <v>245</v>
      </c>
      <c r="F119" s="137">
        <v>0</v>
      </c>
      <c r="G119" s="292">
        <v>0</v>
      </c>
      <c r="H119" s="259"/>
      <c r="I119" s="277"/>
    </row>
    <row r="120" spans="1:9" ht="12.75" customHeight="1">
      <c r="A120" s="25"/>
      <c r="B120" s="24"/>
      <c r="C120" s="25"/>
      <c r="D120" s="25" t="s">
        <v>115</v>
      </c>
      <c r="E120" s="18" t="s">
        <v>225</v>
      </c>
      <c r="F120" s="137">
        <f>3024.9+10325.23</f>
        <v>13350.13</v>
      </c>
      <c r="G120" s="292">
        <v>0</v>
      </c>
      <c r="H120" s="259"/>
      <c r="I120" s="277"/>
    </row>
    <row r="121" spans="1:9" ht="12.75" customHeight="1">
      <c r="A121" s="25"/>
      <c r="B121" s="24"/>
      <c r="C121" s="25"/>
      <c r="D121" s="25" t="s">
        <v>115</v>
      </c>
      <c r="E121" s="18" t="s">
        <v>233</v>
      </c>
      <c r="F121" s="137">
        <v>688</v>
      </c>
      <c r="G121" s="292">
        <v>0</v>
      </c>
      <c r="H121" s="259"/>
      <c r="I121" s="277"/>
    </row>
    <row r="122" spans="1:9" ht="12.75" customHeight="1">
      <c r="A122" s="25"/>
      <c r="B122" s="24"/>
      <c r="C122" s="25"/>
      <c r="D122" s="25" t="s">
        <v>115</v>
      </c>
      <c r="E122" s="18" t="s">
        <v>215</v>
      </c>
      <c r="F122" s="137">
        <v>8591.08</v>
      </c>
      <c r="G122" s="292">
        <v>0</v>
      </c>
      <c r="H122" s="259"/>
      <c r="I122" s="277"/>
    </row>
    <row r="123" spans="1:9" ht="12.75" customHeight="1">
      <c r="A123" s="25"/>
      <c r="B123" s="24"/>
      <c r="C123" s="25"/>
      <c r="D123" s="25"/>
      <c r="E123" s="26"/>
      <c r="F123" s="195"/>
      <c r="G123" s="157"/>
      <c r="H123" s="259"/>
      <c r="I123" s="277"/>
    </row>
    <row r="124" spans="1:11" ht="12.75" customHeight="1" thickBot="1">
      <c r="A124" s="28"/>
      <c r="B124" s="27"/>
      <c r="C124" s="25"/>
      <c r="D124" s="25"/>
      <c r="E124" s="77"/>
      <c r="F124" s="157"/>
      <c r="G124" s="157"/>
      <c r="H124" s="262">
        <f>SUM(H101:H122)</f>
        <v>2168553.73</v>
      </c>
      <c r="I124" s="263">
        <v>1202576.75</v>
      </c>
      <c r="K124" s="1">
        <v>1812276321</v>
      </c>
    </row>
    <row r="125" spans="1:9" ht="12.75" customHeight="1" thickTop="1">
      <c r="A125" s="25"/>
      <c r="B125" s="24"/>
      <c r="C125" s="31" t="s">
        <v>56</v>
      </c>
      <c r="D125" s="31"/>
      <c r="E125" s="74"/>
      <c r="F125" s="157"/>
      <c r="G125" s="157"/>
      <c r="H125" s="141"/>
      <c r="I125" s="114"/>
    </row>
    <row r="126" spans="1:11" ht="12.75" customHeight="1">
      <c r="A126" s="25"/>
      <c r="B126" s="24"/>
      <c r="C126" s="25"/>
      <c r="D126" s="25" t="s">
        <v>57</v>
      </c>
      <c r="E126" s="26"/>
      <c r="F126" s="195"/>
      <c r="G126" s="157"/>
      <c r="H126" s="259">
        <v>0</v>
      </c>
      <c r="I126" s="269">
        <v>0</v>
      </c>
      <c r="K126" s="1">
        <v>0</v>
      </c>
    </row>
    <row r="127" spans="1:11" ht="12.75" customHeight="1">
      <c r="A127" s="25"/>
      <c r="B127" s="24"/>
      <c r="C127" s="25"/>
      <c r="D127" s="25" t="s">
        <v>58</v>
      </c>
      <c r="E127" s="26"/>
      <c r="F127" s="195"/>
      <c r="G127" s="157"/>
      <c r="H127" s="259">
        <v>0</v>
      </c>
      <c r="I127" s="269">
        <v>0</v>
      </c>
      <c r="K127" s="1">
        <v>0</v>
      </c>
    </row>
    <row r="128" spans="1:11" ht="12.75" customHeight="1">
      <c r="A128" s="25"/>
      <c r="B128" s="24"/>
      <c r="C128" s="25"/>
      <c r="D128" s="25" t="s">
        <v>295</v>
      </c>
      <c r="E128" s="26"/>
      <c r="F128" s="195"/>
      <c r="G128" s="157"/>
      <c r="H128" s="259">
        <v>0</v>
      </c>
      <c r="I128" s="269">
        <v>0</v>
      </c>
      <c r="K128" s="1">
        <v>0</v>
      </c>
    </row>
    <row r="129" spans="1:11" ht="12.75" customHeight="1">
      <c r="A129" s="25"/>
      <c r="B129" s="24"/>
      <c r="C129" s="25"/>
      <c r="D129" s="25" t="s">
        <v>298</v>
      </c>
      <c r="E129" s="26"/>
      <c r="F129" s="195"/>
      <c r="G129" s="157"/>
      <c r="H129" s="259">
        <v>0</v>
      </c>
      <c r="I129" s="269">
        <v>0</v>
      </c>
      <c r="K129" s="1">
        <v>0</v>
      </c>
    </row>
    <row r="130" spans="1:11" ht="12.75" customHeight="1">
      <c r="A130" s="25"/>
      <c r="B130" s="24"/>
      <c r="C130" s="25"/>
      <c r="D130" s="25" t="s">
        <v>296</v>
      </c>
      <c r="E130" s="26"/>
      <c r="F130" s="195"/>
      <c r="G130" s="157"/>
      <c r="H130" s="259">
        <v>0</v>
      </c>
      <c r="I130" s="269">
        <v>0</v>
      </c>
      <c r="K130" s="1">
        <v>0</v>
      </c>
    </row>
    <row r="131" spans="1:11" ht="12.75" customHeight="1">
      <c r="A131" s="25"/>
      <c r="B131" s="24"/>
      <c r="C131" s="25"/>
      <c r="D131" s="25" t="s">
        <v>297</v>
      </c>
      <c r="E131" s="77"/>
      <c r="F131" s="157"/>
      <c r="G131" s="157"/>
      <c r="H131" s="286">
        <v>0</v>
      </c>
      <c r="I131" s="274">
        <v>0</v>
      </c>
      <c r="K131" s="1">
        <v>0</v>
      </c>
    </row>
    <row r="132" spans="1:9" ht="12.75" customHeight="1">
      <c r="A132" s="25"/>
      <c r="B132" s="24"/>
      <c r="C132" s="25"/>
      <c r="D132" s="25"/>
      <c r="E132" s="26"/>
      <c r="F132" s="195"/>
      <c r="G132" s="157"/>
      <c r="H132" s="259"/>
      <c r="I132" s="269"/>
    </row>
    <row r="133" spans="1:11" ht="12.75" customHeight="1" thickBot="1">
      <c r="A133" s="28"/>
      <c r="B133" s="27"/>
      <c r="C133" s="25"/>
      <c r="D133" s="25"/>
      <c r="E133" s="77"/>
      <c r="F133" s="157"/>
      <c r="G133" s="157"/>
      <c r="H133" s="262">
        <f>SUM(H126:H131)</f>
        <v>0</v>
      </c>
      <c r="I133" s="263">
        <v>0</v>
      </c>
      <c r="K133" s="1">
        <v>0</v>
      </c>
    </row>
    <row r="134" spans="1:9" ht="12.75" customHeight="1" thickTop="1">
      <c r="A134" s="25"/>
      <c r="B134" s="24"/>
      <c r="C134" s="31" t="s">
        <v>59</v>
      </c>
      <c r="D134" s="31"/>
      <c r="E134" s="74"/>
      <c r="F134" s="157"/>
      <c r="G134" s="157"/>
      <c r="H134" s="141"/>
      <c r="I134" s="114"/>
    </row>
    <row r="135" spans="1:11" ht="12.75" customHeight="1">
      <c r="A135" s="25"/>
      <c r="B135" s="24"/>
      <c r="C135" s="25"/>
      <c r="D135" s="25" t="s">
        <v>175</v>
      </c>
      <c r="E135" s="77"/>
      <c r="F135" s="157"/>
      <c r="G135" s="157"/>
      <c r="H135" s="268">
        <f>SUM(F136:F142)</f>
        <v>874752.55</v>
      </c>
      <c r="I135" s="269">
        <v>544333.29</v>
      </c>
      <c r="K135" s="1">
        <v>1236269590</v>
      </c>
    </row>
    <row r="136" spans="1:9" ht="12.75" customHeight="1">
      <c r="A136" s="25"/>
      <c r="B136" s="24"/>
      <c r="C136" s="25"/>
      <c r="D136" s="1"/>
      <c r="E136" s="25" t="s">
        <v>276</v>
      </c>
      <c r="F136" s="188">
        <v>849262.18</v>
      </c>
      <c r="G136" s="157"/>
      <c r="H136" s="259"/>
      <c r="I136" s="277"/>
    </row>
    <row r="137" spans="1:9" ht="12.75" customHeight="1">
      <c r="A137" s="25"/>
      <c r="B137" s="24"/>
      <c r="C137" s="25"/>
      <c r="D137" s="1"/>
      <c r="E137" s="25" t="s">
        <v>277</v>
      </c>
      <c r="F137" s="188">
        <v>0</v>
      </c>
      <c r="G137" s="157"/>
      <c r="H137" s="259"/>
      <c r="I137" s="277"/>
    </row>
    <row r="138" spans="1:9" ht="12.75" customHeight="1">
      <c r="A138" s="25"/>
      <c r="B138" s="24"/>
      <c r="C138" s="25"/>
      <c r="D138" s="1"/>
      <c r="E138" s="25" t="s">
        <v>278</v>
      </c>
      <c r="F138" s="188">
        <v>0</v>
      </c>
      <c r="G138" s="157"/>
      <c r="H138" s="259"/>
      <c r="I138" s="277"/>
    </row>
    <row r="139" spans="1:9" ht="12.75" customHeight="1">
      <c r="A139" s="25"/>
      <c r="B139" s="24"/>
      <c r="C139" s="25"/>
      <c r="D139" s="1"/>
      <c r="E139" s="25" t="s">
        <v>279</v>
      </c>
      <c r="F139" s="188">
        <v>0</v>
      </c>
      <c r="G139" s="157"/>
      <c r="H139" s="259"/>
      <c r="I139" s="277"/>
    </row>
    <row r="140" spans="1:9" ht="12.75" customHeight="1">
      <c r="A140" s="25"/>
      <c r="B140" s="24"/>
      <c r="C140" s="25"/>
      <c r="D140" s="1"/>
      <c r="E140" s="25" t="s">
        <v>280</v>
      </c>
      <c r="F140" s="188">
        <v>0</v>
      </c>
      <c r="G140" s="157"/>
      <c r="H140" s="259"/>
      <c r="I140" s="277"/>
    </row>
    <row r="141" spans="1:9" ht="12.75" customHeight="1">
      <c r="A141" s="25"/>
      <c r="B141" s="24"/>
      <c r="C141" s="25"/>
      <c r="D141" s="1"/>
      <c r="E141" s="25" t="s">
        <v>281</v>
      </c>
      <c r="F141" s="188">
        <v>0</v>
      </c>
      <c r="G141" s="157"/>
      <c r="H141" s="259"/>
      <c r="I141" s="277"/>
    </row>
    <row r="142" spans="1:9" ht="12.75" customHeight="1">
      <c r="A142" s="25"/>
      <c r="B142" s="24"/>
      <c r="C142" s="25"/>
      <c r="D142" s="1"/>
      <c r="E142" s="25" t="s">
        <v>231</v>
      </c>
      <c r="F142" s="188">
        <v>25490.37</v>
      </c>
      <c r="G142" s="157"/>
      <c r="H142" s="259"/>
      <c r="I142" s="277"/>
    </row>
    <row r="143" spans="1:11" ht="12.75" customHeight="1">
      <c r="A143" s="25"/>
      <c r="B143" s="24"/>
      <c r="C143" s="25"/>
      <c r="D143" s="25" t="s">
        <v>60</v>
      </c>
      <c r="E143" s="77"/>
      <c r="F143" s="157"/>
      <c r="G143" s="157"/>
      <c r="H143" s="259">
        <v>0</v>
      </c>
      <c r="I143" s="269">
        <v>0</v>
      </c>
      <c r="K143" s="1">
        <v>0</v>
      </c>
    </row>
    <row r="144" spans="1:11" ht="12.75" customHeight="1">
      <c r="A144" s="25"/>
      <c r="B144" s="24"/>
      <c r="C144" s="25"/>
      <c r="D144" s="25" t="s">
        <v>61</v>
      </c>
      <c r="E144" s="77"/>
      <c r="F144" s="157"/>
      <c r="G144" s="157"/>
      <c r="H144" s="273">
        <f>SUM(F145:F148)</f>
        <v>13683.34</v>
      </c>
      <c r="I144" s="274">
        <v>14275.5</v>
      </c>
      <c r="K144" s="1">
        <v>38925130</v>
      </c>
    </row>
    <row r="145" spans="1:9" ht="12.75" customHeight="1">
      <c r="A145" s="25"/>
      <c r="B145" s="24"/>
      <c r="C145" s="25"/>
      <c r="D145" s="25"/>
      <c r="E145" s="25" t="s">
        <v>193</v>
      </c>
      <c r="F145" s="188">
        <v>5255.93</v>
      </c>
      <c r="G145" s="157"/>
      <c r="H145" s="259"/>
      <c r="I145" s="277"/>
    </row>
    <row r="146" spans="1:9" ht="12.75" customHeight="1">
      <c r="A146" s="25"/>
      <c r="B146" s="24"/>
      <c r="C146" s="25"/>
      <c r="D146" s="25"/>
      <c r="E146" s="25" t="s">
        <v>194</v>
      </c>
      <c r="F146" s="188">
        <v>3309.11</v>
      </c>
      <c r="G146" s="157"/>
      <c r="H146" s="259"/>
      <c r="I146" s="277"/>
    </row>
    <row r="147" spans="1:9" ht="12.75" customHeight="1">
      <c r="A147" s="25"/>
      <c r="B147" s="24"/>
      <c r="C147" s="25"/>
      <c r="D147" s="25"/>
      <c r="E147" s="25" t="s">
        <v>195</v>
      </c>
      <c r="F147" s="188">
        <v>5118.3</v>
      </c>
      <c r="G147" s="157"/>
      <c r="H147" s="259"/>
      <c r="I147" s="277"/>
    </row>
    <row r="148" spans="1:9" ht="12.75" customHeight="1">
      <c r="A148" s="25"/>
      <c r="B148" s="24"/>
      <c r="C148" s="25"/>
      <c r="D148" s="25"/>
      <c r="E148" s="25"/>
      <c r="F148" s="196"/>
      <c r="G148" s="157"/>
      <c r="H148" s="259"/>
      <c r="I148" s="277"/>
    </row>
    <row r="149" spans="1:11" ht="12.75" customHeight="1" thickBot="1">
      <c r="A149" s="28"/>
      <c r="B149" s="27"/>
      <c r="C149" s="25"/>
      <c r="D149" s="25"/>
      <c r="E149" s="77"/>
      <c r="F149" s="157"/>
      <c r="G149" s="157"/>
      <c r="H149" s="262">
        <f>SUM(H135:H148)</f>
        <v>888435.89</v>
      </c>
      <c r="I149" s="263">
        <v>558608.79</v>
      </c>
      <c r="K149" s="1">
        <v>1275194720</v>
      </c>
    </row>
    <row r="150" spans="1:13" s="8" customFormat="1" ht="12.75" customHeight="1" thickTop="1">
      <c r="A150" s="28"/>
      <c r="B150" s="27" t="s">
        <v>62</v>
      </c>
      <c r="C150" s="28"/>
      <c r="D150" s="28"/>
      <c r="E150" s="28"/>
      <c r="F150" s="185"/>
      <c r="G150" s="157"/>
      <c r="H150" s="147"/>
      <c r="I150" s="115"/>
      <c r="M150" s="129"/>
    </row>
    <row r="151" spans="1:13" s="8" customFormat="1" ht="15" customHeight="1">
      <c r="A151" s="28"/>
      <c r="B151" s="38"/>
      <c r="C151" s="28" t="s">
        <v>63</v>
      </c>
      <c r="D151" s="28"/>
      <c r="E151" s="37"/>
      <c r="F151" s="193"/>
      <c r="G151" s="157"/>
      <c r="H151" s="284">
        <f>F152+F153</f>
        <v>616627.6</v>
      </c>
      <c r="I151" s="285">
        <v>607450.61</v>
      </c>
      <c r="K151" s="8">
        <v>861706892</v>
      </c>
      <c r="M151" s="129"/>
    </row>
    <row r="152" spans="1:13" s="10" customFormat="1" ht="12.75" customHeight="1">
      <c r="A152" s="30"/>
      <c r="B152" s="33"/>
      <c r="C152" s="30"/>
      <c r="D152" s="30" t="s">
        <v>64</v>
      </c>
      <c r="E152" s="34"/>
      <c r="F152" s="258">
        <v>517672.05</v>
      </c>
      <c r="G152" s="188"/>
      <c r="H152" s="198"/>
      <c r="I152" s="119"/>
      <c r="M152" s="135"/>
    </row>
    <row r="153" spans="1:13" s="10" customFormat="1" ht="12.75" customHeight="1" thickBot="1">
      <c r="A153" s="30"/>
      <c r="B153" s="33"/>
      <c r="C153" s="30"/>
      <c r="D153" s="30" t="s">
        <v>65</v>
      </c>
      <c r="E153" s="34"/>
      <c r="F153" s="294">
        <f>5282.66+93672.89</f>
        <v>98955.55</v>
      </c>
      <c r="G153" s="188"/>
      <c r="H153" s="198"/>
      <c r="I153" s="119"/>
      <c r="M153" s="135"/>
    </row>
    <row r="154" spans="1:9" ht="12.75" customHeight="1" thickTop="1">
      <c r="A154" s="25"/>
      <c r="B154" s="24"/>
      <c r="C154" s="25"/>
      <c r="D154" s="25"/>
      <c r="E154" s="25"/>
      <c r="F154" s="200"/>
      <c r="G154" s="166"/>
      <c r="H154" s="192"/>
      <c r="I154" s="118"/>
    </row>
    <row r="155" spans="1:13" s="87" customFormat="1" ht="12.75" customHeight="1" thickBot="1">
      <c r="A155" s="85"/>
      <c r="B155" s="86"/>
      <c r="C155" s="85" t="s">
        <v>66</v>
      </c>
      <c r="D155" s="227"/>
      <c r="E155" s="85"/>
      <c r="F155" s="228"/>
      <c r="G155" s="166"/>
      <c r="H155" s="229">
        <f>H20+H22+H86+H151</f>
        <v>8858587.15</v>
      </c>
      <c r="I155" s="230">
        <v>6335077.12</v>
      </c>
      <c r="K155" s="87">
        <v>9961081920</v>
      </c>
      <c r="M155" s="90"/>
    </row>
    <row r="156" spans="1:13" s="87" customFormat="1" ht="12.75" customHeight="1" thickTop="1">
      <c r="A156" s="85"/>
      <c r="B156" s="86"/>
      <c r="C156" s="85"/>
      <c r="D156" s="227"/>
      <c r="E156" s="85"/>
      <c r="F156" s="228"/>
      <c r="G156" s="166"/>
      <c r="H156" s="248"/>
      <c r="I156" s="249"/>
      <c r="M156" s="90"/>
    </row>
    <row r="157" spans="1:13" s="87" customFormat="1" ht="12.75" customHeight="1">
      <c r="A157" s="25"/>
      <c r="B157" s="86"/>
      <c r="C157" s="89" t="s">
        <v>286</v>
      </c>
      <c r="D157" s="85"/>
      <c r="E157"/>
      <c r="F157" s="206"/>
      <c r="G157" s="166"/>
      <c r="H157" s="197"/>
      <c r="I157" s="236"/>
      <c r="J157" s="90"/>
      <c r="K157" s="207"/>
      <c r="L157" s="207"/>
      <c r="M157" s="90"/>
    </row>
    <row r="158" spans="1:13" s="87" customFormat="1" ht="12.75" customHeight="1">
      <c r="A158" s="25"/>
      <c r="B158" s="86"/>
      <c r="C158" s="89"/>
      <c r="D158" s="30" t="s">
        <v>288</v>
      </c>
      <c r="E158" s="233"/>
      <c r="F158" s="234"/>
      <c r="G158" s="201"/>
      <c r="H158" s="268">
        <v>0</v>
      </c>
      <c r="I158" s="297">
        <v>0</v>
      </c>
      <c r="J158" s="90"/>
      <c r="K158" s="207"/>
      <c r="L158" s="207"/>
      <c r="M158" s="90"/>
    </row>
    <row r="159" spans="1:13" s="87" customFormat="1" ht="12.75" customHeight="1">
      <c r="A159" s="25"/>
      <c r="B159" s="86"/>
      <c r="C159" s="89"/>
      <c r="D159" s="30" t="s">
        <v>289</v>
      </c>
      <c r="E159" s="233"/>
      <c r="F159" s="234"/>
      <c r="G159" s="201"/>
      <c r="H159" s="268">
        <v>2913333.37</v>
      </c>
      <c r="I159" s="298">
        <v>2913333.37</v>
      </c>
      <c r="J159" s="90"/>
      <c r="K159" s="207"/>
      <c r="L159" s="207"/>
      <c r="M159" s="90"/>
    </row>
    <row r="160" spans="1:12" ht="12.75" customHeight="1">
      <c r="A160" s="25"/>
      <c r="B160" s="24"/>
      <c r="C160" s="25"/>
      <c r="D160" s="30" t="s">
        <v>290</v>
      </c>
      <c r="G160" s="47"/>
      <c r="H160" s="295">
        <v>0</v>
      </c>
      <c r="I160" s="297">
        <v>0</v>
      </c>
      <c r="J160" s="2"/>
      <c r="K160" s="2"/>
      <c r="L160" s="171"/>
    </row>
    <row r="161" spans="1:11" ht="16.5" customHeight="1">
      <c r="A161" s="25"/>
      <c r="B161" s="24"/>
      <c r="C161" s="25"/>
      <c r="D161" s="25"/>
      <c r="G161" s="231"/>
      <c r="H161" s="295"/>
      <c r="I161" s="299"/>
      <c r="J161" s="2"/>
      <c r="K161" s="2"/>
    </row>
    <row r="162" spans="1:11" ht="15" customHeight="1" thickBot="1">
      <c r="A162" s="25"/>
      <c r="B162" s="243"/>
      <c r="C162" s="244" t="s">
        <v>287</v>
      </c>
      <c r="D162" s="245"/>
      <c r="E162" s="56"/>
      <c r="F162" s="246"/>
      <c r="G162" s="247"/>
      <c r="H162" s="296">
        <f>SUM(H155:H159)</f>
        <v>11771920.52</v>
      </c>
      <c r="I162" s="300">
        <v>9248410.49</v>
      </c>
      <c r="J162" s="2"/>
      <c r="K162" s="2"/>
    </row>
    <row r="163" spans="1:11" ht="12.75" customHeight="1" thickTop="1">
      <c r="A163" s="25"/>
      <c r="B163" s="25"/>
      <c r="C163" s="89"/>
      <c r="D163" s="25"/>
      <c r="G163" s="231"/>
      <c r="H163" s="242"/>
      <c r="I163" s="242"/>
      <c r="J163" s="2"/>
      <c r="K163" s="2"/>
    </row>
    <row r="164" spans="1:11" ht="12.75" customHeight="1">
      <c r="A164" s="25"/>
      <c r="B164" s="25"/>
      <c r="C164" s="89"/>
      <c r="D164" s="25"/>
      <c r="G164" s="231"/>
      <c r="H164" s="242"/>
      <c r="I164" s="242"/>
      <c r="J164" s="2"/>
      <c r="K164" s="2"/>
    </row>
    <row r="165" spans="1:11" ht="12.75" customHeight="1">
      <c r="A165" s="25"/>
      <c r="B165" s="25"/>
      <c r="C165" s="89"/>
      <c r="D165" s="25"/>
      <c r="G165" s="231"/>
      <c r="H165" s="242"/>
      <c r="I165" s="242"/>
      <c r="J165" s="2"/>
      <c r="K165" s="2"/>
    </row>
    <row r="166" spans="1:6" ht="12.75" customHeight="1">
      <c r="A166" s="25"/>
      <c r="B166" s="25"/>
      <c r="C166" s="25"/>
      <c r="D166" s="25"/>
      <c r="E166" s="25"/>
      <c r="F166" s="39"/>
    </row>
    <row r="167" spans="1:13" s="12" customFormat="1" ht="12.75" customHeight="1">
      <c r="A167" s="68"/>
      <c r="B167" s="40"/>
      <c r="C167" s="41"/>
      <c r="D167" s="41"/>
      <c r="E167" s="42" t="s">
        <v>67</v>
      </c>
      <c r="F167" s="21" t="s">
        <v>2</v>
      </c>
      <c r="G167" s="43" t="s">
        <v>3</v>
      </c>
      <c r="H167" s="84">
        <v>2004</v>
      </c>
      <c r="I167" s="84">
        <v>2003</v>
      </c>
      <c r="K167" s="12">
        <v>2001</v>
      </c>
      <c r="M167" s="130"/>
    </row>
    <row r="168" spans="1:9" ht="12.75" customHeight="1">
      <c r="A168" s="25"/>
      <c r="B168" s="24"/>
      <c r="C168" s="25"/>
      <c r="D168" s="25"/>
      <c r="E168" s="26"/>
      <c r="F168" s="195"/>
      <c r="G168" s="157"/>
      <c r="H168" s="141"/>
      <c r="I168" s="114"/>
    </row>
    <row r="169" spans="1:13" s="8" customFormat="1" ht="12.75" customHeight="1">
      <c r="A169" s="28"/>
      <c r="B169" s="27" t="s">
        <v>68</v>
      </c>
      <c r="C169" s="28"/>
      <c r="D169" s="28"/>
      <c r="E169" s="73"/>
      <c r="F169" s="193"/>
      <c r="G169" s="157"/>
      <c r="H169" s="284">
        <f>H184</f>
        <v>2127119.5899999985</v>
      </c>
      <c r="I169" s="285">
        <v>1793559.48</v>
      </c>
      <c r="K169" s="129">
        <v>2905652486</v>
      </c>
      <c r="M169" s="129"/>
    </row>
    <row r="170" spans="1:11" ht="12.75" customHeight="1">
      <c r="A170" s="25"/>
      <c r="B170" s="24"/>
      <c r="C170" s="31" t="s">
        <v>176</v>
      </c>
      <c r="D170" s="31"/>
      <c r="E170" s="74"/>
      <c r="F170" s="258">
        <v>2106203.32</v>
      </c>
      <c r="G170" s="157"/>
      <c r="H170" s="259">
        <f>F170</f>
        <v>2106203.32</v>
      </c>
      <c r="I170" s="269">
        <v>1970386.11</v>
      </c>
      <c r="K170" s="1">
        <v>3493284307</v>
      </c>
    </row>
    <row r="171" spans="1:11" ht="12.75" customHeight="1">
      <c r="A171" s="25"/>
      <c r="B171" s="24"/>
      <c r="C171" s="31" t="s">
        <v>304</v>
      </c>
      <c r="D171" s="31"/>
      <c r="E171" s="74"/>
      <c r="F171" s="258">
        <v>0</v>
      </c>
      <c r="G171" s="157"/>
      <c r="H171" s="259">
        <f aca="true" t="shared" si="0" ref="H171:H179">F171</f>
        <v>0</v>
      </c>
      <c r="I171" s="269">
        <v>0</v>
      </c>
      <c r="K171" s="1">
        <v>0</v>
      </c>
    </row>
    <row r="172" spans="1:11" ht="12.75" customHeight="1">
      <c r="A172" s="25"/>
      <c r="B172" s="24"/>
      <c r="C172" s="31" t="s">
        <v>69</v>
      </c>
      <c r="D172" s="31"/>
      <c r="E172" s="74"/>
      <c r="F172" s="258">
        <v>0</v>
      </c>
      <c r="G172" s="157"/>
      <c r="H172" s="259">
        <f t="shared" si="0"/>
        <v>0</v>
      </c>
      <c r="I172" s="269">
        <v>0</v>
      </c>
      <c r="K172" s="1">
        <v>0</v>
      </c>
    </row>
    <row r="173" spans="1:13" ht="12.75" customHeight="1">
      <c r="A173" s="25"/>
      <c r="B173" s="24"/>
      <c r="C173" s="31" t="s">
        <v>70</v>
      </c>
      <c r="D173" s="31"/>
      <c r="E173" s="74"/>
      <c r="F173" s="258">
        <v>973.86</v>
      </c>
      <c r="G173" s="157"/>
      <c r="H173" s="259">
        <f t="shared" si="0"/>
        <v>973.86</v>
      </c>
      <c r="I173" s="269">
        <v>973.86</v>
      </c>
      <c r="K173" s="1">
        <v>1885660</v>
      </c>
      <c r="M173" s="129"/>
    </row>
    <row r="174" spans="1:11" ht="12.75" customHeight="1">
      <c r="A174" s="25"/>
      <c r="B174" s="24"/>
      <c r="C174" s="31" t="s">
        <v>302</v>
      </c>
      <c r="D174" s="31"/>
      <c r="E174" s="74"/>
      <c r="F174" s="258">
        <f>SUM(F175:F176)</f>
        <v>2280.28</v>
      </c>
      <c r="G174" s="157"/>
      <c r="H174" s="259">
        <f t="shared" si="0"/>
        <v>2280.28</v>
      </c>
      <c r="I174" s="269">
        <v>2280.28</v>
      </c>
      <c r="K174" s="1">
        <v>4415239</v>
      </c>
    </row>
    <row r="175" spans="1:9" ht="12.75" customHeight="1">
      <c r="A175" s="25"/>
      <c r="B175" s="24"/>
      <c r="C175" s="30" t="s">
        <v>115</v>
      </c>
      <c r="D175" s="30" t="s">
        <v>216</v>
      </c>
      <c r="E175" s="34"/>
      <c r="F175" s="137">
        <v>973.86</v>
      </c>
      <c r="G175" s="166"/>
      <c r="H175" s="139"/>
      <c r="I175" s="277"/>
    </row>
    <row r="176" spans="1:13" s="10" customFormat="1" ht="12.75" customHeight="1">
      <c r="A176" s="70"/>
      <c r="B176" s="45"/>
      <c r="C176" s="30" t="s">
        <v>115</v>
      </c>
      <c r="D176" s="30" t="s">
        <v>223</v>
      </c>
      <c r="E176" s="34"/>
      <c r="F176" s="137">
        <v>1306.42</v>
      </c>
      <c r="G176" s="201"/>
      <c r="H176" s="140"/>
      <c r="I176" s="301"/>
      <c r="M176" s="135"/>
    </row>
    <row r="177" spans="1:11" ht="12.75" customHeight="1">
      <c r="A177" s="25"/>
      <c r="B177" s="24"/>
      <c r="C177" s="31" t="s">
        <v>303</v>
      </c>
      <c r="D177" s="31"/>
      <c r="E177" s="74"/>
      <c r="F177" s="258">
        <v>0</v>
      </c>
      <c r="G177" s="157"/>
      <c r="H177" s="259">
        <f>F177</f>
        <v>0</v>
      </c>
      <c r="I177" s="269">
        <v>0</v>
      </c>
      <c r="K177" s="1">
        <v>0</v>
      </c>
    </row>
    <row r="178" spans="1:13" ht="12.75" customHeight="1">
      <c r="A178" s="25"/>
      <c r="B178" s="24"/>
      <c r="C178" s="31" t="s">
        <v>71</v>
      </c>
      <c r="D178" s="31"/>
      <c r="E178" s="74"/>
      <c r="F178" s="258">
        <v>0</v>
      </c>
      <c r="G178" s="157"/>
      <c r="H178" s="259">
        <f t="shared" si="0"/>
        <v>0</v>
      </c>
      <c r="I178" s="269">
        <v>0</v>
      </c>
      <c r="K178" s="1">
        <v>0</v>
      </c>
      <c r="M178" s="129"/>
    </row>
    <row r="179" spans="1:11" ht="12.75" customHeight="1">
      <c r="A179" s="25"/>
      <c r="B179" s="24"/>
      <c r="C179" s="31" t="s">
        <v>72</v>
      </c>
      <c r="D179" s="31"/>
      <c r="E179" s="128"/>
      <c r="F179" s="259">
        <f>SUM(F180:F181)</f>
        <v>-180080.77</v>
      </c>
      <c r="G179" s="166"/>
      <c r="H179" s="259">
        <f t="shared" si="0"/>
        <v>-180080.77</v>
      </c>
      <c r="I179" s="269">
        <v>-180640.16</v>
      </c>
      <c r="K179" s="1">
        <v>0</v>
      </c>
    </row>
    <row r="180" spans="1:11" ht="12.75" customHeight="1">
      <c r="A180" s="25"/>
      <c r="B180" s="24"/>
      <c r="C180" s="31"/>
      <c r="D180" s="31"/>
      <c r="E180" s="75" t="s">
        <v>73</v>
      </c>
      <c r="F180" s="157">
        <v>-180080.77</v>
      </c>
      <c r="G180" s="157"/>
      <c r="H180" s="259">
        <v>0</v>
      </c>
      <c r="I180" s="269">
        <v>0</v>
      </c>
      <c r="K180" s="1">
        <v>0</v>
      </c>
    </row>
    <row r="181" spans="1:11" ht="12.75" customHeight="1">
      <c r="A181" s="25"/>
      <c r="B181" s="24"/>
      <c r="C181" s="31"/>
      <c r="D181" s="31"/>
      <c r="E181" s="75" t="s">
        <v>74</v>
      </c>
      <c r="F181" s="202">
        <v>0</v>
      </c>
      <c r="G181" s="157"/>
      <c r="H181" s="259">
        <v>0</v>
      </c>
      <c r="I181" s="269">
        <v>0</v>
      </c>
      <c r="K181" s="1">
        <v>0</v>
      </c>
    </row>
    <row r="182" spans="1:11" ht="12.75" customHeight="1">
      <c r="A182" s="25"/>
      <c r="B182" s="24"/>
      <c r="C182" s="31" t="s">
        <v>75</v>
      </c>
      <c r="D182" s="31"/>
      <c r="E182" s="74"/>
      <c r="F182" s="286">
        <f>G464</f>
        <v>197742.8999999988</v>
      </c>
      <c r="G182" s="157"/>
      <c r="H182" s="286">
        <f>G464</f>
        <v>197742.8999999988</v>
      </c>
      <c r="I182" s="274">
        <v>559.3899999994901</v>
      </c>
      <c r="K182" s="1">
        <v>-593932720</v>
      </c>
    </row>
    <row r="183" spans="1:13" ht="12.75" customHeight="1">
      <c r="A183" s="25"/>
      <c r="B183" s="24"/>
      <c r="C183" s="25"/>
      <c r="D183" s="25"/>
      <c r="E183" s="26"/>
      <c r="F183" s="195"/>
      <c r="G183" s="157"/>
      <c r="H183" s="141"/>
      <c r="I183" s="277"/>
      <c r="M183" s="129"/>
    </row>
    <row r="184" spans="1:11" ht="13.5" customHeight="1" thickBot="1">
      <c r="A184" s="69"/>
      <c r="B184" s="44"/>
      <c r="C184" s="25"/>
      <c r="D184" s="25"/>
      <c r="E184" s="77"/>
      <c r="F184" s="157"/>
      <c r="G184" s="157"/>
      <c r="H184" s="262">
        <f>SUM(H170:H182)</f>
        <v>2127119.5899999985</v>
      </c>
      <c r="I184" s="263">
        <v>1793559.48</v>
      </c>
      <c r="K184" s="2">
        <v>2905652486</v>
      </c>
    </row>
    <row r="185" spans="1:9" ht="12.75" customHeight="1" thickTop="1">
      <c r="A185" s="69"/>
      <c r="B185" s="44"/>
      <c r="C185" s="25"/>
      <c r="D185" s="25"/>
      <c r="E185" s="77"/>
      <c r="F185" s="157"/>
      <c r="G185" s="157"/>
      <c r="H185" s="161"/>
      <c r="I185" s="120"/>
    </row>
    <row r="186" spans="1:13" s="8" customFormat="1" ht="12.75" customHeight="1">
      <c r="A186" s="28"/>
      <c r="B186" s="27" t="s">
        <v>76</v>
      </c>
      <c r="C186" s="28"/>
      <c r="D186" s="28"/>
      <c r="E186" s="73"/>
      <c r="F186" s="193"/>
      <c r="G186" s="157"/>
      <c r="H186" s="284">
        <f>H189</f>
        <v>121593.7</v>
      </c>
      <c r="I186" s="285">
        <v>0</v>
      </c>
      <c r="K186" s="8">
        <v>0</v>
      </c>
      <c r="M186" s="129"/>
    </row>
    <row r="187" spans="1:11" ht="12.75" customHeight="1">
      <c r="A187" s="25"/>
      <c r="B187" s="24"/>
      <c r="C187" s="25" t="s">
        <v>77</v>
      </c>
      <c r="D187" s="25"/>
      <c r="E187" s="77"/>
      <c r="F187" s="258">
        <v>0</v>
      </c>
      <c r="G187" s="157"/>
      <c r="H187" s="259">
        <v>0</v>
      </c>
      <c r="I187" s="269">
        <v>0</v>
      </c>
      <c r="K187" s="1">
        <v>0</v>
      </c>
    </row>
    <row r="188" spans="1:11" ht="12.75" customHeight="1">
      <c r="A188" s="25"/>
      <c r="B188" s="24"/>
      <c r="C188" s="25" t="s">
        <v>305</v>
      </c>
      <c r="D188" s="25"/>
      <c r="E188" s="77"/>
      <c r="F188" s="258">
        <v>0</v>
      </c>
      <c r="G188" s="157"/>
      <c r="H188" s="259">
        <v>0</v>
      </c>
      <c r="I188" s="269">
        <v>0</v>
      </c>
      <c r="K188" s="1">
        <v>0</v>
      </c>
    </row>
    <row r="189" spans="1:11" ht="12.75" customHeight="1">
      <c r="A189" s="25"/>
      <c r="B189" s="24"/>
      <c r="C189" s="25" t="s">
        <v>78</v>
      </c>
      <c r="D189" s="25"/>
      <c r="E189" s="77"/>
      <c r="F189" s="258">
        <v>121593.7</v>
      </c>
      <c r="G189" s="157"/>
      <c r="H189" s="286">
        <f>F189</f>
        <v>121593.7</v>
      </c>
      <c r="I189" s="274">
        <v>0</v>
      </c>
      <c r="K189" s="1">
        <v>0</v>
      </c>
    </row>
    <row r="190" spans="1:9" ht="12.75" customHeight="1">
      <c r="A190" s="25"/>
      <c r="B190" s="24"/>
      <c r="C190" s="25"/>
      <c r="D190" s="25"/>
      <c r="E190" s="26"/>
      <c r="F190" s="195"/>
      <c r="G190" s="157"/>
      <c r="H190" s="141"/>
      <c r="I190" s="114"/>
    </row>
    <row r="191" spans="1:13" s="8" customFormat="1" ht="12.75" customHeight="1">
      <c r="A191" s="28"/>
      <c r="B191" s="27" t="s">
        <v>79</v>
      </c>
      <c r="C191" s="28"/>
      <c r="D191" s="28"/>
      <c r="E191" s="73"/>
      <c r="F191" s="193"/>
      <c r="G191" s="157"/>
      <c r="H191" s="136" t="s">
        <v>4</v>
      </c>
      <c r="I191" s="121" t="s">
        <v>4</v>
      </c>
      <c r="K191" s="8" t="s">
        <v>4</v>
      </c>
      <c r="M191" s="129"/>
    </row>
    <row r="192" spans="1:13" s="8" customFormat="1" ht="15" customHeight="1">
      <c r="A192" s="28"/>
      <c r="B192" s="27"/>
      <c r="C192" s="28" t="s">
        <v>80</v>
      </c>
      <c r="D192" s="28"/>
      <c r="E192" s="78"/>
      <c r="F192" s="185"/>
      <c r="G192" s="157"/>
      <c r="H192" s="302">
        <v>646720.54</v>
      </c>
      <c r="I192" s="285">
        <v>542975.22</v>
      </c>
      <c r="K192" s="8">
        <v>686585265</v>
      </c>
      <c r="M192" s="129"/>
    </row>
    <row r="193" spans="1:9" ht="12.75" customHeight="1">
      <c r="A193" s="25"/>
      <c r="B193" s="24"/>
      <c r="C193" s="25"/>
      <c r="D193" s="25"/>
      <c r="E193" s="26"/>
      <c r="F193" s="195"/>
      <c r="G193" s="157"/>
      <c r="H193" s="141"/>
      <c r="I193" s="122"/>
    </row>
    <row r="194" spans="1:13" s="8" customFormat="1" ht="12.75" customHeight="1">
      <c r="A194" s="28"/>
      <c r="B194" s="27" t="s">
        <v>81</v>
      </c>
      <c r="C194" s="28"/>
      <c r="D194" s="28"/>
      <c r="E194" s="73"/>
      <c r="F194" s="193" t="s">
        <v>4</v>
      </c>
      <c r="G194" s="157"/>
      <c r="H194" s="147"/>
      <c r="I194" s="122"/>
      <c r="M194" s="129"/>
    </row>
    <row r="195" spans="1:13" s="8" customFormat="1" ht="12.75" customHeight="1">
      <c r="A195" s="28"/>
      <c r="B195" s="27"/>
      <c r="C195" s="28" t="s">
        <v>82</v>
      </c>
      <c r="D195" s="28"/>
      <c r="E195" s="73"/>
      <c r="F195" s="275" t="s">
        <v>36</v>
      </c>
      <c r="G195" s="275" t="s">
        <v>37</v>
      </c>
      <c r="H195" s="284">
        <f>H232</f>
        <v>4037641.4599999995</v>
      </c>
      <c r="I195" s="285">
        <v>1939515.87</v>
      </c>
      <c r="K195" s="8">
        <v>3094389914</v>
      </c>
      <c r="M195" s="129"/>
    </row>
    <row r="196" spans="1:13" s="8" customFormat="1" ht="12.75" customHeight="1">
      <c r="A196" s="28"/>
      <c r="B196" s="27"/>
      <c r="C196" s="28" t="s">
        <v>83</v>
      </c>
      <c r="D196" s="28"/>
      <c r="E196" s="73"/>
      <c r="F196" s="193"/>
      <c r="G196" s="157"/>
      <c r="H196" s="147"/>
      <c r="I196" s="115"/>
      <c r="M196" s="129"/>
    </row>
    <row r="197" spans="1:11" ht="12.75" customHeight="1">
      <c r="A197" s="25"/>
      <c r="B197" s="24"/>
      <c r="C197" s="25" t="s">
        <v>84</v>
      </c>
      <c r="D197" s="25"/>
      <c r="E197" s="77"/>
      <c r="F197" s="258">
        <v>0</v>
      </c>
      <c r="G197" s="258">
        <v>0</v>
      </c>
      <c r="H197" s="268">
        <f aca="true" t="shared" si="1" ref="H197:H204">SUM(F197+G197)</f>
        <v>0</v>
      </c>
      <c r="I197" s="269">
        <v>0</v>
      </c>
      <c r="K197" s="1">
        <v>0</v>
      </c>
    </row>
    <row r="198" spans="1:11" ht="12.75" customHeight="1">
      <c r="A198" s="25"/>
      <c r="B198" s="24"/>
      <c r="C198" s="25" t="s">
        <v>306</v>
      </c>
      <c r="D198" s="25"/>
      <c r="E198" s="77"/>
      <c r="F198" s="258">
        <v>0</v>
      </c>
      <c r="G198" s="258">
        <v>0</v>
      </c>
      <c r="H198" s="268">
        <f t="shared" si="1"/>
        <v>0</v>
      </c>
      <c r="I198" s="269">
        <v>0</v>
      </c>
      <c r="K198" s="1">
        <v>0</v>
      </c>
    </row>
    <row r="199" spans="1:11" ht="12.75" customHeight="1">
      <c r="A199" s="25"/>
      <c r="B199" s="24"/>
      <c r="C199" s="25" t="s">
        <v>307</v>
      </c>
      <c r="D199" s="25"/>
      <c r="E199" s="77"/>
      <c r="F199" s="303">
        <v>0</v>
      </c>
      <c r="G199" s="303">
        <v>0</v>
      </c>
      <c r="H199" s="268">
        <f t="shared" si="1"/>
        <v>0</v>
      </c>
      <c r="I199" s="269">
        <v>0</v>
      </c>
      <c r="K199" s="1">
        <v>0</v>
      </c>
    </row>
    <row r="200" spans="1:11" ht="12.75" customHeight="1">
      <c r="A200" s="25"/>
      <c r="B200" s="24"/>
      <c r="C200" s="25" t="s">
        <v>308</v>
      </c>
      <c r="D200" s="25"/>
      <c r="E200" s="77"/>
      <c r="F200" s="304">
        <f>SUM(F201)</f>
        <v>34006.4</v>
      </c>
      <c r="G200" s="304">
        <f>SUM(G201)</f>
        <v>853993.6</v>
      </c>
      <c r="H200" s="268">
        <f t="shared" si="1"/>
        <v>888000</v>
      </c>
      <c r="I200" s="269">
        <v>0</v>
      </c>
      <c r="K200" s="1">
        <v>0</v>
      </c>
    </row>
    <row r="201" spans="1:9" ht="12.75" customHeight="1">
      <c r="A201" s="25"/>
      <c r="B201" s="24"/>
      <c r="C201" s="25"/>
      <c r="D201" s="25" t="s">
        <v>331</v>
      </c>
      <c r="E201" s="77"/>
      <c r="F201" s="188">
        <v>34006.4</v>
      </c>
      <c r="G201" s="188">
        <f>888000-34006.4</f>
        <v>853993.6</v>
      </c>
      <c r="H201" s="259"/>
      <c r="I201" s="277"/>
    </row>
    <row r="202" spans="1:11" ht="12.75" customHeight="1">
      <c r="A202" s="25"/>
      <c r="B202" s="24"/>
      <c r="C202" s="25" t="s">
        <v>309</v>
      </c>
      <c r="D202" s="25"/>
      <c r="E202" s="77"/>
      <c r="F202" s="291">
        <v>0</v>
      </c>
      <c r="G202" s="291">
        <v>0</v>
      </c>
      <c r="H202" s="268">
        <f t="shared" si="1"/>
        <v>0</v>
      </c>
      <c r="I202" s="269">
        <v>0</v>
      </c>
      <c r="K202" s="1">
        <v>0</v>
      </c>
    </row>
    <row r="203" spans="1:11" ht="12.75" customHeight="1">
      <c r="A203" s="25"/>
      <c r="B203" s="24"/>
      <c r="C203" s="25" t="s">
        <v>310</v>
      </c>
      <c r="D203" s="25"/>
      <c r="E203" s="77"/>
      <c r="F203" s="291">
        <v>0</v>
      </c>
      <c r="G203" s="291">
        <v>0</v>
      </c>
      <c r="H203" s="268">
        <f t="shared" si="1"/>
        <v>0</v>
      </c>
      <c r="I203" s="269">
        <v>0</v>
      </c>
      <c r="K203" s="1">
        <v>0</v>
      </c>
    </row>
    <row r="204" spans="1:11" ht="12.75" customHeight="1">
      <c r="A204" s="25"/>
      <c r="B204" s="24"/>
      <c r="C204" s="25" t="s">
        <v>311</v>
      </c>
      <c r="D204" s="25"/>
      <c r="E204" s="77"/>
      <c r="F204" s="287">
        <f>SUM(F205:F207)</f>
        <v>2752856.2299999995</v>
      </c>
      <c r="G204" s="287">
        <f>SUM(G205:G207)</f>
        <v>0</v>
      </c>
      <c r="H204" s="268">
        <f t="shared" si="1"/>
        <v>2752856.2299999995</v>
      </c>
      <c r="I204" s="269">
        <v>1639796.06</v>
      </c>
      <c r="K204" s="1">
        <v>2744974663</v>
      </c>
    </row>
    <row r="205" spans="1:9" ht="12.75" customHeight="1">
      <c r="A205" s="25"/>
      <c r="B205" s="24"/>
      <c r="C205" s="25"/>
      <c r="D205" s="25" t="s">
        <v>177</v>
      </c>
      <c r="E205" s="77"/>
      <c r="F205" s="188">
        <v>212734.63</v>
      </c>
      <c r="G205" s="188">
        <v>0</v>
      </c>
      <c r="H205" s="259"/>
      <c r="I205" s="277"/>
    </row>
    <row r="206" spans="1:9" ht="12.75" customHeight="1">
      <c r="A206" s="25"/>
      <c r="B206" s="24"/>
      <c r="C206" s="25"/>
      <c r="D206" s="25" t="s">
        <v>178</v>
      </c>
      <c r="E206" s="77"/>
      <c r="F206" s="188">
        <v>2541036.3</v>
      </c>
      <c r="G206" s="188">
        <v>0</v>
      </c>
      <c r="H206" s="259"/>
      <c r="I206" s="277"/>
    </row>
    <row r="207" spans="1:9" ht="12.75" customHeight="1">
      <c r="A207" s="25"/>
      <c r="B207" s="24"/>
      <c r="C207" s="25"/>
      <c r="D207" s="25" t="s">
        <v>201</v>
      </c>
      <c r="E207" s="77"/>
      <c r="F207" s="288">
        <v>-914.7</v>
      </c>
      <c r="G207" s="288">
        <v>0</v>
      </c>
      <c r="H207" s="259"/>
      <c r="I207" s="277"/>
    </row>
    <row r="208" spans="1:11" ht="12.75" customHeight="1">
      <c r="A208" s="25"/>
      <c r="B208" s="24"/>
      <c r="C208" s="25" t="s">
        <v>312</v>
      </c>
      <c r="D208" s="25"/>
      <c r="E208" s="77"/>
      <c r="F208" s="258">
        <v>0</v>
      </c>
      <c r="G208" s="258">
        <v>0</v>
      </c>
      <c r="H208" s="268">
        <f>SUM(F208+G208)</f>
        <v>0</v>
      </c>
      <c r="I208" s="269">
        <v>0</v>
      </c>
      <c r="K208" s="1">
        <v>0</v>
      </c>
    </row>
    <row r="209" spans="1:11" ht="12.75" customHeight="1">
      <c r="A209" s="25"/>
      <c r="B209" s="24"/>
      <c r="C209" s="25" t="s">
        <v>313</v>
      </c>
      <c r="D209" s="25"/>
      <c r="E209" s="77"/>
      <c r="F209" s="258">
        <v>0</v>
      </c>
      <c r="G209" s="258">
        <v>0</v>
      </c>
      <c r="H209" s="268">
        <f>SUM(F209+G209)</f>
        <v>0</v>
      </c>
      <c r="I209" s="269">
        <v>0</v>
      </c>
      <c r="K209" s="1">
        <v>0</v>
      </c>
    </row>
    <row r="210" spans="1:11" ht="12.75" customHeight="1">
      <c r="A210" s="25"/>
      <c r="B210" s="24"/>
      <c r="C210" s="25" t="s">
        <v>314</v>
      </c>
      <c r="D210" s="25"/>
      <c r="E210" s="77"/>
      <c r="F210" s="258">
        <v>0</v>
      </c>
      <c r="G210" s="258">
        <v>0</v>
      </c>
      <c r="H210" s="268">
        <f>SUM(F210+G210)</f>
        <v>0</v>
      </c>
      <c r="I210" s="269">
        <v>0</v>
      </c>
      <c r="K210" s="1">
        <v>0</v>
      </c>
    </row>
    <row r="211" spans="1:11" ht="12.75" customHeight="1">
      <c r="A211" s="25"/>
      <c r="B211" s="24"/>
      <c r="C211" s="25" t="s">
        <v>328</v>
      </c>
      <c r="D211" s="25"/>
      <c r="E211" s="77"/>
      <c r="F211" s="258">
        <v>0</v>
      </c>
      <c r="G211" s="258">
        <v>0</v>
      </c>
      <c r="H211" s="268">
        <f>SUM(F211+G211)</f>
        <v>0</v>
      </c>
      <c r="I211" s="269">
        <v>0</v>
      </c>
      <c r="K211" s="1">
        <v>40601901</v>
      </c>
    </row>
    <row r="212" spans="1:11" ht="12.75" customHeight="1">
      <c r="A212" s="25"/>
      <c r="B212" s="24"/>
      <c r="C212" s="25" t="s">
        <v>315</v>
      </c>
      <c r="D212" s="25"/>
      <c r="E212" s="77"/>
      <c r="F212" s="287">
        <f>SUM(F213:F217)</f>
        <v>55205.280000000006</v>
      </c>
      <c r="G212" s="287">
        <f>SUM(G213:G217)</f>
        <v>0</v>
      </c>
      <c r="H212" s="268">
        <f>SUM(F212+G212)</f>
        <v>55205.280000000006</v>
      </c>
      <c r="I212" s="269">
        <v>68853.21</v>
      </c>
      <c r="K212" s="1">
        <v>170682301</v>
      </c>
    </row>
    <row r="213" spans="1:9" ht="12.75" customHeight="1">
      <c r="A213" s="25"/>
      <c r="B213" s="24"/>
      <c r="C213" s="25"/>
      <c r="D213" s="25" t="s">
        <v>218</v>
      </c>
      <c r="E213" s="77"/>
      <c r="F213" s="188">
        <v>45851.05</v>
      </c>
      <c r="G213" s="188">
        <v>0</v>
      </c>
      <c r="H213" s="259"/>
      <c r="I213" s="277"/>
    </row>
    <row r="214" spans="1:9" ht="12.75" customHeight="1">
      <c r="A214" s="25"/>
      <c r="B214" s="24"/>
      <c r="C214" s="25"/>
      <c r="D214" s="25" t="s">
        <v>244</v>
      </c>
      <c r="E214" s="77"/>
      <c r="F214" s="188">
        <v>0</v>
      </c>
      <c r="G214" s="188">
        <v>0</v>
      </c>
      <c r="H214" s="259"/>
      <c r="I214" s="277"/>
    </row>
    <row r="215" spans="1:9" ht="12.75" customHeight="1">
      <c r="A215" s="25"/>
      <c r="B215" s="24"/>
      <c r="C215" s="25"/>
      <c r="D215" s="25" t="s">
        <v>219</v>
      </c>
      <c r="E215" s="77"/>
      <c r="F215" s="188">
        <v>9116.02</v>
      </c>
      <c r="G215" s="188">
        <v>0</v>
      </c>
      <c r="H215" s="259"/>
      <c r="I215" s="277"/>
    </row>
    <row r="216" spans="1:9" ht="12.75" customHeight="1">
      <c r="A216" s="25"/>
      <c r="B216" s="24"/>
      <c r="C216" s="25"/>
      <c r="D216" s="25" t="s">
        <v>197</v>
      </c>
      <c r="E216" s="77"/>
      <c r="F216" s="188">
        <v>0</v>
      </c>
      <c r="G216" s="188">
        <v>0</v>
      </c>
      <c r="H216" s="259"/>
      <c r="I216" s="277"/>
    </row>
    <row r="217" spans="1:9" ht="12.75" customHeight="1">
      <c r="A217" s="25"/>
      <c r="B217" s="24"/>
      <c r="C217" s="25"/>
      <c r="D217" s="25" t="s">
        <v>232</v>
      </c>
      <c r="E217" s="77"/>
      <c r="F217" s="188">
        <v>238.21</v>
      </c>
      <c r="G217" s="188">
        <v>0</v>
      </c>
      <c r="H217" s="259"/>
      <c r="I217" s="277"/>
    </row>
    <row r="218" spans="1:9" ht="12.75" customHeight="1">
      <c r="A218" s="25"/>
      <c r="B218" s="24"/>
      <c r="C218" s="25" t="s">
        <v>316</v>
      </c>
      <c r="D218" s="25"/>
      <c r="E218" s="77"/>
      <c r="F218" s="157" t="s">
        <v>4</v>
      </c>
      <c r="G218" s="157"/>
      <c r="H218" s="259"/>
      <c r="I218" s="277"/>
    </row>
    <row r="219" spans="1:11" ht="12.75" customHeight="1">
      <c r="A219" s="25"/>
      <c r="B219" s="24"/>
      <c r="D219" s="25" t="s">
        <v>85</v>
      </c>
      <c r="E219" s="77"/>
      <c r="F219" s="287">
        <f>SUM(F220:F221)</f>
        <v>2746.7200000000003</v>
      </c>
      <c r="G219" s="287">
        <f>SUM(G220:G221)</f>
        <v>0</v>
      </c>
      <c r="H219" s="268">
        <f>SUM(F219+G219)</f>
        <v>2746.7200000000003</v>
      </c>
      <c r="I219" s="269">
        <v>6063.15</v>
      </c>
      <c r="K219" s="1">
        <v>7128853</v>
      </c>
    </row>
    <row r="220" spans="1:9" ht="12.75" customHeight="1">
      <c r="A220" s="25"/>
      <c r="B220" s="24"/>
      <c r="D220" s="25" t="s">
        <v>86</v>
      </c>
      <c r="E220" s="77"/>
      <c r="F220" s="188">
        <v>481.05</v>
      </c>
      <c r="G220" s="188">
        <v>0</v>
      </c>
      <c r="H220" s="259"/>
      <c r="I220" s="277"/>
    </row>
    <row r="221" spans="1:9" ht="12.75" customHeight="1">
      <c r="A221" s="25"/>
      <c r="B221" s="24"/>
      <c r="D221" s="25" t="s">
        <v>217</v>
      </c>
      <c r="E221" s="77"/>
      <c r="F221" s="288">
        <v>2265.67</v>
      </c>
      <c r="G221" s="288">
        <v>0</v>
      </c>
      <c r="H221" s="259"/>
      <c r="I221" s="277"/>
    </row>
    <row r="222" spans="1:11" ht="12.75" customHeight="1">
      <c r="A222" s="25"/>
      <c r="B222" s="24"/>
      <c r="C222" s="25" t="s">
        <v>317</v>
      </c>
      <c r="D222" s="25"/>
      <c r="E222" s="77"/>
      <c r="F222" s="287">
        <f>SUM(F223:F230)</f>
        <v>338833.23</v>
      </c>
      <c r="G222" s="287">
        <f>SUM(G223:G230)</f>
        <v>0</v>
      </c>
      <c r="H222" s="268">
        <f>SUM(F222+G222)</f>
        <v>338833.23</v>
      </c>
      <c r="I222" s="269">
        <v>224803.45</v>
      </c>
      <c r="K222" s="1">
        <v>131002196</v>
      </c>
    </row>
    <row r="223" spans="1:9" ht="12.75" customHeight="1">
      <c r="A223" s="25"/>
      <c r="B223" s="24"/>
      <c r="D223" s="25" t="s">
        <v>196</v>
      </c>
      <c r="E223" s="77"/>
      <c r="F223" s="188">
        <f>3629.63+23664+37189.52+4903.37</f>
        <v>69386.51999999999</v>
      </c>
      <c r="G223" s="188">
        <v>0</v>
      </c>
      <c r="H223" s="259"/>
      <c r="I223" s="277"/>
    </row>
    <row r="224" spans="1:9" ht="12.75" customHeight="1">
      <c r="A224" s="25"/>
      <c r="B224" s="24"/>
      <c r="D224" s="25" t="s">
        <v>198</v>
      </c>
      <c r="E224" s="77"/>
      <c r="F224" s="188">
        <v>0</v>
      </c>
      <c r="G224" s="188">
        <v>0</v>
      </c>
      <c r="H224" s="259"/>
      <c r="I224" s="277"/>
    </row>
    <row r="225" spans="1:9" ht="12.75" customHeight="1">
      <c r="A225" s="25"/>
      <c r="B225" s="24"/>
      <c r="D225" s="25" t="s">
        <v>199</v>
      </c>
      <c r="E225" s="77"/>
      <c r="F225" s="188">
        <f>81123.08+1674.58+182.73+472.57</f>
        <v>83452.96</v>
      </c>
      <c r="G225" s="188">
        <v>0</v>
      </c>
      <c r="H225" s="259"/>
      <c r="I225" s="277"/>
    </row>
    <row r="226" spans="1:9" ht="12.75" customHeight="1">
      <c r="A226" s="25"/>
      <c r="B226" s="24"/>
      <c r="D226" s="25" t="s">
        <v>282</v>
      </c>
      <c r="E226" s="77"/>
      <c r="F226" s="188">
        <v>3818.27</v>
      </c>
      <c r="G226" s="188">
        <v>0</v>
      </c>
      <c r="H226" s="259"/>
      <c r="I226" s="277"/>
    </row>
    <row r="227" spans="1:9" ht="12.75" customHeight="1">
      <c r="A227" s="25"/>
      <c r="B227" s="24"/>
      <c r="D227" s="25" t="s">
        <v>234</v>
      </c>
      <c r="E227" s="77"/>
      <c r="F227" s="188">
        <v>0</v>
      </c>
      <c r="G227" s="188">
        <v>0</v>
      </c>
      <c r="H227" s="259"/>
      <c r="I227" s="277"/>
    </row>
    <row r="228" spans="1:9" ht="12.75" customHeight="1">
      <c r="A228" s="25"/>
      <c r="B228" s="24"/>
      <c r="D228" s="25" t="s">
        <v>235</v>
      </c>
      <c r="E228" s="77"/>
      <c r="F228" s="188">
        <f>4457.38+1900.8</f>
        <v>6358.18</v>
      </c>
      <c r="G228" s="188">
        <v>0</v>
      </c>
      <c r="H228" s="259"/>
      <c r="I228" s="277"/>
    </row>
    <row r="229" spans="1:9" ht="12.75" customHeight="1">
      <c r="A229" s="25"/>
      <c r="B229" s="24"/>
      <c r="D229" s="25" t="s">
        <v>236</v>
      </c>
      <c r="E229" s="77"/>
      <c r="F229" s="188">
        <v>405.26</v>
      </c>
      <c r="G229" s="188">
        <v>0</v>
      </c>
      <c r="H229" s="259"/>
      <c r="I229" s="277"/>
    </row>
    <row r="230" spans="1:9" ht="12.75" customHeight="1">
      <c r="A230" s="25"/>
      <c r="B230" s="24"/>
      <c r="C230" s="25" t="s">
        <v>4</v>
      </c>
      <c r="D230" s="25" t="s">
        <v>87</v>
      </c>
      <c r="E230" s="77"/>
      <c r="F230" s="305">
        <v>175412.04</v>
      </c>
      <c r="G230" s="188">
        <v>0</v>
      </c>
      <c r="H230" s="286"/>
      <c r="I230" s="308"/>
    </row>
    <row r="231" spans="1:9" ht="12.75" customHeight="1">
      <c r="A231" s="25"/>
      <c r="B231" s="24"/>
      <c r="C231" s="25"/>
      <c r="D231"/>
      <c r="E231" s="26"/>
      <c r="F231" s="195"/>
      <c r="G231" s="157"/>
      <c r="H231" s="259"/>
      <c r="I231" s="277"/>
    </row>
    <row r="232" spans="1:13" s="10" customFormat="1" ht="12.75" customHeight="1" thickBot="1">
      <c r="A232" s="70"/>
      <c r="B232" s="45"/>
      <c r="C232" s="30"/>
      <c r="D232" s="30"/>
      <c r="E232" s="75"/>
      <c r="F232" s="188"/>
      <c r="G232" s="157"/>
      <c r="H232" s="262">
        <f>SUM(H197:H230)</f>
        <v>4037641.4599999995</v>
      </c>
      <c r="I232" s="263">
        <v>1939515.87</v>
      </c>
      <c r="K232" s="10">
        <v>3094389914</v>
      </c>
      <c r="M232" s="135"/>
    </row>
    <row r="233" spans="1:9" ht="12.75" customHeight="1" thickTop="1">
      <c r="A233" s="25"/>
      <c r="B233" s="24"/>
      <c r="C233" s="25"/>
      <c r="D233" s="25"/>
      <c r="E233" s="26"/>
      <c r="F233" s="195"/>
      <c r="G233" s="157"/>
      <c r="H233" s="141"/>
      <c r="I233" s="277"/>
    </row>
    <row r="234" spans="1:13" s="8" customFormat="1" ht="12.75" customHeight="1">
      <c r="A234" s="28"/>
      <c r="B234" s="27" t="s">
        <v>88</v>
      </c>
      <c r="C234" s="28"/>
      <c r="D234" s="28"/>
      <c r="E234" s="28"/>
      <c r="F234" s="185"/>
      <c r="G234" s="157"/>
      <c r="H234" s="147"/>
      <c r="I234" s="309"/>
      <c r="M234" s="129"/>
    </row>
    <row r="235" spans="1:13" s="8" customFormat="1" ht="15.75" customHeight="1">
      <c r="A235" s="28"/>
      <c r="B235" s="27"/>
      <c r="C235" s="28" t="s">
        <v>89</v>
      </c>
      <c r="D235" s="28"/>
      <c r="E235" s="28"/>
      <c r="F235" s="185"/>
      <c r="G235" s="157"/>
      <c r="H235" s="284">
        <f>F236+F237</f>
        <v>1925511.8599999999</v>
      </c>
      <c r="I235" s="285">
        <v>2059026.55</v>
      </c>
      <c r="K235" s="8">
        <v>3274454255</v>
      </c>
      <c r="M235" s="129"/>
    </row>
    <row r="236" spans="1:13" s="10" customFormat="1" ht="12.75" customHeight="1">
      <c r="A236" s="30"/>
      <c r="B236" s="29"/>
      <c r="C236" s="30" t="s">
        <v>90</v>
      </c>
      <c r="D236" s="30"/>
      <c r="E236" s="30"/>
      <c r="F236" s="306">
        <v>324668.17</v>
      </c>
      <c r="G236" s="188"/>
      <c r="H236" s="192"/>
      <c r="I236" s="310"/>
      <c r="M236" s="135"/>
    </row>
    <row r="237" spans="1:13" s="10" customFormat="1" ht="12.75" customHeight="1">
      <c r="A237" s="30"/>
      <c r="B237" s="29"/>
      <c r="C237" s="30" t="s">
        <v>91</v>
      </c>
      <c r="D237" s="30"/>
      <c r="E237" s="30"/>
      <c r="F237" s="307">
        <v>1600843.69</v>
      </c>
      <c r="G237" s="201"/>
      <c r="H237" s="192"/>
      <c r="I237" s="310"/>
      <c r="M237" s="135"/>
    </row>
    <row r="238" spans="1:13" s="10" customFormat="1" ht="12.75" customHeight="1" thickBot="1">
      <c r="A238" s="30"/>
      <c r="B238" s="29"/>
      <c r="C238" s="30"/>
      <c r="D238" s="30"/>
      <c r="E238" s="30"/>
      <c r="F238" s="232"/>
      <c r="G238" s="199"/>
      <c r="H238" s="204"/>
      <c r="I238" s="311"/>
      <c r="M238" s="135"/>
    </row>
    <row r="239" spans="1:12" ht="12.75" customHeight="1" thickTop="1">
      <c r="A239" s="25"/>
      <c r="B239" s="24"/>
      <c r="C239" s="25"/>
      <c r="D239" s="25"/>
      <c r="F239" s="166"/>
      <c r="G239" s="166"/>
      <c r="H239" s="205"/>
      <c r="I239" s="312"/>
      <c r="J239" s="2"/>
      <c r="K239" s="2"/>
      <c r="L239" s="1" t="s">
        <v>283</v>
      </c>
    </row>
    <row r="240" spans="1:13" s="87" customFormat="1" ht="15.75" customHeight="1" thickBot="1">
      <c r="A240" s="25"/>
      <c r="B240" s="86"/>
      <c r="C240" s="89" t="s">
        <v>92</v>
      </c>
      <c r="D240" s="85"/>
      <c r="E240"/>
      <c r="F240" s="206"/>
      <c r="G240" s="166"/>
      <c r="H240" s="296">
        <f>H169+H186+H192+H195+H235</f>
        <v>8858587.149999999</v>
      </c>
      <c r="I240" s="313">
        <v>6335077.12</v>
      </c>
      <c r="J240" s="90"/>
      <c r="K240" s="207">
        <v>9961081920</v>
      </c>
      <c r="L240" s="207">
        <f>H155</f>
        <v>8858587.15</v>
      </c>
      <c r="M240" s="90"/>
    </row>
    <row r="241" spans="1:13" s="87" customFormat="1" ht="12.75" customHeight="1" thickTop="1">
      <c r="A241" s="25"/>
      <c r="B241" s="86"/>
      <c r="C241" s="89"/>
      <c r="D241" s="85"/>
      <c r="E241"/>
      <c r="F241" s="206"/>
      <c r="G241" s="166"/>
      <c r="H241" s="197"/>
      <c r="I241" s="235"/>
      <c r="J241" s="90"/>
      <c r="K241" s="207"/>
      <c r="L241" s="207"/>
      <c r="M241" s="90"/>
    </row>
    <row r="242" spans="1:13" s="87" customFormat="1" ht="12.75" customHeight="1">
      <c r="A242" s="25"/>
      <c r="B242" s="86"/>
      <c r="C242" s="89" t="s">
        <v>286</v>
      </c>
      <c r="D242" s="85"/>
      <c r="E242"/>
      <c r="F242" s="206"/>
      <c r="G242" s="166"/>
      <c r="H242" s="197"/>
      <c r="I242" s="236"/>
      <c r="J242" s="90"/>
      <c r="K242" s="207"/>
      <c r="L242" s="207"/>
      <c r="M242" s="90"/>
    </row>
    <row r="243" spans="1:13" s="87" customFormat="1" ht="12.75" customHeight="1">
      <c r="A243" s="25"/>
      <c r="B243" s="86"/>
      <c r="C243" s="89"/>
      <c r="D243" s="30" t="s">
        <v>288</v>
      </c>
      <c r="E243" s="233"/>
      <c r="F243" s="234"/>
      <c r="G243" s="201"/>
      <c r="H243" s="268">
        <v>0</v>
      </c>
      <c r="I243" s="297">
        <v>0</v>
      </c>
      <c r="J243" s="90"/>
      <c r="K243" s="207"/>
      <c r="L243" s="207"/>
      <c r="M243" s="90"/>
    </row>
    <row r="244" spans="1:13" s="87" customFormat="1" ht="12.75" customHeight="1">
      <c r="A244" s="25"/>
      <c r="B244" s="86"/>
      <c r="C244" s="89"/>
      <c r="D244" s="30" t="s">
        <v>289</v>
      </c>
      <c r="E244" s="233"/>
      <c r="F244" s="234"/>
      <c r="G244" s="201"/>
      <c r="H244" s="268">
        <v>2913333.37</v>
      </c>
      <c r="I244" s="298">
        <v>2913333.37</v>
      </c>
      <c r="J244" s="90"/>
      <c r="K244" s="207"/>
      <c r="L244" s="207"/>
      <c r="M244" s="90"/>
    </row>
    <row r="245" spans="1:12" ht="12.75" customHeight="1">
      <c r="A245" s="25"/>
      <c r="B245" s="24"/>
      <c r="C245" s="25"/>
      <c r="D245" s="30" t="s">
        <v>290</v>
      </c>
      <c r="G245" s="47"/>
      <c r="H245" s="295">
        <v>0</v>
      </c>
      <c r="I245" s="297">
        <v>0</v>
      </c>
      <c r="J245" s="2"/>
      <c r="K245" s="2"/>
      <c r="L245" s="171"/>
    </row>
    <row r="246" spans="1:11" ht="16.5" customHeight="1">
      <c r="A246" s="25"/>
      <c r="B246" s="24"/>
      <c r="C246" s="25"/>
      <c r="D246" s="25"/>
      <c r="G246" s="231"/>
      <c r="H246" s="295"/>
      <c r="I246" s="299"/>
      <c r="J246" s="2"/>
      <c r="K246" s="2"/>
    </row>
    <row r="247" spans="1:11" ht="16.5" customHeight="1" thickBot="1">
      <c r="A247" s="25"/>
      <c r="B247" s="243"/>
      <c r="C247" s="244" t="s">
        <v>287</v>
      </c>
      <c r="D247" s="245"/>
      <c r="E247" s="56"/>
      <c r="F247" s="246"/>
      <c r="G247" s="247"/>
      <c r="H247" s="296">
        <f>SUM(H240:H244)</f>
        <v>11771920.52</v>
      </c>
      <c r="I247" s="314">
        <v>9248410.49</v>
      </c>
      <c r="J247" s="2"/>
      <c r="K247" s="2"/>
    </row>
    <row r="248" spans="1:7" ht="12.75" customHeight="1" thickTop="1">
      <c r="A248" s="25"/>
      <c r="B248" s="24"/>
      <c r="C248" s="25"/>
      <c r="D248" s="25"/>
      <c r="F248" s="47"/>
      <c r="G248" s="47"/>
    </row>
    <row r="249" spans="1:9" ht="16.5" customHeight="1">
      <c r="A249" s="25"/>
      <c r="B249" s="25"/>
      <c r="C249" s="25"/>
      <c r="D249" s="25"/>
      <c r="F249" s="48" t="s">
        <v>93</v>
      </c>
      <c r="G249" s="47"/>
      <c r="I249" s="166"/>
    </row>
    <row r="250" spans="1:7" ht="12.75" customHeight="1">
      <c r="A250" s="25"/>
      <c r="B250" s="25"/>
      <c r="C250" s="25"/>
      <c r="D250" s="25"/>
      <c r="E250" s="49"/>
      <c r="F250" s="47"/>
      <c r="G250" s="47"/>
    </row>
    <row r="251" spans="1:8" ht="12.75" customHeight="1">
      <c r="A251" s="25"/>
      <c r="B251" s="25"/>
      <c r="C251" s="25"/>
      <c r="D251" s="25"/>
      <c r="F251" s="47"/>
      <c r="G251" s="47"/>
      <c r="H251" s="88"/>
    </row>
    <row r="252" spans="1:9" ht="12.75" customHeight="1">
      <c r="A252" s="25"/>
      <c r="B252" s="25"/>
      <c r="C252" s="25"/>
      <c r="D252" s="25"/>
      <c r="F252" s="354">
        <v>2004</v>
      </c>
      <c r="G252" s="355"/>
      <c r="H252" s="354">
        <v>2003</v>
      </c>
      <c r="I252" s="355"/>
    </row>
    <row r="253" spans="1:9" ht="12.75" customHeight="1">
      <c r="A253" s="25"/>
      <c r="B253" s="50"/>
      <c r="C253" s="51"/>
      <c r="D253" s="51"/>
      <c r="E253" s="42" t="s">
        <v>94</v>
      </c>
      <c r="F253" s="22" t="s">
        <v>95</v>
      </c>
      <c r="G253" s="22" t="s">
        <v>96</v>
      </c>
      <c r="H253" s="22" t="s">
        <v>95</v>
      </c>
      <c r="I253" s="22" t="s">
        <v>96</v>
      </c>
    </row>
    <row r="254" spans="1:9" ht="12.75" customHeight="1">
      <c r="A254" s="25"/>
      <c r="B254" s="24"/>
      <c r="C254" s="25"/>
      <c r="D254" s="25"/>
      <c r="E254" s="18" t="s">
        <v>4</v>
      </c>
      <c r="F254" s="46"/>
      <c r="G254" s="46"/>
      <c r="H254" s="121"/>
      <c r="I254" s="121"/>
    </row>
    <row r="255" spans="1:11" ht="15.75" customHeight="1">
      <c r="A255" s="25"/>
      <c r="B255" s="27" t="s">
        <v>97</v>
      </c>
      <c r="C255" s="25"/>
      <c r="D255" s="25"/>
      <c r="F255" s="136"/>
      <c r="G255" s="315">
        <f>F256+F272+F275+F276+F278</f>
        <v>8466216.349999998</v>
      </c>
      <c r="H255" s="162"/>
      <c r="I255" s="320">
        <v>7340775.720000001</v>
      </c>
      <c r="K255" s="167"/>
    </row>
    <row r="256" spans="1:9" ht="12.75" customHeight="1">
      <c r="A256" s="25"/>
      <c r="B256" s="24"/>
      <c r="C256" s="25" t="s">
        <v>188</v>
      </c>
      <c r="D256" s="25"/>
      <c r="F256" s="259">
        <f>SUM(F257:F270)</f>
        <v>5714775.759999999</v>
      </c>
      <c r="G256" s="137"/>
      <c r="H256" s="321">
        <v>5200378.6</v>
      </c>
      <c r="I256" s="163"/>
    </row>
    <row r="257" spans="1:9" ht="12.75" customHeight="1">
      <c r="A257" s="25"/>
      <c r="B257" s="24"/>
      <c r="C257" s="25"/>
      <c r="D257" t="s">
        <v>115</v>
      </c>
      <c r="E257" s="18" t="s">
        <v>322</v>
      </c>
      <c r="F257" s="316">
        <f>1315337.29+144748.38+5246.98</f>
        <v>1465332.65</v>
      </c>
      <c r="G257" s="139"/>
      <c r="H257" s="322">
        <v>1593990.8</v>
      </c>
      <c r="I257" s="163"/>
    </row>
    <row r="258" spans="1:9" ht="12.75" customHeight="1">
      <c r="A258" s="25"/>
      <c r="B258" s="24"/>
      <c r="C258" s="25"/>
      <c r="D258" t="s">
        <v>115</v>
      </c>
      <c r="E258" s="18" t="s">
        <v>323</v>
      </c>
      <c r="F258" s="316">
        <f>446537.03+12059.14</f>
        <v>458596.17000000004</v>
      </c>
      <c r="G258" s="139"/>
      <c r="H258" s="322">
        <v>0</v>
      </c>
      <c r="I258" s="163"/>
    </row>
    <row r="259" spans="1:9" ht="12.75" customHeight="1">
      <c r="A259" s="25"/>
      <c r="B259" s="24"/>
      <c r="C259" s="25"/>
      <c r="D259" t="s">
        <v>115</v>
      </c>
      <c r="E259" s="18" t="s">
        <v>228</v>
      </c>
      <c r="F259" s="316">
        <v>0</v>
      </c>
      <c r="G259" s="139"/>
      <c r="H259" s="322">
        <v>0</v>
      </c>
      <c r="I259" s="163"/>
    </row>
    <row r="260" spans="1:9" ht="12.75" customHeight="1">
      <c r="A260" s="25"/>
      <c r="B260" s="24"/>
      <c r="C260" s="25"/>
      <c r="D260" t="s">
        <v>115</v>
      </c>
      <c r="E260" s="18" t="s">
        <v>166</v>
      </c>
      <c r="F260" s="316">
        <f>144252.28+56483.92+220133.47</f>
        <v>420869.67000000004</v>
      </c>
      <c r="G260" s="139"/>
      <c r="H260" s="322">
        <v>209382.98</v>
      </c>
      <c r="I260" s="163"/>
    </row>
    <row r="261" spans="1:9" ht="12.75" customHeight="1">
      <c r="A261" s="25"/>
      <c r="B261" s="24"/>
      <c r="C261" s="25"/>
      <c r="D261" t="s">
        <v>115</v>
      </c>
      <c r="E261" s="18" t="s">
        <v>222</v>
      </c>
      <c r="F261" s="316">
        <f>68377.63</f>
        <v>68377.63</v>
      </c>
      <c r="G261" s="139"/>
      <c r="H261" s="322">
        <v>84975.5</v>
      </c>
      <c r="I261" s="163"/>
    </row>
    <row r="262" spans="1:9" ht="12.75" customHeight="1">
      <c r="A262" s="25"/>
      <c r="B262" s="24"/>
      <c r="C262" s="25"/>
      <c r="D262" t="s">
        <v>115</v>
      </c>
      <c r="E262" s="18" t="s">
        <v>238</v>
      </c>
      <c r="F262" s="316">
        <f>0</f>
        <v>0</v>
      </c>
      <c r="G262" s="139"/>
      <c r="H262" s="322">
        <v>15937.67</v>
      </c>
      <c r="I262" s="163"/>
    </row>
    <row r="263" spans="1:9" ht="12.75" customHeight="1">
      <c r="A263" s="25"/>
      <c r="B263" s="24"/>
      <c r="C263" s="25"/>
      <c r="D263" t="s">
        <v>115</v>
      </c>
      <c r="E263" s="18" t="s">
        <v>229</v>
      </c>
      <c r="F263" s="316">
        <f>31705.5</f>
        <v>31705.5</v>
      </c>
      <c r="G263" s="139"/>
      <c r="H263" s="322">
        <v>42417.81</v>
      </c>
      <c r="I263" s="163"/>
    </row>
    <row r="264" spans="1:9" ht="12.75" customHeight="1">
      <c r="A264" s="25"/>
      <c r="B264" s="24"/>
      <c r="C264" s="25"/>
      <c r="D264" t="s">
        <v>115</v>
      </c>
      <c r="E264" s="18" t="s">
        <v>239</v>
      </c>
      <c r="F264" s="316">
        <f>17264.8</f>
        <v>17264.8</v>
      </c>
      <c r="G264" s="139"/>
      <c r="H264" s="322">
        <v>13087.1</v>
      </c>
      <c r="I264" s="163"/>
    </row>
    <row r="265" spans="1:9" ht="12.75" customHeight="1">
      <c r="A265" s="25"/>
      <c r="B265" s="24"/>
      <c r="C265" s="25"/>
      <c r="D265" t="s">
        <v>115</v>
      </c>
      <c r="E265" s="18" t="s">
        <v>168</v>
      </c>
      <c r="F265" s="316">
        <f>1049069.52+3491.67</f>
        <v>1052561.19</v>
      </c>
      <c r="G265" s="139"/>
      <c r="H265" s="322">
        <v>1052511.62</v>
      </c>
      <c r="I265" s="163"/>
    </row>
    <row r="266" spans="1:9" ht="12.75" customHeight="1">
      <c r="A266" s="25"/>
      <c r="B266" s="24"/>
      <c r="C266" s="25"/>
      <c r="D266" t="s">
        <v>115</v>
      </c>
      <c r="E266" s="18" t="s">
        <v>169</v>
      </c>
      <c r="F266" s="316">
        <f>1716354.04+4109.56</f>
        <v>1720463.6</v>
      </c>
      <c r="G266" s="139"/>
      <c r="H266" s="322">
        <v>1651955.53</v>
      </c>
      <c r="I266" s="163"/>
    </row>
    <row r="267" spans="1:9" ht="12.75" customHeight="1">
      <c r="A267" s="25"/>
      <c r="B267" s="24"/>
      <c r="C267" s="25"/>
      <c r="D267" t="s">
        <v>115</v>
      </c>
      <c r="E267" s="18" t="s">
        <v>240</v>
      </c>
      <c r="F267" s="316">
        <v>12274</v>
      </c>
      <c r="G267" s="139"/>
      <c r="H267" s="322">
        <v>17615.9</v>
      </c>
      <c r="I267" s="163"/>
    </row>
    <row r="268" spans="1:9" ht="12.75" customHeight="1">
      <c r="A268" s="25"/>
      <c r="B268" s="24"/>
      <c r="C268" s="25"/>
      <c r="D268" s="25" t="s">
        <v>115</v>
      </c>
      <c r="E268" s="18" t="s">
        <v>241</v>
      </c>
      <c r="F268" s="316">
        <f>97402.41+136697.5</f>
        <v>234099.91</v>
      </c>
      <c r="G268" s="139"/>
      <c r="H268" s="322">
        <v>245397.11</v>
      </c>
      <c r="I268" s="163"/>
    </row>
    <row r="269" spans="1:9" ht="12.75" customHeight="1">
      <c r="A269" s="25"/>
      <c r="B269" s="24"/>
      <c r="C269" s="25"/>
      <c r="D269" t="s">
        <v>115</v>
      </c>
      <c r="E269" s="18" t="s">
        <v>170</v>
      </c>
      <c r="F269" s="316">
        <v>13284.08</v>
      </c>
      <c r="G269" s="139"/>
      <c r="H269" s="322">
        <v>21125.18</v>
      </c>
      <c r="I269" s="163"/>
    </row>
    <row r="270" spans="1:9" ht="12.75" customHeight="1">
      <c r="A270" s="25"/>
      <c r="B270" s="24"/>
      <c r="C270" s="25"/>
      <c r="D270" t="s">
        <v>115</v>
      </c>
      <c r="E270" s="18" t="s">
        <v>242</v>
      </c>
      <c r="F270" s="316">
        <f>219946.56</f>
        <v>219946.56</v>
      </c>
      <c r="G270" s="139"/>
      <c r="H270" s="322">
        <v>251981.4</v>
      </c>
      <c r="I270" s="163"/>
    </row>
    <row r="271" spans="1:9" ht="12.75" customHeight="1">
      <c r="A271" s="25"/>
      <c r="B271" s="24"/>
      <c r="C271" s="25" t="s">
        <v>187</v>
      </c>
      <c r="D271" s="25"/>
      <c r="F271" s="141"/>
      <c r="G271" s="137"/>
      <c r="H271" s="164"/>
      <c r="I271" s="163"/>
    </row>
    <row r="272" spans="1:9" ht="12.75" customHeight="1">
      <c r="A272" s="25"/>
      <c r="B272" s="24"/>
      <c r="C272" s="25"/>
      <c r="D272" s="25" t="s">
        <v>98</v>
      </c>
      <c r="F272" s="259">
        <f>SUM(F273:F274)</f>
        <v>929.9500000000007</v>
      </c>
      <c r="G272" s="137"/>
      <c r="H272" s="321">
        <v>5198.61</v>
      </c>
      <c r="I272" s="163"/>
    </row>
    <row r="273" spans="1:9" ht="12.75" customHeight="1">
      <c r="A273" s="25"/>
      <c r="B273" s="24"/>
      <c r="C273" s="25"/>
      <c r="D273" t="s">
        <v>115</v>
      </c>
      <c r="E273" s="18" t="s">
        <v>189</v>
      </c>
      <c r="F273" s="237">
        <f>26905-23281.8</f>
        <v>3623.2000000000007</v>
      </c>
      <c r="G273" s="142"/>
      <c r="H273" s="238">
        <v>4688.31</v>
      </c>
      <c r="I273" s="163"/>
    </row>
    <row r="274" spans="1:9" ht="12.75" customHeight="1">
      <c r="A274" s="25"/>
      <c r="B274" s="24"/>
      <c r="C274" s="25"/>
      <c r="D274" t="s">
        <v>115</v>
      </c>
      <c r="E274" s="18" t="s">
        <v>221</v>
      </c>
      <c r="F274" s="317">
        <f>5015.15-7708.4</f>
        <v>-2693.25</v>
      </c>
      <c r="G274" s="139"/>
      <c r="H274" s="323">
        <v>510.2999999999993</v>
      </c>
      <c r="I274" s="163"/>
    </row>
    <row r="275" spans="1:9" ht="12.75" customHeight="1">
      <c r="A275" s="25"/>
      <c r="B275" s="24"/>
      <c r="C275" s="25" t="s">
        <v>186</v>
      </c>
      <c r="D275" s="25"/>
      <c r="F275" s="143"/>
      <c r="G275" s="137"/>
      <c r="H275" s="123"/>
      <c r="I275" s="117"/>
    </row>
    <row r="276" spans="1:9" ht="12.75" customHeight="1">
      <c r="A276" s="25"/>
      <c r="B276" s="24"/>
      <c r="C276" s="25" t="s">
        <v>99</v>
      </c>
      <c r="D276" s="25"/>
      <c r="F276" s="144"/>
      <c r="G276" s="137"/>
      <c r="H276" s="124"/>
      <c r="I276" s="117"/>
    </row>
    <row r="277" spans="1:9" ht="12.75" customHeight="1">
      <c r="A277" s="25"/>
      <c r="B277" s="24"/>
      <c r="C277" s="25" t="s">
        <v>100</v>
      </c>
      <c r="D277" s="25"/>
      <c r="F277" s="145" t="s">
        <v>4</v>
      </c>
      <c r="G277" s="141"/>
      <c r="H277" s="125" t="s">
        <v>4</v>
      </c>
      <c r="I277" s="114"/>
    </row>
    <row r="278" spans="1:12" ht="12.75" customHeight="1">
      <c r="A278" s="25"/>
      <c r="B278" s="24"/>
      <c r="C278" s="25"/>
      <c r="D278" s="25" t="s">
        <v>101</v>
      </c>
      <c r="F278" s="268">
        <f>SUM(F279+F281+F283+F284+F286+F288+F290+F292+F293+F294+F295+F297+F299+F301+F303)</f>
        <v>2750510.6399999997</v>
      </c>
      <c r="G278" s="141"/>
      <c r="H278" s="298">
        <v>2135198.51</v>
      </c>
      <c r="I278" s="164"/>
      <c r="L278" s="241"/>
    </row>
    <row r="279" spans="1:9" ht="12.75" customHeight="1">
      <c r="A279" s="25"/>
      <c r="B279" s="24"/>
      <c r="C279" s="25"/>
      <c r="D279" t="s">
        <v>115</v>
      </c>
      <c r="E279" s="18" t="s">
        <v>322</v>
      </c>
      <c r="F279" s="316">
        <f>1676895.5+1549.38+756.5+380.02+1856.31+1314.88+3712.57+67411</f>
        <v>1753876.16</v>
      </c>
      <c r="G279" s="139"/>
      <c r="H279" s="322">
        <v>1546846.63</v>
      </c>
      <c r="I279" s="165"/>
    </row>
    <row r="280" spans="1:9" ht="12.75" customHeight="1">
      <c r="A280" s="25"/>
      <c r="B280" s="24"/>
      <c r="C280" s="25"/>
      <c r="D280" s="239"/>
      <c r="E280" s="239" t="s">
        <v>324</v>
      </c>
      <c r="F280" s="318">
        <f>1676895.5+1549.38</f>
        <v>1678444.88</v>
      </c>
      <c r="G280" s="240"/>
      <c r="H280" s="324">
        <f>68867.98+1351693.28+37148</f>
        <v>1457709.26</v>
      </c>
      <c r="I280" s="165"/>
    </row>
    <row r="281" spans="1:9" ht="12.75" customHeight="1">
      <c r="A281" s="25"/>
      <c r="B281" s="24"/>
      <c r="C281" s="25"/>
      <c r="D281" t="s">
        <v>115</v>
      </c>
      <c r="E281" s="18" t="s">
        <v>323</v>
      </c>
      <c r="F281" s="319">
        <f>360181.84+778.96+521.16+14.76+8812.5</f>
        <v>370309.22000000003</v>
      </c>
      <c r="G281" s="139"/>
      <c r="H281" s="325">
        <v>0</v>
      </c>
      <c r="I281" s="165"/>
    </row>
    <row r="282" spans="1:9" ht="12.75" customHeight="1">
      <c r="A282" s="25"/>
      <c r="B282" s="24"/>
      <c r="C282" s="25"/>
      <c r="D282" s="239"/>
      <c r="E282" s="239" t="s">
        <v>324</v>
      </c>
      <c r="F282" s="318">
        <v>360181.84</v>
      </c>
      <c r="G282" s="240"/>
      <c r="H282" s="324">
        <v>0</v>
      </c>
      <c r="I282" s="165"/>
    </row>
    <row r="283" spans="1:9" ht="12.75" customHeight="1">
      <c r="A283" s="25"/>
      <c r="B283" s="24"/>
      <c r="C283" s="25"/>
      <c r="D283" t="s">
        <v>115</v>
      </c>
      <c r="E283" s="18" t="s">
        <v>221</v>
      </c>
      <c r="F283" s="319">
        <f>347.82</f>
        <v>347.82</v>
      </c>
      <c r="G283" s="139"/>
      <c r="H283" s="325">
        <v>1033.64</v>
      </c>
      <c r="I283" s="165"/>
    </row>
    <row r="284" spans="1:9" ht="12.75" customHeight="1">
      <c r="A284" s="25"/>
      <c r="B284" s="24"/>
      <c r="C284" s="25"/>
      <c r="D284" t="s">
        <v>115</v>
      </c>
      <c r="E284" s="18" t="s">
        <v>166</v>
      </c>
      <c r="F284" s="319">
        <f>92643+770.13</f>
        <v>93413.13</v>
      </c>
      <c r="G284" s="139"/>
      <c r="H284" s="325">
        <v>74809.18</v>
      </c>
      <c r="I284" s="165"/>
    </row>
    <row r="285" spans="1:9" ht="12.75" customHeight="1">
      <c r="A285" s="25"/>
      <c r="B285" s="24"/>
      <c r="C285" s="25"/>
      <c r="D285" s="239"/>
      <c r="E285" s="239" t="s">
        <v>324</v>
      </c>
      <c r="F285" s="318">
        <v>92643</v>
      </c>
      <c r="G285" s="240"/>
      <c r="H285" s="324">
        <f>73875.22</f>
        <v>73875.22</v>
      </c>
      <c r="I285" s="165"/>
    </row>
    <row r="286" spans="1:9" ht="12.75" customHeight="1">
      <c r="A286" s="25"/>
      <c r="B286" s="24"/>
      <c r="C286" s="25"/>
      <c r="D286" t="s">
        <v>115</v>
      </c>
      <c r="E286" s="18" t="s">
        <v>222</v>
      </c>
      <c r="F286" s="319">
        <f>84250.51+219.3+23.22</f>
        <v>84493.03</v>
      </c>
      <c r="G286" s="139"/>
      <c r="H286" s="325">
        <v>78266.78</v>
      </c>
      <c r="I286" s="165"/>
    </row>
    <row r="287" spans="1:9" ht="12.75" customHeight="1">
      <c r="A287" s="25"/>
      <c r="B287" s="24"/>
      <c r="C287" s="25"/>
      <c r="D287" s="239"/>
      <c r="E287" s="239" t="s">
        <v>324</v>
      </c>
      <c r="F287" s="318">
        <v>84250.51</v>
      </c>
      <c r="G287" s="240"/>
      <c r="H287" s="324">
        <f>78030.71</f>
        <v>78030.71</v>
      </c>
      <c r="I287" s="165"/>
    </row>
    <row r="288" spans="1:9" ht="12.75" customHeight="1">
      <c r="A288" s="25"/>
      <c r="B288" s="24"/>
      <c r="C288" s="25"/>
      <c r="D288" t="s">
        <v>115</v>
      </c>
      <c r="E288" s="18" t="s">
        <v>238</v>
      </c>
      <c r="F288" s="319">
        <f>6666.67+51645.68+700</f>
        <v>59012.35</v>
      </c>
      <c r="G288" s="139"/>
      <c r="H288" s="325">
        <v>103291.37</v>
      </c>
      <c r="I288" s="165"/>
    </row>
    <row r="289" spans="1:9" ht="12.75" customHeight="1">
      <c r="A289" s="25"/>
      <c r="B289" s="24"/>
      <c r="C289" s="25"/>
      <c r="D289" s="239"/>
      <c r="E289" s="239" t="s">
        <v>324</v>
      </c>
      <c r="F289" s="318">
        <f>6666.67+51645.68</f>
        <v>58312.35</v>
      </c>
      <c r="G289" s="240"/>
      <c r="H289" s="324">
        <f>51645.69+51645.68</f>
        <v>103291.37</v>
      </c>
      <c r="I289" s="165"/>
    </row>
    <row r="290" spans="1:9" ht="12.75" customHeight="1">
      <c r="A290" s="25"/>
      <c r="B290" s="24"/>
      <c r="C290" s="25"/>
      <c r="D290" t="s">
        <v>115</v>
      </c>
      <c r="E290" s="18" t="s">
        <v>229</v>
      </c>
      <c r="F290" s="319">
        <f>6135.49</f>
        <v>6135.49</v>
      </c>
      <c r="G290" s="139"/>
      <c r="H290" s="325">
        <v>0</v>
      </c>
      <c r="I290" s="165"/>
    </row>
    <row r="291" spans="1:9" ht="12.75" customHeight="1">
      <c r="A291" s="25"/>
      <c r="B291" s="24"/>
      <c r="C291" s="25"/>
      <c r="D291" s="239"/>
      <c r="E291" s="239" t="s">
        <v>324</v>
      </c>
      <c r="F291" s="318">
        <v>6135.49</v>
      </c>
      <c r="G291" s="240"/>
      <c r="H291" s="324">
        <v>0</v>
      </c>
      <c r="I291" s="165"/>
    </row>
    <row r="292" spans="1:9" ht="12.75" customHeight="1">
      <c r="A292" s="25"/>
      <c r="B292" s="24"/>
      <c r="C292" s="25"/>
      <c r="D292" t="s">
        <v>115</v>
      </c>
      <c r="E292" s="18" t="s">
        <v>239</v>
      </c>
      <c r="F292" s="319">
        <v>0</v>
      </c>
      <c r="G292" s="139"/>
      <c r="H292" s="325">
        <v>46.32</v>
      </c>
      <c r="I292" s="163"/>
    </row>
    <row r="293" spans="1:9" ht="12.75" customHeight="1">
      <c r="A293" s="25"/>
      <c r="B293" s="24"/>
      <c r="C293" s="25"/>
      <c r="D293" t="s">
        <v>115</v>
      </c>
      <c r="E293" s="18" t="s">
        <v>168</v>
      </c>
      <c r="F293" s="319">
        <f>3260.21+29.29</f>
        <v>3289.5</v>
      </c>
      <c r="G293" s="139"/>
      <c r="H293" s="325">
        <v>2831.38</v>
      </c>
      <c r="I293" s="165"/>
    </row>
    <row r="294" spans="1:9" ht="12.75" customHeight="1">
      <c r="A294" s="25"/>
      <c r="B294" s="24"/>
      <c r="C294" s="25"/>
      <c r="D294" t="s">
        <v>115</v>
      </c>
      <c r="E294" s="18" t="s">
        <v>169</v>
      </c>
      <c r="F294" s="319">
        <f>959.9+42.66</f>
        <v>1002.56</v>
      </c>
      <c r="G294" s="139"/>
      <c r="H294" s="325">
        <v>1078.29</v>
      </c>
      <c r="I294" s="165"/>
    </row>
    <row r="295" spans="1:9" ht="12.75" customHeight="1">
      <c r="A295" s="25"/>
      <c r="B295" s="24"/>
      <c r="C295" s="25"/>
      <c r="D295" t="s">
        <v>115</v>
      </c>
      <c r="E295" s="18" t="s">
        <v>240</v>
      </c>
      <c r="F295" s="319">
        <f>816+23.22</f>
        <v>839.22</v>
      </c>
      <c r="G295" s="139"/>
      <c r="H295" s="325">
        <v>0</v>
      </c>
      <c r="I295" s="165"/>
    </row>
    <row r="296" spans="1:9" ht="12.75" customHeight="1">
      <c r="A296" s="25"/>
      <c r="B296" s="24"/>
      <c r="C296" s="25"/>
      <c r="D296" s="239"/>
      <c r="E296" s="239" t="s">
        <v>324</v>
      </c>
      <c r="F296" s="318">
        <v>816</v>
      </c>
      <c r="G296" s="240"/>
      <c r="H296" s="324">
        <v>0</v>
      </c>
      <c r="I296" s="165"/>
    </row>
    <row r="297" spans="1:9" ht="12.75" customHeight="1">
      <c r="A297" s="25"/>
      <c r="B297" s="24"/>
      <c r="C297" s="25"/>
      <c r="D297" s="25" t="s">
        <v>115</v>
      </c>
      <c r="E297" s="18" t="s">
        <v>241</v>
      </c>
      <c r="F297" s="319">
        <f>49105.36+12549.9+51.6</f>
        <v>61706.86</v>
      </c>
      <c r="G297" s="139"/>
      <c r="H297" s="325">
        <v>73615.58</v>
      </c>
      <c r="I297" s="165"/>
    </row>
    <row r="298" spans="1:9" ht="12.75" customHeight="1">
      <c r="A298" s="25"/>
      <c r="B298" s="24"/>
      <c r="C298" s="25"/>
      <c r="D298" s="239"/>
      <c r="E298" s="239" t="s">
        <v>324</v>
      </c>
      <c r="F298" s="318">
        <f>49105.36+12549.9</f>
        <v>61655.26</v>
      </c>
      <c r="G298" s="240"/>
      <c r="H298" s="324">
        <f>23779.64+49810.14</f>
        <v>73589.78</v>
      </c>
      <c r="I298" s="165"/>
    </row>
    <row r="299" spans="1:9" ht="12.75" customHeight="1">
      <c r="A299" s="25"/>
      <c r="B299" s="24"/>
      <c r="C299" s="25"/>
      <c r="D299" t="s">
        <v>115</v>
      </c>
      <c r="E299" s="18" t="s">
        <v>170</v>
      </c>
      <c r="F299" s="319">
        <f>72248.07+64.5</f>
        <v>72312.57</v>
      </c>
      <c r="G299" s="139"/>
      <c r="H299" s="325">
        <v>72312.58</v>
      </c>
      <c r="I299" s="165"/>
    </row>
    <row r="300" spans="1:9" ht="12.75" customHeight="1">
      <c r="A300" s="25"/>
      <c r="B300" s="24"/>
      <c r="C300" s="25"/>
      <c r="D300" s="239"/>
      <c r="E300" s="239" t="s">
        <v>324</v>
      </c>
      <c r="F300" s="318">
        <v>72248.07</v>
      </c>
      <c r="G300" s="240"/>
      <c r="H300" s="324">
        <f>72310</f>
        <v>72310</v>
      </c>
      <c r="I300" s="165"/>
    </row>
    <row r="301" spans="1:9" ht="12.75" customHeight="1">
      <c r="A301" s="25"/>
      <c r="B301" s="24"/>
      <c r="C301" s="25"/>
      <c r="D301" t="s">
        <v>115</v>
      </c>
      <c r="E301" s="18" t="s">
        <v>242</v>
      </c>
      <c r="F301" s="319">
        <f>44529.47+3739.2+70.95+16.77</f>
        <v>48356.38999999999</v>
      </c>
      <c r="G301" s="139"/>
      <c r="H301" s="325">
        <v>7897.77</v>
      </c>
      <c r="I301" s="165"/>
    </row>
    <row r="302" spans="1:9" ht="12.75" customHeight="1">
      <c r="A302" s="25"/>
      <c r="B302" s="24"/>
      <c r="C302" s="25"/>
      <c r="D302" s="239"/>
      <c r="E302" s="239" t="s">
        <v>324</v>
      </c>
      <c r="F302" s="318">
        <f>44529.47+3739.2+70.95+16.77</f>
        <v>48356.38999999999</v>
      </c>
      <c r="G302" s="240"/>
      <c r="H302" s="324">
        <v>7883.58</v>
      </c>
      <c r="I302" s="165"/>
    </row>
    <row r="303" spans="1:9" ht="12.75" customHeight="1">
      <c r="A303" s="25"/>
      <c r="B303" s="24"/>
      <c r="C303" s="25"/>
      <c r="D303" s="25" t="s">
        <v>208</v>
      </c>
      <c r="E303" s="18" t="s">
        <v>237</v>
      </c>
      <c r="F303" s="138">
        <f>195416.34</f>
        <v>195416.34</v>
      </c>
      <c r="G303" s="139"/>
      <c r="H303" s="325">
        <v>173168.99</v>
      </c>
      <c r="I303" s="165"/>
    </row>
    <row r="304" spans="1:9" ht="12.75" customHeight="1">
      <c r="A304" s="25"/>
      <c r="B304" s="24"/>
      <c r="C304" s="25"/>
      <c r="D304" s="25"/>
      <c r="E304" s="25"/>
      <c r="F304" s="141"/>
      <c r="G304" s="141"/>
      <c r="H304" s="164"/>
      <c r="I304" s="164"/>
    </row>
    <row r="305" spans="1:13" s="8" customFormat="1" ht="15.75" customHeight="1">
      <c r="A305" s="28"/>
      <c r="B305" s="27" t="s">
        <v>102</v>
      </c>
      <c r="C305" s="28"/>
      <c r="D305" s="28"/>
      <c r="E305" s="37"/>
      <c r="F305" s="147"/>
      <c r="G305" s="315">
        <f>-(F307+F323+F342+F353+F359+F366+F369+F370+F371)</f>
        <v>-8982161.379999999</v>
      </c>
      <c r="H305" s="168"/>
      <c r="I305" s="320">
        <v>-7173029.280000001</v>
      </c>
      <c r="M305" s="129"/>
    </row>
    <row r="306" spans="1:9" ht="12.75" customHeight="1">
      <c r="A306" s="25"/>
      <c r="B306" s="24"/>
      <c r="C306" s="25" t="s">
        <v>103</v>
      </c>
      <c r="D306" s="25"/>
      <c r="F306" s="141" t="s">
        <v>4</v>
      </c>
      <c r="G306" s="141"/>
      <c r="H306" s="164" t="s">
        <v>4</v>
      </c>
      <c r="I306" s="164"/>
    </row>
    <row r="307" spans="1:9" ht="12.75" customHeight="1">
      <c r="A307" s="25"/>
      <c r="B307" s="24"/>
      <c r="D307" s="25" t="s">
        <v>104</v>
      </c>
      <c r="E307" s="77"/>
      <c r="F307" s="259">
        <f>SUM(F308:F322)</f>
        <v>2565409.9999999995</v>
      </c>
      <c r="G307" s="141"/>
      <c r="H307" s="321">
        <v>2362794.56</v>
      </c>
      <c r="I307" s="164"/>
    </row>
    <row r="308" spans="1:9" ht="12.75" customHeight="1">
      <c r="A308" s="25"/>
      <c r="B308" s="24"/>
      <c r="C308" s="25"/>
      <c r="D308" t="s">
        <v>115</v>
      </c>
      <c r="E308" s="18" t="s">
        <v>322</v>
      </c>
      <c r="F308" s="316">
        <v>317407.9</v>
      </c>
      <c r="G308" s="141"/>
      <c r="H308" s="163">
        <v>244495.4</v>
      </c>
      <c r="I308" s="164"/>
    </row>
    <row r="309" spans="1:9" ht="12.75" customHeight="1">
      <c r="A309" s="25"/>
      <c r="B309" s="24"/>
      <c r="C309" s="25"/>
      <c r="D309" t="s">
        <v>115</v>
      </c>
      <c r="E309" s="18" t="s">
        <v>323</v>
      </c>
      <c r="F309" s="316">
        <v>100821.52</v>
      </c>
      <c r="G309" s="141"/>
      <c r="H309" s="163">
        <v>0</v>
      </c>
      <c r="I309" s="164"/>
    </row>
    <row r="310" spans="1:9" ht="12.75" customHeight="1">
      <c r="A310" s="25"/>
      <c r="B310" s="24"/>
      <c r="C310" s="25"/>
      <c r="D310" t="s">
        <v>115</v>
      </c>
      <c r="E310" s="18" t="s">
        <v>221</v>
      </c>
      <c r="F310" s="316">
        <v>207502.71</v>
      </c>
      <c r="G310" s="141"/>
      <c r="H310" s="163">
        <v>171007.98</v>
      </c>
      <c r="I310" s="164"/>
    </row>
    <row r="311" spans="1:9" ht="12.75" customHeight="1">
      <c r="A311" s="25"/>
      <c r="B311" s="24"/>
      <c r="C311" s="25"/>
      <c r="D311" t="s">
        <v>115</v>
      </c>
      <c r="E311" s="18" t="s">
        <v>166</v>
      </c>
      <c r="F311" s="316">
        <v>11257.78</v>
      </c>
      <c r="G311" s="141"/>
      <c r="H311" s="163">
        <v>4922.58</v>
      </c>
      <c r="I311" s="164"/>
    </row>
    <row r="312" spans="1:9" ht="12.75" customHeight="1">
      <c r="A312" s="25"/>
      <c r="B312" s="24"/>
      <c r="C312" s="25"/>
      <c r="D312" t="s">
        <v>115</v>
      </c>
      <c r="E312" s="18" t="s">
        <v>222</v>
      </c>
      <c r="F312" s="316">
        <v>4921.21</v>
      </c>
      <c r="G312" s="141"/>
      <c r="H312" s="163">
        <v>3718.48</v>
      </c>
      <c r="I312" s="164"/>
    </row>
    <row r="313" spans="1:9" ht="12.75" customHeight="1">
      <c r="A313" s="25"/>
      <c r="B313" s="24"/>
      <c r="C313" s="25"/>
      <c r="D313" t="s">
        <v>115</v>
      </c>
      <c r="E313" s="18" t="s">
        <v>238</v>
      </c>
      <c r="F313" s="316">
        <v>9800.03</v>
      </c>
      <c r="G313" s="141"/>
      <c r="H313" s="163">
        <v>16235.25</v>
      </c>
      <c r="I313" s="164"/>
    </row>
    <row r="314" spans="1:9" ht="12.75" customHeight="1">
      <c r="A314" s="25"/>
      <c r="B314" s="24"/>
      <c r="C314" s="25"/>
      <c r="D314" t="s">
        <v>115</v>
      </c>
      <c r="E314" s="18" t="s">
        <v>229</v>
      </c>
      <c r="F314" s="316">
        <v>2177.45</v>
      </c>
      <c r="G314" s="141"/>
      <c r="H314" s="163">
        <v>0</v>
      </c>
      <c r="I314" s="164"/>
    </row>
    <row r="315" spans="1:9" ht="12.75" customHeight="1">
      <c r="A315" s="25"/>
      <c r="B315" s="24"/>
      <c r="C315" s="25"/>
      <c r="D315" t="s">
        <v>115</v>
      </c>
      <c r="E315" s="18" t="s">
        <v>239</v>
      </c>
      <c r="F315" s="316">
        <v>3119.22</v>
      </c>
      <c r="G315" s="141"/>
      <c r="H315" s="163">
        <v>0</v>
      </c>
      <c r="I315" s="164"/>
    </row>
    <row r="316" spans="1:9" ht="12.75" customHeight="1">
      <c r="A316" s="25"/>
      <c r="B316" s="24"/>
      <c r="C316" s="25"/>
      <c r="D316" t="s">
        <v>115</v>
      </c>
      <c r="E316" s="18" t="s">
        <v>168</v>
      </c>
      <c r="F316" s="316">
        <v>715161.62</v>
      </c>
      <c r="G316" s="141"/>
      <c r="H316" s="163">
        <v>732791.83</v>
      </c>
      <c r="I316" s="164"/>
    </row>
    <row r="317" spans="1:9" ht="12.75" customHeight="1">
      <c r="A317" s="25"/>
      <c r="B317" s="24"/>
      <c r="C317" s="25"/>
      <c r="D317" t="s">
        <v>115</v>
      </c>
      <c r="E317" s="18" t="s">
        <v>169</v>
      </c>
      <c r="F317" s="316">
        <v>1168694.74</v>
      </c>
      <c r="G317" s="141"/>
      <c r="H317" s="163">
        <v>1150876.54</v>
      </c>
      <c r="I317" s="164"/>
    </row>
    <row r="318" spans="1:9" ht="12.75" customHeight="1">
      <c r="A318" s="25"/>
      <c r="B318" s="24"/>
      <c r="C318" s="25"/>
      <c r="D318" t="s">
        <v>115</v>
      </c>
      <c r="E318" s="18" t="s">
        <v>240</v>
      </c>
      <c r="F318" s="316">
        <v>7150.55</v>
      </c>
      <c r="G318" s="141"/>
      <c r="H318" s="163">
        <v>4906.55</v>
      </c>
      <c r="I318" s="164"/>
    </row>
    <row r="319" spans="1:9" ht="12.75" customHeight="1">
      <c r="A319" s="25"/>
      <c r="B319" s="24"/>
      <c r="C319" s="25"/>
      <c r="D319" s="25" t="s">
        <v>115</v>
      </c>
      <c r="E319" s="18" t="s">
        <v>241</v>
      </c>
      <c r="F319" s="316">
        <v>6373.45</v>
      </c>
      <c r="G319" s="141"/>
      <c r="H319" s="163">
        <v>22531.79</v>
      </c>
      <c r="I319" s="164"/>
    </row>
    <row r="320" spans="1:9" ht="12.75" customHeight="1">
      <c r="A320" s="25"/>
      <c r="B320" s="24"/>
      <c r="C320" s="25"/>
      <c r="D320" t="s">
        <v>115</v>
      </c>
      <c r="E320" s="18" t="s">
        <v>170</v>
      </c>
      <c r="F320" s="316">
        <v>0</v>
      </c>
      <c r="G320" s="141"/>
      <c r="H320" s="163">
        <v>0</v>
      </c>
      <c r="I320" s="164"/>
    </row>
    <row r="321" spans="1:9" ht="12.75" customHeight="1">
      <c r="A321" s="25"/>
      <c r="B321" s="24"/>
      <c r="C321" s="25"/>
      <c r="D321" t="s">
        <v>115</v>
      </c>
      <c r="E321" s="18" t="s">
        <v>242</v>
      </c>
      <c r="F321" s="316">
        <v>0</v>
      </c>
      <c r="G321" s="141"/>
      <c r="H321" s="163">
        <v>0</v>
      </c>
      <c r="I321" s="164"/>
    </row>
    <row r="322" spans="1:9" ht="12.75" customHeight="1">
      <c r="A322" s="25"/>
      <c r="B322" s="24"/>
      <c r="C322" s="25"/>
      <c r="D322" s="25" t="s">
        <v>115</v>
      </c>
      <c r="E322" s="34" t="s">
        <v>243</v>
      </c>
      <c r="F322" s="316">
        <v>11021.82</v>
      </c>
      <c r="G322" s="141"/>
      <c r="H322" s="163">
        <v>11308.16</v>
      </c>
      <c r="I322" s="164"/>
    </row>
    <row r="323" spans="1:9" ht="12.75" customHeight="1">
      <c r="A323" s="25"/>
      <c r="B323" s="24"/>
      <c r="C323" s="25" t="s">
        <v>105</v>
      </c>
      <c r="D323" s="25"/>
      <c r="F323" s="326">
        <f>SUM(F324:F341)</f>
        <v>3532646.03</v>
      </c>
      <c r="G323" s="141"/>
      <c r="H323" s="329">
        <v>2336554.24</v>
      </c>
      <c r="I323" s="114"/>
    </row>
    <row r="324" spans="1:9" ht="12.75" customHeight="1">
      <c r="A324" s="25"/>
      <c r="B324" s="24"/>
      <c r="C324" s="25"/>
      <c r="D324" t="s">
        <v>115</v>
      </c>
      <c r="E324" s="18" t="s">
        <v>322</v>
      </c>
      <c r="F324" s="316">
        <f>1720930.2-384615</f>
        <v>1336315.2</v>
      </c>
      <c r="G324" s="141"/>
      <c r="H324" s="163">
        <v>1168020.38</v>
      </c>
      <c r="I324" s="114"/>
    </row>
    <row r="325" spans="1:9" ht="12.75" customHeight="1">
      <c r="A325" s="25"/>
      <c r="B325" s="24"/>
      <c r="C325" s="25"/>
      <c r="D325" t="s">
        <v>115</v>
      </c>
      <c r="E325" s="18" t="s">
        <v>323</v>
      </c>
      <c r="F325" s="316">
        <f>724437.12-91660.8</f>
        <v>632776.32</v>
      </c>
      <c r="G325" s="141"/>
      <c r="H325" s="163">
        <v>0</v>
      </c>
      <c r="I325" s="114"/>
    </row>
    <row r="326" spans="1:9" ht="12.75" customHeight="1">
      <c r="A326" s="25"/>
      <c r="B326" s="24"/>
      <c r="C326" s="25"/>
      <c r="D326" t="s">
        <v>115</v>
      </c>
      <c r="E326" s="18" t="s">
        <v>221</v>
      </c>
      <c r="F326" s="316">
        <v>16943.27</v>
      </c>
      <c r="G326" s="141"/>
      <c r="H326" s="163">
        <v>17345.95</v>
      </c>
      <c r="I326" s="114"/>
    </row>
    <row r="327" spans="1:9" ht="12.75" customHeight="1">
      <c r="A327" s="25"/>
      <c r="B327" s="24"/>
      <c r="C327" s="25"/>
      <c r="D327" t="s">
        <v>115</v>
      </c>
      <c r="E327" s="18" t="s">
        <v>166</v>
      </c>
      <c r="F327" s="316">
        <f>405619.09-7862.4</f>
        <v>397756.69</v>
      </c>
      <c r="G327" s="141"/>
      <c r="H327" s="163">
        <v>175279.23</v>
      </c>
      <c r="I327" s="114"/>
    </row>
    <row r="328" spans="1:9" ht="12.75" customHeight="1">
      <c r="A328" s="25"/>
      <c r="B328" s="24"/>
      <c r="C328" s="25"/>
      <c r="D328" t="s">
        <v>115</v>
      </c>
      <c r="E328" s="18" t="s">
        <v>222</v>
      </c>
      <c r="F328" s="316">
        <f>28848.74-12314.4</f>
        <v>16534.340000000004</v>
      </c>
      <c r="G328" s="141"/>
      <c r="H328" s="163">
        <v>29379.52</v>
      </c>
      <c r="I328" s="114"/>
    </row>
    <row r="329" spans="1:9" ht="12.75" customHeight="1">
      <c r="A329" s="25"/>
      <c r="B329" s="24"/>
      <c r="C329" s="25"/>
      <c r="D329" t="s">
        <v>115</v>
      </c>
      <c r="E329" s="18" t="s">
        <v>238</v>
      </c>
      <c r="F329" s="316">
        <v>56309.39</v>
      </c>
      <c r="G329" s="141"/>
      <c r="H329" s="163">
        <v>53470.75</v>
      </c>
      <c r="I329" s="114"/>
    </row>
    <row r="330" spans="1:9" ht="12.75" customHeight="1">
      <c r="A330" s="25"/>
      <c r="B330" s="24"/>
      <c r="C330" s="25"/>
      <c r="D330" t="s">
        <v>115</v>
      </c>
      <c r="E330" s="18" t="s">
        <v>229</v>
      </c>
      <c r="F330" s="316">
        <v>20756.77</v>
      </c>
      <c r="G330" s="141"/>
      <c r="H330" s="163">
        <v>14224.44</v>
      </c>
      <c r="I330" s="114"/>
    </row>
    <row r="331" spans="1:9" ht="12.75" customHeight="1">
      <c r="A331" s="25"/>
      <c r="B331" s="24"/>
      <c r="C331" s="25"/>
      <c r="D331" t="s">
        <v>115</v>
      </c>
      <c r="E331" s="18" t="s">
        <v>239</v>
      </c>
      <c r="F331" s="316">
        <f>4577.44</f>
        <v>4577.44</v>
      </c>
      <c r="G331" s="139"/>
      <c r="H331" s="322">
        <v>1588.06</v>
      </c>
      <c r="I331" s="163"/>
    </row>
    <row r="332" spans="1:9" ht="12.75" customHeight="1">
      <c r="A332" s="25"/>
      <c r="B332" s="24"/>
      <c r="C332" s="25"/>
      <c r="D332" t="s">
        <v>115</v>
      </c>
      <c r="E332" s="18" t="s">
        <v>168</v>
      </c>
      <c r="F332" s="316">
        <f>48011.67</f>
        <v>48011.67</v>
      </c>
      <c r="G332" s="141"/>
      <c r="H332" s="163">
        <v>54476.49</v>
      </c>
      <c r="I332" s="114"/>
    </row>
    <row r="333" spans="1:9" ht="12.75" customHeight="1">
      <c r="A333" s="25"/>
      <c r="B333" s="24"/>
      <c r="C333" s="25"/>
      <c r="D333" t="s">
        <v>115</v>
      </c>
      <c r="E333" s="18" t="s">
        <v>169</v>
      </c>
      <c r="F333" s="316">
        <f>42748</f>
        <v>42748</v>
      </c>
      <c r="G333" s="141"/>
      <c r="H333" s="163">
        <v>38172.25</v>
      </c>
      <c r="I333" s="114"/>
    </row>
    <row r="334" spans="1:9" ht="12.75" customHeight="1">
      <c r="A334" s="25"/>
      <c r="B334" s="24"/>
      <c r="C334" s="25"/>
      <c r="D334" t="s">
        <v>115</v>
      </c>
      <c r="E334" s="18" t="s">
        <v>240</v>
      </c>
      <c r="F334" s="316">
        <v>12178.75</v>
      </c>
      <c r="G334" s="141"/>
      <c r="H334" s="163">
        <v>13536.96</v>
      </c>
      <c r="I334" s="114"/>
    </row>
    <row r="335" spans="1:9" ht="12.75" customHeight="1">
      <c r="A335" s="25"/>
      <c r="B335" s="24"/>
      <c r="C335" s="25"/>
      <c r="D335" s="25" t="s">
        <v>115</v>
      </c>
      <c r="E335" s="18" t="s">
        <v>241</v>
      </c>
      <c r="F335" s="316">
        <v>207541.02</v>
      </c>
      <c r="G335" s="141"/>
      <c r="H335" s="163">
        <v>208702</v>
      </c>
      <c r="I335" s="114"/>
    </row>
    <row r="336" spans="1:9" ht="12.75" customHeight="1">
      <c r="A336" s="25"/>
      <c r="B336" s="24"/>
      <c r="C336" s="25"/>
      <c r="D336" t="s">
        <v>115</v>
      </c>
      <c r="E336" s="18" t="s">
        <v>170</v>
      </c>
      <c r="F336" s="316">
        <f>66522.17</f>
        <v>66522.17</v>
      </c>
      <c r="G336" s="141"/>
      <c r="H336" s="163">
        <v>60065.82</v>
      </c>
      <c r="I336" s="114"/>
    </row>
    <row r="337" spans="1:9" ht="12.75" customHeight="1">
      <c r="A337" s="25"/>
      <c r="B337" s="24"/>
      <c r="C337" s="25"/>
      <c r="D337" t="s">
        <v>115</v>
      </c>
      <c r="E337" s="18" t="s">
        <v>242</v>
      </c>
      <c r="F337" s="316">
        <f>230583.81</f>
        <v>230583.81</v>
      </c>
      <c r="G337" s="141"/>
      <c r="H337" s="163">
        <v>222460.02</v>
      </c>
      <c r="I337" s="114"/>
    </row>
    <row r="338" spans="1:9" ht="12.75" customHeight="1">
      <c r="A338" s="25"/>
      <c r="B338" s="24"/>
      <c r="C338" s="25"/>
      <c r="D338" s="25" t="s">
        <v>115</v>
      </c>
      <c r="E338" s="34" t="s">
        <v>243</v>
      </c>
      <c r="F338" s="316">
        <f>248110.76-85965.36-9512.88-29507.06+124547.78-5405.59</f>
        <v>242267.65000000002</v>
      </c>
      <c r="G338" s="141"/>
      <c r="H338" s="163">
        <v>155833.53</v>
      </c>
      <c r="I338" s="114"/>
    </row>
    <row r="339" spans="1:9" ht="12.75" customHeight="1">
      <c r="A339" s="25"/>
      <c r="B339" s="24"/>
      <c r="C339" s="25"/>
      <c r="D339" s="25" t="s">
        <v>115</v>
      </c>
      <c r="E339" s="34" t="s">
        <v>332</v>
      </c>
      <c r="F339" s="316">
        <f>52377.24+23461</f>
        <v>75838.23999999999</v>
      </c>
      <c r="G339" s="141"/>
      <c r="H339" s="163"/>
      <c r="I339" s="114"/>
    </row>
    <row r="340" spans="1:9" ht="12.75" customHeight="1">
      <c r="A340" s="25"/>
      <c r="B340" s="24"/>
      <c r="C340" s="25"/>
      <c r="D340" s="25" t="s">
        <v>115</v>
      </c>
      <c r="E340" s="18" t="s">
        <v>206</v>
      </c>
      <c r="F340" s="316">
        <f>85965.36+9512.88</f>
        <v>95478.24</v>
      </c>
      <c r="G340" s="141"/>
      <c r="H340" s="163">
        <v>93633.36</v>
      </c>
      <c r="I340" s="114"/>
    </row>
    <row r="341" spans="1:9" ht="12.75" customHeight="1">
      <c r="A341" s="25"/>
      <c r="B341" s="24"/>
      <c r="C341" s="25"/>
      <c r="D341" s="25" t="s">
        <v>115</v>
      </c>
      <c r="E341" s="18" t="s">
        <v>207</v>
      </c>
      <c r="F341" s="316">
        <v>29507.06</v>
      </c>
      <c r="G341" s="141"/>
      <c r="H341" s="330">
        <v>30365.48</v>
      </c>
      <c r="I341" s="114"/>
    </row>
    <row r="342" spans="1:9" ht="12.75" customHeight="1">
      <c r="A342" s="25"/>
      <c r="B342" s="24"/>
      <c r="C342" s="25" t="s">
        <v>106</v>
      </c>
      <c r="D342" s="25"/>
      <c r="E342" s="77"/>
      <c r="F342" s="326">
        <f>SUM(F343:F352)</f>
        <v>77186.79</v>
      </c>
      <c r="G342" s="141"/>
      <c r="H342" s="329">
        <v>74012.15</v>
      </c>
      <c r="I342" s="114"/>
    </row>
    <row r="343" spans="1:9" ht="12.75" customHeight="1">
      <c r="A343" s="25"/>
      <c r="B343" s="24"/>
      <c r="C343" s="25"/>
      <c r="D343" t="s">
        <v>115</v>
      </c>
      <c r="E343" s="18" t="s">
        <v>322</v>
      </c>
      <c r="F343" s="327">
        <v>12376.91</v>
      </c>
      <c r="G343" s="141"/>
      <c r="H343" s="163">
        <v>11188.15</v>
      </c>
      <c r="I343" s="114"/>
    </row>
    <row r="344" spans="1:9" ht="12.75" customHeight="1">
      <c r="A344" s="25"/>
      <c r="B344" s="24"/>
      <c r="C344" s="25"/>
      <c r="D344" t="s">
        <v>115</v>
      </c>
      <c r="E344" s="18" t="s">
        <v>323</v>
      </c>
      <c r="F344" s="327">
        <v>172.8</v>
      </c>
      <c r="G344" s="141"/>
      <c r="H344" s="163">
        <v>0</v>
      </c>
      <c r="I344" s="114"/>
    </row>
    <row r="345" spans="1:9" ht="12.75" customHeight="1">
      <c r="A345" s="25"/>
      <c r="B345" s="24"/>
      <c r="C345" s="25"/>
      <c r="D345" t="s">
        <v>115</v>
      </c>
      <c r="E345" s="18" t="s">
        <v>221</v>
      </c>
      <c r="F345" s="327">
        <v>0</v>
      </c>
      <c r="G345" s="141"/>
      <c r="H345" s="163">
        <v>0</v>
      </c>
      <c r="I345" s="114"/>
    </row>
    <row r="346" spans="1:9" ht="12.75" customHeight="1">
      <c r="A346" s="25"/>
      <c r="B346" s="24"/>
      <c r="C346" s="25"/>
      <c r="D346" t="s">
        <v>115</v>
      </c>
      <c r="E346" s="18" t="s">
        <v>166</v>
      </c>
      <c r="F346" s="327">
        <v>2038.32</v>
      </c>
      <c r="G346" s="141"/>
      <c r="H346" s="163">
        <v>3380.34</v>
      </c>
      <c r="I346" s="114"/>
    </row>
    <row r="347" spans="1:9" ht="12.75" customHeight="1">
      <c r="A347" s="25"/>
      <c r="B347" s="24"/>
      <c r="C347" s="25"/>
      <c r="D347" t="s">
        <v>115</v>
      </c>
      <c r="E347" s="18" t="s">
        <v>239</v>
      </c>
      <c r="F347" s="327">
        <v>11118.46</v>
      </c>
      <c r="G347" s="139"/>
      <c r="H347" s="322">
        <v>10765.3</v>
      </c>
      <c r="I347" s="163"/>
    </row>
    <row r="348" spans="1:9" ht="12.75" customHeight="1">
      <c r="A348" s="25"/>
      <c r="B348" s="24"/>
      <c r="C348" s="25"/>
      <c r="D348" t="s">
        <v>115</v>
      </c>
      <c r="E348" s="18" t="s">
        <v>168</v>
      </c>
      <c r="F348" s="327">
        <v>15750.3</v>
      </c>
      <c r="G348" s="141"/>
      <c r="H348" s="163">
        <v>15329.58</v>
      </c>
      <c r="I348" s="114"/>
    </row>
    <row r="349" spans="1:9" ht="12.75" customHeight="1">
      <c r="A349" s="25"/>
      <c r="B349" s="24"/>
      <c r="C349" s="25"/>
      <c r="D349" t="s">
        <v>115</v>
      </c>
      <c r="E349" s="18" t="s">
        <v>169</v>
      </c>
      <c r="F349" s="327">
        <v>23953.28</v>
      </c>
      <c r="G349" s="141"/>
      <c r="H349" s="163">
        <v>23319.81</v>
      </c>
      <c r="I349" s="114"/>
    </row>
    <row r="350" spans="1:9" ht="12.75" customHeight="1">
      <c r="A350" s="25"/>
      <c r="B350" s="24"/>
      <c r="C350" s="25"/>
      <c r="D350" s="25" t="s">
        <v>115</v>
      </c>
      <c r="E350" s="18" t="s">
        <v>241</v>
      </c>
      <c r="F350" s="316">
        <v>2487.74</v>
      </c>
      <c r="G350" s="141"/>
      <c r="H350" s="163">
        <v>2342.1</v>
      </c>
      <c r="I350" s="114"/>
    </row>
    <row r="351" spans="1:9" ht="12.75" customHeight="1">
      <c r="A351" s="25"/>
      <c r="B351" s="24"/>
      <c r="C351" s="25"/>
      <c r="D351" t="s">
        <v>115</v>
      </c>
      <c r="E351" s="18" t="s">
        <v>230</v>
      </c>
      <c r="F351" s="327">
        <v>3566.31</v>
      </c>
      <c r="G351" s="141"/>
      <c r="H351" s="163">
        <v>1964.37</v>
      </c>
      <c r="I351" s="114"/>
    </row>
    <row r="352" spans="1:9" ht="12.75" customHeight="1">
      <c r="A352" s="25"/>
      <c r="B352" s="24"/>
      <c r="C352" s="25"/>
      <c r="D352" s="25" t="s">
        <v>115</v>
      </c>
      <c r="E352" s="34" t="s">
        <v>243</v>
      </c>
      <c r="F352" s="327">
        <v>5722.67</v>
      </c>
      <c r="G352" s="141"/>
      <c r="H352" s="163">
        <v>5722.5</v>
      </c>
      <c r="I352" s="114"/>
    </row>
    <row r="353" spans="1:9" ht="12.75" customHeight="1">
      <c r="A353" s="25"/>
      <c r="B353" s="24"/>
      <c r="C353" s="25" t="s">
        <v>107</v>
      </c>
      <c r="D353" s="25"/>
      <c r="E353" s="77"/>
      <c r="F353" s="328">
        <f>SUM(F354:F358)</f>
        <v>2356035.79</v>
      </c>
      <c r="G353" s="141"/>
      <c r="H353" s="331">
        <v>2202218.12</v>
      </c>
      <c r="I353" s="114"/>
    </row>
    <row r="354" spans="1:12" ht="12.75" customHeight="1">
      <c r="A354" s="25"/>
      <c r="B354" s="24"/>
      <c r="D354" s="52" t="s">
        <v>108</v>
      </c>
      <c r="E354" s="91"/>
      <c r="F354" s="266">
        <f>1567568.53+28179.66+95656.3+74671.01</f>
        <v>1766075.5</v>
      </c>
      <c r="G354" s="141"/>
      <c r="H354" s="332">
        <v>1641043.61</v>
      </c>
      <c r="I354" s="114"/>
      <c r="L354" s="171"/>
    </row>
    <row r="355" spans="1:12" ht="12.75" customHeight="1">
      <c r="A355" s="25"/>
      <c r="B355" s="24"/>
      <c r="D355" s="52" t="s">
        <v>109</v>
      </c>
      <c r="E355" s="91"/>
      <c r="F355" s="266">
        <f>371315.78+7044.92+23373.92+18004.27</f>
        <v>419738.89</v>
      </c>
      <c r="G355" s="141"/>
      <c r="H355" s="332">
        <v>400598.47</v>
      </c>
      <c r="I355" s="114"/>
      <c r="L355" s="171"/>
    </row>
    <row r="356" spans="1:12" ht="12.75" customHeight="1">
      <c r="A356" s="25"/>
      <c r="B356" s="24"/>
      <c r="D356" s="52" t="s">
        <v>110</v>
      </c>
      <c r="E356" s="91"/>
      <c r="F356" s="266">
        <f>119838.92+15859.04</f>
        <v>135697.96</v>
      </c>
      <c r="G356" s="141"/>
      <c r="H356" s="332">
        <v>127383.37</v>
      </c>
      <c r="I356" s="114"/>
      <c r="L356" s="171"/>
    </row>
    <row r="357" spans="1:9" ht="12.75" customHeight="1">
      <c r="A357" s="25"/>
      <c r="B357" s="24"/>
      <c r="D357" s="52" t="s">
        <v>111</v>
      </c>
      <c r="E357" s="91"/>
      <c r="F357" s="266">
        <v>0</v>
      </c>
      <c r="G357" s="141"/>
      <c r="H357" s="332">
        <v>0</v>
      </c>
      <c r="I357" s="114"/>
    </row>
    <row r="358" spans="1:12" ht="12.75" customHeight="1">
      <c r="A358" s="25"/>
      <c r="B358" s="24"/>
      <c r="D358" s="52" t="s">
        <v>209</v>
      </c>
      <c r="E358" s="91"/>
      <c r="F358" s="267">
        <f>29992.31+(80369.37-75838.24)</f>
        <v>34523.43999999999</v>
      </c>
      <c r="G358" s="141"/>
      <c r="H358" s="333">
        <v>33192.67</v>
      </c>
      <c r="I358" s="114"/>
      <c r="L358" s="171"/>
    </row>
    <row r="359" spans="1:9" ht="12.75" customHeight="1">
      <c r="A359" s="25"/>
      <c r="B359" s="24"/>
      <c r="C359" s="25" t="s">
        <v>112</v>
      </c>
      <c r="D359" s="25"/>
      <c r="E359" s="77"/>
      <c r="F359" s="328">
        <f>SUM(F360:F363)</f>
        <v>167309.07</v>
      </c>
      <c r="G359" s="141"/>
      <c r="H359" s="331">
        <v>139513.03</v>
      </c>
      <c r="I359" s="114"/>
    </row>
    <row r="360" spans="1:9" ht="12.75" customHeight="1">
      <c r="A360" s="25"/>
      <c r="B360" s="24"/>
      <c r="C360" s="25"/>
      <c r="D360" s="52" t="s">
        <v>113</v>
      </c>
      <c r="E360" s="91"/>
      <c r="F360" s="266">
        <v>11762.1</v>
      </c>
      <c r="G360" s="141"/>
      <c r="H360" s="332">
        <v>10627.11</v>
      </c>
      <c r="I360" s="114"/>
    </row>
    <row r="361" spans="1:9" ht="12.75" customHeight="1">
      <c r="A361" s="25"/>
      <c r="B361" s="24"/>
      <c r="D361" s="52" t="s">
        <v>114</v>
      </c>
      <c r="E361" s="92"/>
      <c r="F361" s="266">
        <v>155546.97</v>
      </c>
      <c r="G361" s="141"/>
      <c r="H361" s="332">
        <v>128885.92</v>
      </c>
      <c r="I361" s="114"/>
    </row>
    <row r="362" spans="1:9" ht="12.75" customHeight="1">
      <c r="A362" s="25"/>
      <c r="B362" s="24"/>
      <c r="D362" s="52" t="s">
        <v>116</v>
      </c>
      <c r="E362" s="91"/>
      <c r="F362" s="266">
        <v>0</v>
      </c>
      <c r="G362" s="141"/>
      <c r="H362" s="332">
        <v>0</v>
      </c>
      <c r="I362" s="114"/>
    </row>
    <row r="363" spans="1:9" ht="12.75" customHeight="1">
      <c r="A363" s="25"/>
      <c r="B363" s="24"/>
      <c r="D363" s="52" t="s">
        <v>117</v>
      </c>
      <c r="E363" s="91"/>
      <c r="F363" s="266">
        <v>0</v>
      </c>
      <c r="G363" s="141"/>
      <c r="H363" s="332">
        <v>0</v>
      </c>
      <c r="I363" s="114"/>
    </row>
    <row r="364" spans="1:9" ht="12.75" customHeight="1">
      <c r="A364" s="25"/>
      <c r="B364" s="24"/>
      <c r="D364" s="52"/>
      <c r="E364" s="92" t="s">
        <v>118</v>
      </c>
      <c r="F364" s="149"/>
      <c r="G364" s="141"/>
      <c r="H364" s="170"/>
      <c r="I364" s="114"/>
    </row>
    <row r="365" spans="1:9" ht="12.75" customHeight="1">
      <c r="A365" s="25"/>
      <c r="B365" s="24"/>
      <c r="C365" s="25" t="s">
        <v>119</v>
      </c>
      <c r="D365" s="25"/>
      <c r="E365" s="77"/>
      <c r="F365" s="141"/>
      <c r="G365" s="141"/>
      <c r="H365" s="114"/>
      <c r="I365" s="114"/>
    </row>
    <row r="366" spans="1:9" ht="12.75" customHeight="1">
      <c r="A366" s="25"/>
      <c r="B366" s="24"/>
      <c r="D366" s="25"/>
      <c r="E366" s="26" t="s">
        <v>120</v>
      </c>
      <c r="F366" s="259">
        <f>SUM(F367:F368)</f>
        <v>66381.98000000001</v>
      </c>
      <c r="G366" s="141"/>
      <c r="H366" s="321">
        <v>4674.360000000015</v>
      </c>
      <c r="I366" s="114"/>
    </row>
    <row r="367" spans="1:9" ht="12.75" customHeight="1">
      <c r="A367" s="25"/>
      <c r="B367" s="24"/>
      <c r="C367" s="25"/>
      <c r="D367"/>
      <c r="E367" s="18" t="s">
        <v>190</v>
      </c>
      <c r="F367" s="327">
        <f>137428-96767.84</f>
        <v>40660.16</v>
      </c>
      <c r="G367" s="141"/>
      <c r="H367" s="163">
        <v>19669.29</v>
      </c>
      <c r="I367" s="114"/>
    </row>
    <row r="368" spans="1:9" ht="12.75" customHeight="1">
      <c r="A368" s="25"/>
      <c r="B368" s="24"/>
      <c r="C368" s="25"/>
      <c r="D368"/>
      <c r="E368" s="18" t="s">
        <v>191</v>
      </c>
      <c r="F368" s="327">
        <f>213978.85-188257.03</f>
        <v>25721.820000000007</v>
      </c>
      <c r="G368" s="141"/>
      <c r="H368" s="163">
        <v>-14994.93</v>
      </c>
      <c r="I368" s="114"/>
    </row>
    <row r="369" spans="1:9" ht="12.75" customHeight="1">
      <c r="A369" s="25"/>
      <c r="B369" s="24"/>
      <c r="C369" s="25" t="s">
        <v>121</v>
      </c>
      <c r="D369" s="25"/>
      <c r="E369" s="77"/>
      <c r="F369" s="260">
        <v>121593.7</v>
      </c>
      <c r="G369" s="141"/>
      <c r="H369" s="334">
        <v>0</v>
      </c>
      <c r="I369" s="114"/>
    </row>
    <row r="370" spans="1:9" ht="12.75" customHeight="1">
      <c r="A370" s="25"/>
      <c r="B370" s="24"/>
      <c r="C370" s="25" t="s">
        <v>122</v>
      </c>
      <c r="D370" s="25"/>
      <c r="E370" s="77"/>
      <c r="F370" s="260">
        <v>0</v>
      </c>
      <c r="G370" s="141"/>
      <c r="H370" s="334">
        <v>0</v>
      </c>
      <c r="I370" s="114"/>
    </row>
    <row r="371" spans="1:9" ht="12.75" customHeight="1">
      <c r="A371" s="25"/>
      <c r="B371" s="24"/>
      <c r="C371" s="25" t="s">
        <v>123</v>
      </c>
      <c r="D371" s="25"/>
      <c r="E371" s="77"/>
      <c r="F371" s="259">
        <f>SUM(F372:F386)</f>
        <v>95598.02</v>
      </c>
      <c r="G371" s="141"/>
      <c r="H371" s="321">
        <v>53262.82</v>
      </c>
      <c r="I371" s="114"/>
    </row>
    <row r="372" spans="1:9" ht="12.75" customHeight="1">
      <c r="A372" s="25"/>
      <c r="B372" s="24"/>
      <c r="C372" s="25"/>
      <c r="D372" t="s">
        <v>115</v>
      </c>
      <c r="E372" s="18" t="s">
        <v>322</v>
      </c>
      <c r="F372" s="327">
        <v>45948.63</v>
      </c>
      <c r="G372" s="141"/>
      <c r="H372" s="163">
        <v>32741.29</v>
      </c>
      <c r="I372" s="114"/>
    </row>
    <row r="373" spans="1:9" ht="12.75" customHeight="1">
      <c r="A373" s="25"/>
      <c r="B373" s="24"/>
      <c r="C373" s="25"/>
      <c r="D373" t="s">
        <v>115</v>
      </c>
      <c r="E373" s="18" t="s">
        <v>323</v>
      </c>
      <c r="F373" s="327">
        <v>27001.69</v>
      </c>
      <c r="G373" s="141"/>
      <c r="H373" s="163">
        <v>0</v>
      </c>
      <c r="I373" s="114"/>
    </row>
    <row r="374" spans="1:9" ht="12.75" customHeight="1">
      <c r="A374" s="25"/>
      <c r="B374" s="24"/>
      <c r="C374" s="25"/>
      <c r="D374" t="s">
        <v>115</v>
      </c>
      <c r="E374" s="18" t="s">
        <v>221</v>
      </c>
      <c r="F374" s="327">
        <v>2780.9</v>
      </c>
      <c r="G374" s="141"/>
      <c r="H374" s="163">
        <v>3296.32</v>
      </c>
      <c r="I374" s="114"/>
    </row>
    <row r="375" spans="1:9" ht="12.75" customHeight="1">
      <c r="A375" s="25"/>
      <c r="B375" s="24"/>
      <c r="C375" s="25"/>
      <c r="D375" t="s">
        <v>115</v>
      </c>
      <c r="E375" s="18" t="s">
        <v>166</v>
      </c>
      <c r="F375" s="327">
        <v>768.08</v>
      </c>
      <c r="G375" s="141"/>
      <c r="H375" s="163">
        <v>2222.59</v>
      </c>
      <c r="I375" s="114"/>
    </row>
    <row r="376" spans="1:9" ht="12.75" customHeight="1">
      <c r="A376" s="25"/>
      <c r="B376" s="24"/>
      <c r="C376" s="25"/>
      <c r="D376" t="s">
        <v>115</v>
      </c>
      <c r="E376" s="18" t="s">
        <v>222</v>
      </c>
      <c r="F376" s="327">
        <v>7.75</v>
      </c>
      <c r="G376" s="141"/>
      <c r="H376" s="163">
        <v>0</v>
      </c>
      <c r="I376" s="114"/>
    </row>
    <row r="377" spans="1:9" ht="12.75" customHeight="1">
      <c r="A377" s="25"/>
      <c r="B377" s="24"/>
      <c r="C377" s="25"/>
      <c r="D377" t="s">
        <v>115</v>
      </c>
      <c r="E377" s="18" t="s">
        <v>238</v>
      </c>
      <c r="F377" s="327">
        <v>2630.06</v>
      </c>
      <c r="G377" s="141"/>
      <c r="H377" s="163">
        <v>2532.4</v>
      </c>
      <c r="I377" s="114"/>
    </row>
    <row r="378" spans="1:9" ht="12.75" customHeight="1">
      <c r="A378" s="25"/>
      <c r="B378" s="24"/>
      <c r="C378" s="25"/>
      <c r="D378" t="s">
        <v>115</v>
      </c>
      <c r="E378" s="18" t="s">
        <v>229</v>
      </c>
      <c r="F378" s="327">
        <v>0.08</v>
      </c>
      <c r="G378" s="141"/>
      <c r="H378" s="163">
        <v>14.25</v>
      </c>
      <c r="I378" s="114"/>
    </row>
    <row r="379" spans="1:9" ht="12.75" customHeight="1">
      <c r="A379" s="25"/>
      <c r="B379" s="24"/>
      <c r="C379" s="25"/>
      <c r="D379" t="s">
        <v>115</v>
      </c>
      <c r="E379" s="18" t="s">
        <v>239</v>
      </c>
      <c r="F379" s="316">
        <v>629.03</v>
      </c>
      <c r="G379" s="139"/>
      <c r="H379" s="322">
        <v>513.98</v>
      </c>
      <c r="I379" s="163"/>
    </row>
    <row r="380" spans="1:9" ht="12.75" customHeight="1">
      <c r="A380" s="25"/>
      <c r="B380" s="24"/>
      <c r="C380" s="25"/>
      <c r="D380" t="s">
        <v>115</v>
      </c>
      <c r="E380" s="18" t="s">
        <v>168</v>
      </c>
      <c r="F380" s="327">
        <v>1885.02</v>
      </c>
      <c r="G380" s="141"/>
      <c r="H380" s="163">
        <v>1660.87</v>
      </c>
      <c r="I380" s="114"/>
    </row>
    <row r="381" spans="1:9" ht="12.75" customHeight="1">
      <c r="A381" s="25"/>
      <c r="B381" s="24"/>
      <c r="C381" s="25"/>
      <c r="D381" t="s">
        <v>115</v>
      </c>
      <c r="E381" s="18" t="s">
        <v>169</v>
      </c>
      <c r="F381" s="327">
        <v>2008.87</v>
      </c>
      <c r="G381" s="141"/>
      <c r="H381" s="163">
        <v>2187.35</v>
      </c>
      <c r="I381" s="114"/>
    </row>
    <row r="382" spans="1:9" ht="12.75" customHeight="1">
      <c r="A382" s="25"/>
      <c r="B382" s="24"/>
      <c r="C382" s="25"/>
      <c r="D382" t="s">
        <v>115</v>
      </c>
      <c r="E382" s="18" t="s">
        <v>240</v>
      </c>
      <c r="F382" s="327">
        <v>221.32</v>
      </c>
      <c r="G382" s="141"/>
      <c r="H382" s="163">
        <v>104.23</v>
      </c>
      <c r="I382" s="114"/>
    </row>
    <row r="383" spans="1:9" ht="12.75" customHeight="1">
      <c r="A383" s="25"/>
      <c r="B383" s="24"/>
      <c r="C383" s="25"/>
      <c r="D383" s="25" t="s">
        <v>115</v>
      </c>
      <c r="E383" s="18" t="s">
        <v>241</v>
      </c>
      <c r="F383" s="327">
        <v>661.6</v>
      </c>
      <c r="G383" s="141"/>
      <c r="H383" s="163">
        <v>466.54</v>
      </c>
      <c r="I383" s="114"/>
    </row>
    <row r="384" spans="1:9" ht="12.75" customHeight="1">
      <c r="A384" s="25"/>
      <c r="B384" s="24"/>
      <c r="C384" s="25"/>
      <c r="D384" t="s">
        <v>115</v>
      </c>
      <c r="E384" s="18" t="s">
        <v>170</v>
      </c>
      <c r="F384" s="327">
        <v>0</v>
      </c>
      <c r="G384" s="141"/>
      <c r="H384" s="163">
        <v>27.88</v>
      </c>
      <c r="I384" s="114"/>
    </row>
    <row r="385" spans="1:9" ht="12.75" customHeight="1">
      <c r="A385" s="25"/>
      <c r="B385" s="24"/>
      <c r="C385" s="25"/>
      <c r="D385" t="s">
        <v>115</v>
      </c>
      <c r="E385" s="18" t="s">
        <v>230</v>
      </c>
      <c r="F385" s="327">
        <v>284.47</v>
      </c>
      <c r="G385" s="141"/>
      <c r="H385" s="163">
        <v>270.61</v>
      </c>
      <c r="I385" s="114"/>
    </row>
    <row r="386" spans="1:9" ht="12.75" customHeight="1">
      <c r="A386" s="25"/>
      <c r="B386" s="24"/>
      <c r="C386" s="25"/>
      <c r="D386" s="25" t="s">
        <v>115</v>
      </c>
      <c r="E386" s="34" t="s">
        <v>243</v>
      </c>
      <c r="F386" s="137">
        <v>10770.52</v>
      </c>
      <c r="G386" s="141"/>
      <c r="H386" s="163">
        <v>7224.51</v>
      </c>
      <c r="I386" s="114"/>
    </row>
    <row r="387" spans="1:9" ht="12.75" customHeight="1">
      <c r="A387" s="25"/>
      <c r="B387" s="24"/>
      <c r="C387" s="25"/>
      <c r="D387" s="25"/>
      <c r="E387" s="26"/>
      <c r="F387" s="141" t="s">
        <v>4</v>
      </c>
      <c r="G387" s="141"/>
      <c r="H387" s="114" t="s">
        <v>4</v>
      </c>
      <c r="I387" s="114"/>
    </row>
    <row r="388" spans="1:11" ht="15" customHeight="1">
      <c r="A388" s="71"/>
      <c r="B388" s="27" t="s">
        <v>124</v>
      </c>
      <c r="C388" s="53"/>
      <c r="D388" s="53"/>
      <c r="E388" s="75"/>
      <c r="F388" s="141" t="s">
        <v>4</v>
      </c>
      <c r="G388" s="315">
        <f>G255+G305</f>
        <v>-515945.0300000012</v>
      </c>
      <c r="H388" s="114" t="s">
        <v>4</v>
      </c>
      <c r="I388" s="320">
        <v>167746.43999999948</v>
      </c>
      <c r="K388" s="171"/>
    </row>
    <row r="389" spans="1:9" ht="12.75" customHeight="1">
      <c r="A389" s="25"/>
      <c r="B389" s="29" t="s">
        <v>125</v>
      </c>
      <c r="C389" s="25"/>
      <c r="D389" s="25"/>
      <c r="E389" s="26"/>
      <c r="F389" s="141" t="s">
        <v>4</v>
      </c>
      <c r="G389" s="141"/>
      <c r="H389" s="114" t="s">
        <v>4</v>
      </c>
      <c r="I389" s="114"/>
    </row>
    <row r="390" spans="1:9" ht="12.75" customHeight="1">
      <c r="A390" s="25"/>
      <c r="B390" s="24"/>
      <c r="C390" s="25"/>
      <c r="D390" s="25"/>
      <c r="E390" s="26"/>
      <c r="F390" s="141" t="s">
        <v>4</v>
      </c>
      <c r="G390" s="141"/>
      <c r="H390" s="114" t="s">
        <v>4</v>
      </c>
      <c r="I390" s="114"/>
    </row>
    <row r="391" spans="1:13" s="8" customFormat="1" ht="16.5" customHeight="1">
      <c r="A391" s="28"/>
      <c r="B391" s="27" t="s">
        <v>126</v>
      </c>
      <c r="C391" s="28"/>
      <c r="D391" s="28"/>
      <c r="E391" s="73"/>
      <c r="F391" s="147" t="s">
        <v>4</v>
      </c>
      <c r="G391" s="315">
        <f>(F392+F396-F417-F426)</f>
        <v>6305.0599999999995</v>
      </c>
      <c r="H391" s="168" t="s">
        <v>4</v>
      </c>
      <c r="I391" s="320">
        <v>17840</v>
      </c>
      <c r="M391" s="129"/>
    </row>
    <row r="392" spans="1:9" ht="12.75" customHeight="1">
      <c r="A392" s="25"/>
      <c r="B392" s="24"/>
      <c r="C392" s="25" t="s">
        <v>127</v>
      </c>
      <c r="D392" s="25"/>
      <c r="E392" s="77"/>
      <c r="F392" s="257">
        <f>SUM(F393:F395)</f>
        <v>0</v>
      </c>
      <c r="G392" s="141" t="s">
        <v>4</v>
      </c>
      <c r="H392" s="341">
        <v>0</v>
      </c>
      <c r="I392" s="164" t="s">
        <v>4</v>
      </c>
    </row>
    <row r="393" spans="1:9" ht="12.75" customHeight="1">
      <c r="A393" s="25"/>
      <c r="B393" s="24"/>
      <c r="E393" s="26" t="s">
        <v>128</v>
      </c>
      <c r="F393" s="148"/>
      <c r="G393" s="141"/>
      <c r="H393" s="169"/>
      <c r="I393" s="164"/>
    </row>
    <row r="394" spans="1:9" ht="12.75" customHeight="1">
      <c r="A394" s="25"/>
      <c r="B394" s="24"/>
      <c r="E394" s="26" t="s">
        <v>129</v>
      </c>
      <c r="F394" s="148"/>
      <c r="G394" s="141"/>
      <c r="H394" s="169"/>
      <c r="I394" s="164"/>
    </row>
    <row r="395" spans="1:9" ht="12.75" customHeight="1">
      <c r="A395" s="25"/>
      <c r="B395" s="24"/>
      <c r="E395" s="26" t="s">
        <v>130</v>
      </c>
      <c r="F395" s="149"/>
      <c r="G395" s="141"/>
      <c r="H395" s="170"/>
      <c r="I395" s="164"/>
    </row>
    <row r="396" spans="1:9" ht="12.75" customHeight="1">
      <c r="A396" s="25"/>
      <c r="B396" s="24"/>
      <c r="C396" s="25" t="s">
        <v>131</v>
      </c>
      <c r="D396" s="25"/>
      <c r="E396" s="77"/>
      <c r="F396" s="328">
        <f>SUM(F397+F402+F404+F407)</f>
        <v>12731.09</v>
      </c>
      <c r="G396" s="141" t="s">
        <v>4</v>
      </c>
      <c r="H396" s="331">
        <v>22490.77</v>
      </c>
      <c r="I396" s="164" t="s">
        <v>4</v>
      </c>
    </row>
    <row r="397" spans="1:9" ht="12.75" customHeight="1">
      <c r="A397" s="25"/>
      <c r="B397" s="24"/>
      <c r="D397" s="36" t="s">
        <v>132</v>
      </c>
      <c r="E397" s="80"/>
      <c r="F397" s="266">
        <f>SUM(F398:F400)</f>
        <v>0</v>
      </c>
      <c r="G397" s="141"/>
      <c r="H397" s="334">
        <v>0</v>
      </c>
      <c r="I397" s="164"/>
    </row>
    <row r="398" spans="1:9" ht="12.75" customHeight="1">
      <c r="A398" s="25"/>
      <c r="B398" s="24"/>
      <c r="D398" s="36"/>
      <c r="E398" s="26" t="s">
        <v>128</v>
      </c>
      <c r="F398" s="327">
        <v>0</v>
      </c>
      <c r="G398" s="141"/>
      <c r="H398" s="334">
        <v>0</v>
      </c>
      <c r="I398" s="164"/>
    </row>
    <row r="399" spans="1:9" ht="12.75" customHeight="1">
      <c r="A399" s="25"/>
      <c r="B399" s="24"/>
      <c r="D399" s="32"/>
      <c r="E399" s="26" t="s">
        <v>129</v>
      </c>
      <c r="F399" s="327">
        <v>0</v>
      </c>
      <c r="G399" s="141"/>
      <c r="H399" s="334">
        <v>0</v>
      </c>
      <c r="I399" s="164"/>
    </row>
    <row r="400" spans="1:9" ht="12.75" customHeight="1">
      <c r="A400" s="25"/>
      <c r="B400" s="24"/>
      <c r="D400" s="32"/>
      <c r="E400" s="26" t="s">
        <v>130</v>
      </c>
      <c r="F400" s="327">
        <v>0</v>
      </c>
      <c r="G400" s="141"/>
      <c r="H400" s="342">
        <v>0</v>
      </c>
      <c r="I400" s="164"/>
    </row>
    <row r="401" spans="1:9" ht="12.75" customHeight="1">
      <c r="A401" s="25"/>
      <c r="B401" s="24"/>
      <c r="D401" s="36" t="s">
        <v>133</v>
      </c>
      <c r="E401" s="80"/>
      <c r="F401" s="150" t="s">
        <v>4</v>
      </c>
      <c r="G401" s="141"/>
      <c r="H401" s="172" t="s">
        <v>4</v>
      </c>
      <c r="I401" s="164"/>
    </row>
    <row r="402" spans="1:9" ht="12.75" customHeight="1">
      <c r="A402" s="25"/>
      <c r="B402" s="24"/>
      <c r="D402" s="32"/>
      <c r="E402" s="83" t="s">
        <v>134</v>
      </c>
      <c r="F402" s="152"/>
      <c r="G402" s="141"/>
      <c r="H402" s="174"/>
      <c r="I402" s="164"/>
    </row>
    <row r="403" spans="1:9" ht="12.75" customHeight="1">
      <c r="A403" s="25"/>
      <c r="B403" s="24"/>
      <c r="D403" s="36" t="s">
        <v>135</v>
      </c>
      <c r="E403" s="80"/>
      <c r="F403" s="150" t="s">
        <v>4</v>
      </c>
      <c r="G403" s="141"/>
      <c r="H403" s="172" t="s">
        <v>4</v>
      </c>
      <c r="I403" s="164"/>
    </row>
    <row r="404" spans="1:9" ht="12.75" customHeight="1">
      <c r="A404" s="25"/>
      <c r="B404" s="24"/>
      <c r="D404" s="36"/>
      <c r="E404" s="80" t="s">
        <v>136</v>
      </c>
      <c r="F404" s="152"/>
      <c r="G404" s="141"/>
      <c r="H404" s="174"/>
      <c r="I404" s="164"/>
    </row>
    <row r="405" spans="1:9" ht="12.75" customHeight="1">
      <c r="A405" s="25"/>
      <c r="B405" s="24"/>
      <c r="D405" s="36" t="s">
        <v>137</v>
      </c>
      <c r="E405" s="80"/>
      <c r="F405" s="150" t="s">
        <v>4</v>
      </c>
      <c r="G405" s="141"/>
      <c r="H405" s="172" t="s">
        <v>4</v>
      </c>
      <c r="I405" s="164"/>
    </row>
    <row r="406" spans="1:9" ht="12.75" customHeight="1">
      <c r="A406" s="25"/>
      <c r="B406" s="24"/>
      <c r="D406" s="32"/>
      <c r="E406" s="83" t="s">
        <v>138</v>
      </c>
      <c r="F406" s="151" t="s">
        <v>4</v>
      </c>
      <c r="G406" s="141"/>
      <c r="H406" s="173" t="s">
        <v>4</v>
      </c>
      <c r="I406" s="164"/>
    </row>
    <row r="407" spans="1:9" ht="12.75" customHeight="1">
      <c r="A407" s="25"/>
      <c r="B407" s="24"/>
      <c r="D407" s="32"/>
      <c r="E407" s="80" t="s">
        <v>139</v>
      </c>
      <c r="F407" s="335">
        <f>SUM(F408:F411)</f>
        <v>12731.09</v>
      </c>
      <c r="G407" s="141"/>
      <c r="H407" s="343">
        <v>22490.77</v>
      </c>
      <c r="I407" s="164"/>
    </row>
    <row r="408" spans="1:9" ht="12.75" customHeight="1">
      <c r="A408" s="25"/>
      <c r="B408" s="24"/>
      <c r="D408" s="32"/>
      <c r="E408" s="26" t="s">
        <v>128</v>
      </c>
      <c r="F408" s="153"/>
      <c r="G408" s="141"/>
      <c r="H408" s="175"/>
      <c r="I408" s="164"/>
    </row>
    <row r="409" spans="1:9" ht="12.75" customHeight="1">
      <c r="A409" s="25"/>
      <c r="B409" s="24"/>
      <c r="D409" s="32"/>
      <c r="E409" s="26" t="s">
        <v>129</v>
      </c>
      <c r="F409" s="153"/>
      <c r="G409" s="141"/>
      <c r="H409" s="175"/>
      <c r="I409" s="164"/>
    </row>
    <row r="410" spans="1:9" ht="12.75" customHeight="1">
      <c r="A410" s="25"/>
      <c r="B410" s="24"/>
      <c r="D410" s="32"/>
      <c r="E410" s="26" t="s">
        <v>179</v>
      </c>
      <c r="F410" s="153"/>
      <c r="G410" s="141"/>
      <c r="H410" s="175"/>
      <c r="I410" s="164"/>
    </row>
    <row r="411" spans="1:9" ht="12.75" customHeight="1">
      <c r="A411" s="25"/>
      <c r="B411" s="24"/>
      <c r="D411" s="32"/>
      <c r="E411" s="26" t="s">
        <v>130</v>
      </c>
      <c r="F411" s="336">
        <f>SUM(F412:F414)</f>
        <v>12731.09</v>
      </c>
      <c r="G411" s="141"/>
      <c r="H411" s="344">
        <v>22490.77</v>
      </c>
      <c r="I411" s="164"/>
    </row>
    <row r="412" spans="1:9" ht="12.75" customHeight="1">
      <c r="A412" s="25"/>
      <c r="B412" s="24"/>
      <c r="D412" s="32"/>
      <c r="E412" s="93" t="s">
        <v>140</v>
      </c>
      <c r="F412" s="337">
        <v>12731.09</v>
      </c>
      <c r="G412" s="139"/>
      <c r="H412" s="345">
        <v>22490.77</v>
      </c>
      <c r="I412" s="165"/>
    </row>
    <row r="413" spans="1:9" ht="12.75" customHeight="1">
      <c r="A413" s="25"/>
      <c r="B413" s="24"/>
      <c r="D413" s="32"/>
      <c r="E413" s="93" t="s">
        <v>141</v>
      </c>
      <c r="F413" s="337">
        <v>0</v>
      </c>
      <c r="G413" s="139"/>
      <c r="H413" s="345">
        <v>0</v>
      </c>
      <c r="I413" s="165"/>
    </row>
    <row r="414" spans="1:9" ht="12.75" customHeight="1">
      <c r="A414" s="25"/>
      <c r="B414" s="24"/>
      <c r="D414" s="32"/>
      <c r="E414" s="93" t="s">
        <v>142</v>
      </c>
      <c r="F414" s="338">
        <v>0</v>
      </c>
      <c r="G414" s="139"/>
      <c r="H414" s="346">
        <v>0</v>
      </c>
      <c r="I414" s="165"/>
    </row>
    <row r="415" spans="1:9" ht="12.75" customHeight="1">
      <c r="A415" s="25"/>
      <c r="B415" s="24"/>
      <c r="C415" s="25" t="s">
        <v>143</v>
      </c>
      <c r="D415" s="25"/>
      <c r="E415" s="26"/>
      <c r="F415" s="141" t="s">
        <v>4</v>
      </c>
      <c r="G415" s="141"/>
      <c r="H415" s="164" t="s">
        <v>4</v>
      </c>
      <c r="I415" s="164"/>
    </row>
    <row r="416" spans="1:9" ht="12.75" customHeight="1">
      <c r="A416" s="25"/>
      <c r="B416" s="24"/>
      <c r="C416" s="25"/>
      <c r="D416" s="25"/>
      <c r="E416" s="26" t="s">
        <v>144</v>
      </c>
      <c r="F416" s="141" t="s">
        <v>4</v>
      </c>
      <c r="G416" s="141"/>
      <c r="H416" s="164" t="s">
        <v>4</v>
      </c>
      <c r="I416" s="164"/>
    </row>
    <row r="417" spans="1:9" ht="12.75" customHeight="1">
      <c r="A417" s="25"/>
      <c r="B417" s="24"/>
      <c r="C417" s="25"/>
      <c r="D417" s="25"/>
      <c r="E417" s="26" t="s">
        <v>180</v>
      </c>
      <c r="F417" s="268">
        <f>F418+F419+F420+F421</f>
        <v>6426.030000000001</v>
      </c>
      <c r="G417" s="141" t="s">
        <v>4</v>
      </c>
      <c r="H417" s="298">
        <v>4650.77</v>
      </c>
      <c r="I417" s="164" t="s">
        <v>4</v>
      </c>
    </row>
    <row r="418" spans="1:9" ht="12.75" customHeight="1">
      <c r="A418" s="25"/>
      <c r="B418" s="24"/>
      <c r="C418" s="25"/>
      <c r="D418" s="25"/>
      <c r="E418" s="26" t="s">
        <v>128</v>
      </c>
      <c r="F418" s="335">
        <v>0</v>
      </c>
      <c r="G418" s="141"/>
      <c r="H418" s="343">
        <v>0</v>
      </c>
      <c r="I418" s="164"/>
    </row>
    <row r="419" spans="1:9" ht="12.75" customHeight="1">
      <c r="A419" s="25"/>
      <c r="B419" s="24"/>
      <c r="C419" s="25"/>
      <c r="D419" s="25"/>
      <c r="E419" s="26" t="s">
        <v>129</v>
      </c>
      <c r="F419" s="335">
        <v>0</v>
      </c>
      <c r="G419" s="141"/>
      <c r="H419" s="343">
        <v>0</v>
      </c>
      <c r="I419" s="164"/>
    </row>
    <row r="420" spans="1:9" ht="12.75" customHeight="1">
      <c r="A420" s="25"/>
      <c r="B420" s="24"/>
      <c r="C420" s="25"/>
      <c r="D420" s="25"/>
      <c r="E420" s="26" t="s">
        <v>179</v>
      </c>
      <c r="F420" s="335">
        <v>0</v>
      </c>
      <c r="G420" s="141"/>
      <c r="H420" s="343">
        <v>0</v>
      </c>
      <c r="I420" s="164"/>
    </row>
    <row r="421" spans="1:9" ht="12.75" customHeight="1">
      <c r="A421" s="25"/>
      <c r="B421" s="24"/>
      <c r="C421" s="25"/>
      <c r="D421" s="25"/>
      <c r="E421" s="26" t="s">
        <v>130</v>
      </c>
      <c r="F421" s="336">
        <f>SUM(F422:F426)</f>
        <v>6426.030000000001</v>
      </c>
      <c r="G421" s="141"/>
      <c r="H421" s="343">
        <v>4650.77</v>
      </c>
      <c r="I421" s="164"/>
    </row>
    <row r="422" spans="1:9" ht="12.75" customHeight="1">
      <c r="A422" s="25"/>
      <c r="B422" s="24"/>
      <c r="C422" s="25"/>
      <c r="D422" s="25"/>
      <c r="E422" s="93" t="s">
        <v>145</v>
      </c>
      <c r="F422" s="339">
        <v>0</v>
      </c>
      <c r="G422" s="139"/>
      <c r="H422" s="347">
        <v>0</v>
      </c>
      <c r="I422" s="165"/>
    </row>
    <row r="423" spans="1:9" ht="12.75" customHeight="1">
      <c r="A423" s="25"/>
      <c r="B423" s="24"/>
      <c r="C423" s="25"/>
      <c r="D423" s="25"/>
      <c r="E423" s="93" t="s">
        <v>146</v>
      </c>
      <c r="F423" s="339">
        <v>1020.44</v>
      </c>
      <c r="G423" s="139"/>
      <c r="H423" s="347">
        <v>472.98</v>
      </c>
      <c r="I423" s="165"/>
    </row>
    <row r="424" spans="1:9" ht="12.75" customHeight="1">
      <c r="A424" s="25"/>
      <c r="B424" s="24"/>
      <c r="C424" s="25"/>
      <c r="D424" s="25"/>
      <c r="E424" s="93" t="s">
        <v>147</v>
      </c>
      <c r="F424" s="340">
        <v>5405.59</v>
      </c>
      <c r="G424" s="139"/>
      <c r="H424" s="348">
        <v>4177.79</v>
      </c>
      <c r="I424" s="165"/>
    </row>
    <row r="425" spans="1:9" ht="12.75" customHeight="1">
      <c r="A425" s="25"/>
      <c r="B425" s="24"/>
      <c r="C425" s="25"/>
      <c r="D425" s="25"/>
      <c r="E425" s="93"/>
      <c r="F425" s="154"/>
      <c r="G425" s="139"/>
      <c r="H425" s="176"/>
      <c r="I425" s="165"/>
    </row>
    <row r="426" spans="1:9" ht="12.75" customHeight="1" thickBot="1">
      <c r="A426" s="25"/>
      <c r="B426" s="24"/>
      <c r="C426" s="25" t="s">
        <v>318</v>
      </c>
      <c r="D426" s="25"/>
      <c r="E426" s="26"/>
      <c r="F426" s="259">
        <v>0</v>
      </c>
      <c r="G426" s="141"/>
      <c r="H426" s="321">
        <v>0</v>
      </c>
      <c r="I426" s="164"/>
    </row>
    <row r="427" spans="1:9" ht="12.75" customHeight="1" thickTop="1">
      <c r="A427" s="25"/>
      <c r="B427" s="24"/>
      <c r="C427" s="25"/>
      <c r="D427" s="25"/>
      <c r="E427" s="26"/>
      <c r="F427" s="155" t="s">
        <v>4</v>
      </c>
      <c r="G427" s="141"/>
      <c r="H427" s="177" t="s">
        <v>4</v>
      </c>
      <c r="I427" s="164"/>
    </row>
    <row r="428" spans="1:13" s="8" customFormat="1" ht="15.75" customHeight="1">
      <c r="A428" s="37"/>
      <c r="B428" s="38" t="s">
        <v>148</v>
      </c>
      <c r="C428" s="37"/>
      <c r="D428" s="37"/>
      <c r="E428" s="73"/>
      <c r="F428" s="147" t="s">
        <v>4</v>
      </c>
      <c r="G428" s="315">
        <f>F429+F435</f>
        <v>0</v>
      </c>
      <c r="H428" s="168" t="s">
        <v>4</v>
      </c>
      <c r="I428" s="320">
        <v>0</v>
      </c>
      <c r="M428" s="129"/>
    </row>
    <row r="429" spans="2:9" ht="12.75" customHeight="1">
      <c r="B429" s="54"/>
      <c r="C429" s="18" t="s">
        <v>149</v>
      </c>
      <c r="E429" s="77"/>
      <c r="F429" s="328">
        <f>F430+F432+F434</f>
        <v>0</v>
      </c>
      <c r="G429" s="141"/>
      <c r="H429" s="331">
        <v>0</v>
      </c>
      <c r="I429" s="164"/>
    </row>
    <row r="430" spans="2:9" ht="12.75" customHeight="1">
      <c r="B430" s="54"/>
      <c r="D430" s="32" t="s">
        <v>150</v>
      </c>
      <c r="E430" s="80"/>
      <c r="F430" s="148"/>
      <c r="G430" s="141"/>
      <c r="H430" s="169"/>
      <c r="I430" s="164"/>
    </row>
    <row r="431" spans="2:9" ht="12.75" customHeight="1">
      <c r="B431" s="54"/>
      <c r="D431" s="32" t="s">
        <v>151</v>
      </c>
      <c r="E431" s="80"/>
      <c r="F431" s="148" t="s">
        <v>4</v>
      </c>
      <c r="G431" s="141"/>
      <c r="H431" s="169" t="s">
        <v>4</v>
      </c>
      <c r="I431" s="164"/>
    </row>
    <row r="432" spans="2:9" ht="12.75" customHeight="1">
      <c r="B432" s="54"/>
      <c r="D432" s="32" t="s">
        <v>4</v>
      </c>
      <c r="E432" s="80" t="s">
        <v>152</v>
      </c>
      <c r="F432" s="148"/>
      <c r="G432" s="141"/>
      <c r="H432" s="169"/>
      <c r="I432" s="164"/>
    </row>
    <row r="433" spans="2:9" ht="12.75" customHeight="1">
      <c r="B433" s="54"/>
      <c r="D433" s="32" t="s">
        <v>153</v>
      </c>
      <c r="E433" s="80"/>
      <c r="F433" s="148" t="s">
        <v>4</v>
      </c>
      <c r="G433" s="141"/>
      <c r="H433" s="169" t="s">
        <v>4</v>
      </c>
      <c r="I433" s="164"/>
    </row>
    <row r="434" spans="2:9" ht="12.75" customHeight="1">
      <c r="B434" s="54"/>
      <c r="D434" s="32"/>
      <c r="E434" s="80" t="s">
        <v>136</v>
      </c>
      <c r="F434" s="149"/>
      <c r="G434" s="141"/>
      <c r="H434" s="170"/>
      <c r="I434" s="164"/>
    </row>
    <row r="435" spans="2:9" ht="12.75" customHeight="1">
      <c r="B435" s="54"/>
      <c r="C435" s="18" t="s">
        <v>154</v>
      </c>
      <c r="E435" s="77"/>
      <c r="F435" s="268">
        <f>F436+F438+F440</f>
        <v>0</v>
      </c>
      <c r="G435" s="141"/>
      <c r="H435" s="298">
        <v>0</v>
      </c>
      <c r="I435" s="164"/>
    </row>
    <row r="436" spans="2:9" ht="12.75" customHeight="1">
      <c r="B436" s="54"/>
      <c r="D436" s="32" t="s">
        <v>150</v>
      </c>
      <c r="E436" s="80"/>
      <c r="F436" s="139"/>
      <c r="G436" s="141"/>
      <c r="H436" s="165"/>
      <c r="I436" s="164"/>
    </row>
    <row r="437" spans="2:9" ht="12.75" customHeight="1">
      <c r="B437" s="54"/>
      <c r="D437" s="32" t="s">
        <v>155</v>
      </c>
      <c r="E437" s="80"/>
      <c r="F437" s="139" t="s">
        <v>4</v>
      </c>
      <c r="G437" s="141"/>
      <c r="H437" s="165" t="s">
        <v>4</v>
      </c>
      <c r="I437" s="164"/>
    </row>
    <row r="438" spans="2:9" ht="12.75" customHeight="1">
      <c r="B438" s="54"/>
      <c r="D438" s="32" t="s">
        <v>4</v>
      </c>
      <c r="E438" s="80" t="s">
        <v>152</v>
      </c>
      <c r="F438" s="139"/>
      <c r="G438" s="141"/>
      <c r="H438" s="165"/>
      <c r="I438" s="164"/>
    </row>
    <row r="439" spans="2:9" ht="12.75" customHeight="1">
      <c r="B439" s="54"/>
      <c r="D439" s="32" t="s">
        <v>153</v>
      </c>
      <c r="E439" s="80"/>
      <c r="F439" s="139" t="s">
        <v>4</v>
      </c>
      <c r="G439" s="141"/>
      <c r="H439" s="165" t="s">
        <v>4</v>
      </c>
      <c r="I439" s="164"/>
    </row>
    <row r="440" spans="2:9" ht="12.75" customHeight="1" thickBot="1">
      <c r="B440" s="54"/>
      <c r="D440" s="32"/>
      <c r="E440" s="80" t="s">
        <v>136</v>
      </c>
      <c r="F440" s="156"/>
      <c r="G440" s="141"/>
      <c r="H440" s="178"/>
      <c r="I440" s="164"/>
    </row>
    <row r="441" spans="2:9" ht="12.75" customHeight="1" thickTop="1">
      <c r="B441" s="54"/>
      <c r="E441" s="77"/>
      <c r="F441" s="141" t="s">
        <v>4</v>
      </c>
      <c r="G441" s="141"/>
      <c r="H441" s="164" t="s">
        <v>4</v>
      </c>
      <c r="I441" s="164"/>
    </row>
    <row r="442" spans="1:13" s="8" customFormat="1" ht="15" customHeight="1">
      <c r="A442" s="37"/>
      <c r="B442" s="38" t="s">
        <v>156</v>
      </c>
      <c r="C442" s="37"/>
      <c r="D442" s="37"/>
      <c r="E442" s="73"/>
      <c r="F442" s="147" t="s">
        <v>4</v>
      </c>
      <c r="G442" s="315">
        <f>F445-F452</f>
        <v>819359.23</v>
      </c>
      <c r="H442" s="168" t="s">
        <v>4</v>
      </c>
      <c r="I442" s="320">
        <v>-70172.32</v>
      </c>
      <c r="M442" s="129"/>
    </row>
    <row r="443" spans="2:9" ht="12.75" customHeight="1">
      <c r="B443" s="54"/>
      <c r="C443" s="18" t="s">
        <v>157</v>
      </c>
      <c r="E443" s="77"/>
      <c r="F443" s="150" t="s">
        <v>4</v>
      </c>
      <c r="G443" s="141"/>
      <c r="H443" s="172" t="s">
        <v>4</v>
      </c>
      <c r="I443" s="164"/>
    </row>
    <row r="444" spans="2:9" ht="12.75" customHeight="1">
      <c r="B444" s="54"/>
      <c r="E444" s="77" t="s">
        <v>158</v>
      </c>
      <c r="F444" s="151" t="s">
        <v>4</v>
      </c>
      <c r="G444" s="141"/>
      <c r="H444" s="173" t="s">
        <v>4</v>
      </c>
      <c r="I444" s="164"/>
    </row>
    <row r="445" spans="2:9" ht="12.75" customHeight="1">
      <c r="B445" s="54"/>
      <c r="E445" s="77" t="s">
        <v>159</v>
      </c>
      <c r="F445" s="259">
        <f>SUM(F446:F448)</f>
        <v>928668</v>
      </c>
      <c r="G445" s="141"/>
      <c r="H445" s="321">
        <v>14751.5</v>
      </c>
      <c r="I445" s="164"/>
    </row>
    <row r="446" spans="2:9" ht="12.75" customHeight="1">
      <c r="B446" s="54"/>
      <c r="E446" s="77" t="s">
        <v>181</v>
      </c>
      <c r="F446" s="137">
        <v>914673.26</v>
      </c>
      <c r="G446" s="141"/>
      <c r="H446" s="350">
        <v>0</v>
      </c>
      <c r="I446" s="164"/>
    </row>
    <row r="447" spans="2:9" ht="12.75" customHeight="1">
      <c r="B447" s="54"/>
      <c r="E447" s="77" t="s">
        <v>182</v>
      </c>
      <c r="F447" s="137">
        <v>13994.74</v>
      </c>
      <c r="G447" s="157"/>
      <c r="H447" s="163">
        <v>14751.5</v>
      </c>
      <c r="I447" s="179"/>
    </row>
    <row r="448" spans="2:9" ht="12.75" customHeight="1" thickBot="1">
      <c r="B448" s="54"/>
      <c r="E448" s="77" t="s">
        <v>183</v>
      </c>
      <c r="F448" s="349">
        <v>0</v>
      </c>
      <c r="G448" s="141"/>
      <c r="H448" s="351">
        <v>0</v>
      </c>
      <c r="I448" s="164"/>
    </row>
    <row r="449" spans="2:9" ht="12.75" customHeight="1" thickTop="1">
      <c r="B449" s="54"/>
      <c r="C449" s="18" t="s">
        <v>160</v>
      </c>
      <c r="E449" s="77"/>
      <c r="F449" s="141" t="s">
        <v>4</v>
      </c>
      <c r="G449" s="141"/>
      <c r="H449" s="164" t="s">
        <v>4</v>
      </c>
      <c r="I449" s="164"/>
    </row>
    <row r="450" spans="2:9" ht="12.75" customHeight="1">
      <c r="B450" s="54"/>
      <c r="E450" s="77" t="s">
        <v>161</v>
      </c>
      <c r="F450" s="141" t="s">
        <v>4</v>
      </c>
      <c r="G450" s="141"/>
      <c r="H450" s="164" t="s">
        <v>4</v>
      </c>
      <c r="I450" s="164"/>
    </row>
    <row r="451" spans="2:9" ht="12.75" customHeight="1">
      <c r="B451" s="54"/>
      <c r="E451" s="77" t="s">
        <v>162</v>
      </c>
      <c r="F451" s="141" t="s">
        <v>4</v>
      </c>
      <c r="G451" s="141"/>
      <c r="H451" s="164" t="s">
        <v>4</v>
      </c>
      <c r="I451" s="164"/>
    </row>
    <row r="452" spans="2:9" ht="12.75" customHeight="1">
      <c r="B452" s="54"/>
      <c r="E452" s="77" t="s">
        <v>163</v>
      </c>
      <c r="F452" s="259">
        <f>SUM(F453:F455)</f>
        <v>109308.77</v>
      </c>
      <c r="G452" s="158"/>
      <c r="H452" s="321">
        <v>84923.82</v>
      </c>
      <c r="I452" s="180"/>
    </row>
    <row r="453" spans="2:9" ht="12.75" customHeight="1">
      <c r="B453" s="54"/>
      <c r="E453" s="77" t="s">
        <v>184</v>
      </c>
      <c r="F453" s="137">
        <v>0</v>
      </c>
      <c r="G453" s="141"/>
      <c r="H453" s="163">
        <v>513.68</v>
      </c>
      <c r="I453" s="164"/>
    </row>
    <row r="454" spans="2:9" ht="12.75" customHeight="1">
      <c r="B454" s="54"/>
      <c r="E454" s="77" t="s">
        <v>185</v>
      </c>
      <c r="F454" s="137">
        <f>109308.77</f>
        <v>109308.77</v>
      </c>
      <c r="G454" s="141"/>
      <c r="H454" s="163">
        <v>83210.14</v>
      </c>
      <c r="I454" s="164"/>
    </row>
    <row r="455" spans="2:9" ht="12.75" customHeight="1" thickBot="1">
      <c r="B455" s="54"/>
      <c r="E455" s="77" t="s">
        <v>284</v>
      </c>
      <c r="F455" s="349">
        <v>0</v>
      </c>
      <c r="G455" s="141"/>
      <c r="H455" s="351">
        <v>1200</v>
      </c>
      <c r="I455" s="164"/>
    </row>
    <row r="456" spans="2:9" ht="12.75" customHeight="1" thickTop="1">
      <c r="B456" s="54"/>
      <c r="E456" s="77"/>
      <c r="F456" s="155" t="s">
        <v>4</v>
      </c>
      <c r="G456" s="141"/>
      <c r="H456" s="177" t="s">
        <v>4</v>
      </c>
      <c r="I456" s="164"/>
    </row>
    <row r="457" spans="1:9" ht="15.75" customHeight="1">
      <c r="A457" s="1"/>
      <c r="B457" s="38" t="s">
        <v>164</v>
      </c>
      <c r="E457" s="77"/>
      <c r="F457" s="159" t="s">
        <v>4</v>
      </c>
      <c r="G457" s="315">
        <f>G388+G391+G428+G442</f>
        <v>309719.2599999988</v>
      </c>
      <c r="H457" s="181" t="s">
        <v>4</v>
      </c>
      <c r="I457" s="320">
        <v>115414.11999999949</v>
      </c>
    </row>
    <row r="458" spans="1:9" ht="12.75" customHeight="1">
      <c r="A458" s="1"/>
      <c r="B458" s="54"/>
      <c r="E458" s="77"/>
      <c r="F458" s="141" t="s">
        <v>4</v>
      </c>
      <c r="G458" s="141"/>
      <c r="H458" s="164" t="s">
        <v>4</v>
      </c>
      <c r="I458" s="164"/>
    </row>
    <row r="459" spans="1:9" ht="12.75" customHeight="1">
      <c r="A459" s="1"/>
      <c r="B459" s="54"/>
      <c r="C459" s="18" t="s">
        <v>319</v>
      </c>
      <c r="E459" s="77"/>
      <c r="F459" s="141" t="s">
        <v>4</v>
      </c>
      <c r="G459" s="160">
        <f>SUM(F461+F462)</f>
        <v>111976.36</v>
      </c>
      <c r="H459" s="164" t="s">
        <v>4</v>
      </c>
      <c r="I459" s="182">
        <v>114854.73</v>
      </c>
    </row>
    <row r="460" spans="1:9" ht="12.75" customHeight="1">
      <c r="A460" s="1"/>
      <c r="B460" s="54"/>
      <c r="E460" s="77" t="s">
        <v>320</v>
      </c>
      <c r="F460" s="141"/>
      <c r="G460" s="161"/>
      <c r="H460" s="164"/>
      <c r="I460" s="183"/>
    </row>
    <row r="461" spans="1:9" ht="12.75" customHeight="1">
      <c r="A461" s="1"/>
      <c r="B461" s="54"/>
      <c r="D461" s="18" t="s">
        <v>115</v>
      </c>
      <c r="E461" s="77" t="s">
        <v>167</v>
      </c>
      <c r="F461" s="137">
        <f>111976.37-0.01</f>
        <v>111976.36</v>
      </c>
      <c r="G461" s="161"/>
      <c r="H461" s="163">
        <v>114854.73</v>
      </c>
      <c r="I461" s="183"/>
    </row>
    <row r="462" spans="1:9" ht="12.75" customHeight="1" thickBot="1">
      <c r="A462" s="1"/>
      <c r="B462" s="54"/>
      <c r="D462" s="18" t="s">
        <v>115</v>
      </c>
      <c r="E462" s="77" t="s">
        <v>321</v>
      </c>
      <c r="F462" s="349">
        <v>0</v>
      </c>
      <c r="G462" s="161"/>
      <c r="H462" s="351">
        <v>0</v>
      </c>
      <c r="I462" s="183"/>
    </row>
    <row r="463" spans="1:9" ht="12.75" customHeight="1" thickTop="1">
      <c r="A463" s="1"/>
      <c r="B463" s="54"/>
      <c r="E463" s="77"/>
      <c r="F463" s="141" t="s">
        <v>4</v>
      </c>
      <c r="G463" s="161"/>
      <c r="H463" s="164" t="s">
        <v>4</v>
      </c>
      <c r="I463" s="183"/>
    </row>
    <row r="464" spans="1:12" ht="15.75" customHeight="1" thickBot="1">
      <c r="A464" s="1"/>
      <c r="B464" s="55"/>
      <c r="C464" s="250" t="s">
        <v>165</v>
      </c>
      <c r="D464" s="56"/>
      <c r="E464" s="57"/>
      <c r="F464" s="158" t="s">
        <v>4</v>
      </c>
      <c r="G464" s="352">
        <f>G457-G459</f>
        <v>197742.8999999988</v>
      </c>
      <c r="H464" s="251" t="s">
        <v>4</v>
      </c>
      <c r="I464" s="353">
        <v>559.3899999994901</v>
      </c>
      <c r="L464" s="171"/>
    </row>
    <row r="465" ht="12.75" thickTop="1"/>
  </sheetData>
  <sheetProtection password="C052"/>
  <mergeCells count="2">
    <mergeCell ref="F252:G252"/>
    <mergeCell ref="H252:I252"/>
  </mergeCells>
  <printOptions horizontalCentered="1"/>
  <pageMargins left="0" right="0" top="0.11811023622047245" bottom="0.5118110236220472" header="0" footer="0"/>
  <pageSetup fitToHeight="0" horizontalDpi="600" verticalDpi="600" orientation="portrait" paperSize="9" scale="86" r:id="rId3"/>
  <rowBreaks count="6" manualBreakCount="6">
    <brk id="66" min="1" max="8" man="1"/>
    <brk id="133" min="1" max="8" man="1"/>
    <brk id="193" min="1" max="8" man="1"/>
    <brk id="248" min="1" max="8" man="1"/>
    <brk id="322" min="1" max="8" man="1"/>
    <brk id="390" min="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Responsabile Ragioneria</cp:lastModifiedBy>
  <cp:lastPrinted>2005-04-15T15:21:50Z</cp:lastPrinted>
  <dcterms:created xsi:type="dcterms:W3CDTF">1997-08-28T16:58:31Z</dcterms:created>
  <dcterms:modified xsi:type="dcterms:W3CDTF">2005-09-20T14:29:07Z</dcterms:modified>
  <cp:category/>
  <cp:version/>
  <cp:contentType/>
  <cp:contentStatus/>
</cp:coreProperties>
</file>