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600" tabRatio="737" activeTab="0"/>
  </bookViews>
  <sheets>
    <sheet name="RSA" sheetId="1" r:id="rId1"/>
    <sheet name="Ristorazione" sheetId="2" r:id="rId2"/>
    <sheet name="SAD" sheetId="3" r:id="rId3"/>
    <sheet name="CDI" sheetId="4" r:id="rId4"/>
    <sheet name="DORMITORIO" sheetId="5" r:id="rId5"/>
    <sheet name="Pensionato sociale" sheetId="6" r:id="rId6"/>
    <sheet name="AGENZIA DI LOCAZIONE" sheetId="7" r:id="rId7"/>
    <sheet name="DUE PINI" sheetId="8" r:id="rId8"/>
    <sheet name="GRAMSCI" sheetId="9" r:id="rId9"/>
    <sheet name="TRASPORTI" sheetId="10" r:id="rId10"/>
    <sheet name="AREA MINORI" sheetId="11" r:id="rId11"/>
    <sheet name="SND" sheetId="12" r:id="rId12"/>
    <sheet name="C.A.H." sheetId="13" r:id="rId13"/>
    <sheet name="Riepilogo" sheetId="14" r:id="rId14"/>
    <sheet name="Foglio1" sheetId="15" r:id="rId15"/>
  </sheets>
  <definedNames>
    <definedName name="_xlnm.Print_Area" localSheetId="12">'C.A.H.'!$A:$IV</definedName>
    <definedName name="_xlnm.Print_Area" localSheetId="13">'Riepilogo'!#REF!</definedName>
    <definedName name="_xlnm.Print_Area" localSheetId="0">'RSA'!$A$1:$H$135</definedName>
    <definedName name="_xlnm.Print_Titles" localSheetId="13">'Riepilogo'!$13:$13</definedName>
  </definedNames>
  <calcPr fullCalcOnLoad="1"/>
</workbook>
</file>

<file path=xl/sharedStrings.xml><?xml version="1.0" encoding="utf-8"?>
<sst xmlns="http://schemas.openxmlformats.org/spreadsheetml/2006/main" count="1193" uniqueCount="230">
  <si>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</si>
  <si>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</si>
  <si>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</si>
  <si>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</si>
  <si>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</si>
  <si>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</si>
  <si>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</si>
  <si>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</si>
  <si>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</si>
  <si>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</si>
  <si>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</si>
  <si>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</si>
  <si>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</si>
  <si>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</si>
  <si>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</si>
  <si>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</si>
  <si>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</si>
  <si>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</si>
  <si>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</si>
  <si>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</si>
  <si>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</si>
  <si>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</si>
  <si>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</si>
  <si>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</si>
  <si>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</si>
  <si>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</si>
  <si>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</si>
  <si>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</si>
  <si>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</si>
  <si>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</si>
  <si>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</si>
  <si>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</si>
  <si>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</si>
  <si>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</si>
  <si>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</si>
  <si>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</si>
  <si>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</si>
  <si>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</si>
  <si>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</si>
  <si>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</si>
  <si>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</si>
  <si>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R.S.A.</t>
  </si>
  <si>
    <t>S.A.D.</t>
  </si>
  <si>
    <t>contributi A.S.L.</t>
  </si>
  <si>
    <t>* acquisto farmaci</t>
  </si>
  <si>
    <t>* cancelleria</t>
  </si>
  <si>
    <t>* acqua e gas</t>
  </si>
  <si>
    <t>* energia elettrica</t>
  </si>
  <si>
    <t>* spese postali e di affrancatura</t>
  </si>
  <si>
    <t>* servizio di pulizia</t>
  </si>
  <si>
    <t>* trasporti</t>
  </si>
  <si>
    <t>* manutenzioni contrattuali</t>
  </si>
  <si>
    <t>* manutenzioni e riparaz. varie</t>
  </si>
  <si>
    <t>rivalsa rette</t>
  </si>
  <si>
    <t>contributi Regione</t>
  </si>
  <si>
    <t>altri proventi vari</t>
  </si>
  <si>
    <t>* materiali di pulizia</t>
  </si>
  <si>
    <t>* sicurezza e adempimenti L. 626</t>
  </si>
  <si>
    <t>* teleriscaldamento</t>
  </si>
  <si>
    <t>* attività di animazione</t>
  </si>
  <si>
    <t>* compensi ai professionisti medici</t>
  </si>
  <si>
    <t>* servizio barbiere e parrucchiere</t>
  </si>
  <si>
    <t>* smaltimento rifiuti</t>
  </si>
  <si>
    <t>* abbonamenti testi, riviste e quot.</t>
  </si>
  <si>
    <t>Farmacia 2 Pini</t>
  </si>
  <si>
    <t>Farmacia Gramsci</t>
  </si>
  <si>
    <t>Nuoto disabili</t>
  </si>
  <si>
    <t xml:space="preserve">totale </t>
  </si>
  <si>
    <t>risultato aziendale</t>
  </si>
  <si>
    <t>Centro diurno</t>
  </si>
  <si>
    <t>proventi fisioterapia</t>
  </si>
  <si>
    <t>* compensi fisioterapisti</t>
  </si>
  <si>
    <t>* prestazioni medicina specialistica</t>
  </si>
  <si>
    <t>* carburanti e lubrificanti</t>
  </si>
  <si>
    <t>* assicurazioni diverse</t>
  </si>
  <si>
    <t>Trasporti</t>
  </si>
  <si>
    <t>E) Proventi e oneri straordinari</t>
  </si>
  <si>
    <t>15) Proventi da partecipazioni</t>
  </si>
  <si>
    <t>16) Altri proventi finanziari</t>
  </si>
  <si>
    <t>17) Interessi ed altri oneri finanziari</t>
  </si>
  <si>
    <t>C) Proventi e oneri finanziari</t>
  </si>
  <si>
    <t>D) Rettifiche di valore di attività finanziarie</t>
  </si>
  <si>
    <t>20) Proventi straordinari</t>
  </si>
  <si>
    <t>21) Oneri straordinari</t>
  </si>
  <si>
    <t>22) Imposte dell'esercizio</t>
  </si>
  <si>
    <t>UTILE (PERDITA) del SERVIZIO</t>
  </si>
  <si>
    <t>integrazione rette Comune</t>
  </si>
  <si>
    <t>* acquisto mat. medico per assist. farm. san.</t>
  </si>
  <si>
    <t>* acquisto materiali di consumo vari</t>
  </si>
  <si>
    <t>* servizio lavanderia biancheria piana</t>
  </si>
  <si>
    <t>* servizio assistenza geriatrica conv.</t>
  </si>
  <si>
    <t>* spese servizio religioso</t>
  </si>
  <si>
    <t>* acquisto pasti da CdR Ristorazione</t>
  </si>
  <si>
    <t>* locazione sollevatori</t>
  </si>
  <si>
    <t>* tasse di circolazione</t>
  </si>
  <si>
    <t>Ristorazione</t>
  </si>
  <si>
    <t>erogazione pasti ad altri CdR</t>
  </si>
  <si>
    <t>proventi Ristorazione: obiettori e altri</t>
  </si>
  <si>
    <t>* acquisto generi alimentari</t>
  </si>
  <si>
    <t>* acquisto attrezzature cucina</t>
  </si>
  <si>
    <t>C.D.I.</t>
  </si>
  <si>
    <t>FARMACIA DUE PINI</t>
  </si>
  <si>
    <t>FARMACIA GRAMSCI</t>
  </si>
  <si>
    <t>SERVIZIO TRASPORTI</t>
  </si>
  <si>
    <t>SERVIZIO NUOTO DISABILI</t>
  </si>
  <si>
    <t xml:space="preserve">pasti a domicilio </t>
  </si>
  <si>
    <t>sollevatori</t>
  </si>
  <si>
    <t>prestazioni socio-sanitarie</t>
  </si>
  <si>
    <t>integrazione tariffe Comune</t>
  </si>
  <si>
    <t>rivalsa tariffe</t>
  </si>
  <si>
    <t>proventi trasporto utenti</t>
  </si>
  <si>
    <t>vendita farmaci</t>
  </si>
  <si>
    <t>prestazioni diverse</t>
  </si>
  <si>
    <t>rimborsi farmaci scaduti</t>
  </si>
  <si>
    <t>*  affitti e locazioni</t>
  </si>
  <si>
    <t>rimborso farmaci scaduti</t>
  </si>
  <si>
    <t>*  spese condominiali</t>
  </si>
  <si>
    <t>contributi vari</t>
  </si>
  <si>
    <t>* altre spese per servizi</t>
  </si>
  <si>
    <t>proventi nuoto disabili</t>
  </si>
  <si>
    <t>rette Comunità Alloggio Handicap</t>
  </si>
  <si>
    <t>* compensi professionista podologa</t>
  </si>
  <si>
    <t>* rimborso spese ospiti</t>
  </si>
  <si>
    <t>* altre spese per automezzi</t>
  </si>
  <si>
    <t>* spese telefonia fissa</t>
  </si>
  <si>
    <t>* spese viaggi e trasferte</t>
  </si>
  <si>
    <t>* noleggio strutture e attrezzature</t>
  </si>
  <si>
    <t>* imposta di bollo</t>
  </si>
  <si>
    <t>* altre imposte e tasse</t>
  </si>
  <si>
    <t>* interessi di mora</t>
  </si>
  <si>
    <t>e - altri costi per il personale</t>
  </si>
  <si>
    <t>trasporto e varie</t>
  </si>
  <si>
    <t xml:space="preserve">* confezionamento e consegna pasti </t>
  </si>
  <si>
    <t>* spese per manutenzione automezzi</t>
  </si>
  <si>
    <t>* imposte di bollo</t>
  </si>
  <si>
    <t>* compensi professionisti podologa</t>
  </si>
  <si>
    <t>e - altri costi del personale</t>
  </si>
  <si>
    <t>* compensi collaborazioni occasionali</t>
  </si>
  <si>
    <t>PENSIONATO SOCIALE</t>
  </si>
  <si>
    <t>proventi pensionato sociale</t>
  </si>
  <si>
    <t>* enpaf farmacisti</t>
  </si>
  <si>
    <t>* spese di vigilanza</t>
  </si>
  <si>
    <t>* tassa di concessione regionale</t>
  </si>
  <si>
    <t>* rifiuti urbani e speciali</t>
  </si>
  <si>
    <t>* Enpaf farmacisti</t>
  </si>
  <si>
    <t>* tassa concessione regionale</t>
  </si>
  <si>
    <t>* spese per assicurazione automezzi</t>
  </si>
  <si>
    <t>proventi servizio assistenza domicil.minori</t>
  </si>
  <si>
    <t>Pensionato sociale</t>
  </si>
  <si>
    <t xml:space="preserve">COMUNITA' ALLOGGIO HANDICAP </t>
  </si>
  <si>
    <t>* acquisto pannoloni</t>
  </si>
  <si>
    <t>* spese di formazione</t>
  </si>
  <si>
    <t>* assicurazioni dipendenti</t>
  </si>
  <si>
    <t>* assicurazioni fabbricati</t>
  </si>
  <si>
    <t>* assicurazioni varie</t>
  </si>
  <si>
    <t>* prestazioni da terzi</t>
  </si>
  <si>
    <t>* spese per attività socio - ricreative</t>
  </si>
  <si>
    <t>* prestazioni occasionali</t>
  </si>
  <si>
    <t>* compensi fisiatra</t>
  </si>
  <si>
    <t>* Collaborazioni Coordinate e Continuative</t>
  </si>
  <si>
    <t>* Inps e Inail Collaborazioni Coordinate Cont.</t>
  </si>
  <si>
    <t>* servizio assistenza geriatrica e pulizia</t>
  </si>
  <si>
    <t>* Inps e Inail Collab.Coordinate e Continuate</t>
  </si>
  <si>
    <t xml:space="preserve">* Collaborazioni Coordinate e Continuative </t>
  </si>
  <si>
    <t>* acquisti per attività di animazione</t>
  </si>
  <si>
    <t>* Collaborazioni Continuate e Continuative</t>
  </si>
  <si>
    <t>* Inps e Inail Collaboraz.Coordinate e Contin.</t>
  </si>
  <si>
    <t>AGENZIA DI LOCAZIONE</t>
  </si>
  <si>
    <t>SEMIPENSIONATO</t>
  </si>
  <si>
    <t xml:space="preserve">     DORMITORIO      </t>
  </si>
  <si>
    <t>ARIOSTO</t>
  </si>
  <si>
    <t>* contributo Comune</t>
  </si>
  <si>
    <t>* abbonamenti e riviste</t>
  </si>
  <si>
    <t>* spese per manutenzioni e riparazioni varie</t>
  </si>
  <si>
    <t>* Inps e Inail Collaborazioni Coordinate e Co.</t>
  </si>
  <si>
    <t>proventi agenzia di locazione</t>
  </si>
  <si>
    <t>* affitti e locazioni</t>
  </si>
  <si>
    <t>* spese di pulizia</t>
  </si>
  <si>
    <t>* Inpe e Inail Collaborazioni Coordinate e Co.</t>
  </si>
  <si>
    <t>* Collaborazioni Coordinate Continuate</t>
  </si>
  <si>
    <t>* Inps e Inail Collaborazioni Coordinate</t>
  </si>
  <si>
    <t>* imposta e tasse varie</t>
  </si>
  <si>
    <t>* acquisto materiale di consumo vario</t>
  </si>
  <si>
    <t>* acquisto cancelleria</t>
  </si>
  <si>
    <t>* Collaborazioni Coordinate e Continuate</t>
  </si>
  <si>
    <t>* tasse circolazione automezzi</t>
  </si>
  <si>
    <t>AREA MINORI</t>
  </si>
  <si>
    <t>proventi C.a.g.</t>
  </si>
  <si>
    <t>* materiale di pulizia</t>
  </si>
  <si>
    <t>* manutenzione contrattuale</t>
  </si>
  <si>
    <t>* spese gestione Cag</t>
  </si>
  <si>
    <t>* spese gestione Sadm</t>
  </si>
  <si>
    <t xml:space="preserve">* Inps e Inail Collaborazioni Coordinate </t>
  </si>
  <si>
    <t>* spese formazione</t>
  </si>
  <si>
    <t>* spese gestione comunita' alloggio</t>
  </si>
  <si>
    <t>Agenzia di Locazione</t>
  </si>
  <si>
    <t>Dormitorio Ariosto/Semipensionato</t>
  </si>
  <si>
    <t>Area Minori</t>
  </si>
  <si>
    <t xml:space="preserve"> C.A.H.</t>
  </si>
  <si>
    <t>ricavi comuni</t>
  </si>
  <si>
    <t>* costi comuni</t>
  </si>
  <si>
    <t>*  costi comuni</t>
  </si>
  <si>
    <t>* ricavi comuni</t>
  </si>
  <si>
    <t>*costi comuni</t>
  </si>
  <si>
    <t>UTILE D'ESERCIZIO</t>
  </si>
  <si>
    <t>* spese bancarie</t>
  </si>
  <si>
    <t>BILANCIO DELL'ESERCIZIO CHIUSO AL 31 DICEMBRE 2003</t>
  </si>
  <si>
    <t>* spese convegno</t>
  </si>
  <si>
    <t>* spese di pubblicità</t>
  </si>
  <si>
    <t>* spese rimborso Km.</t>
  </si>
  <si>
    <t>* spese progetto Fondo Sociale Europeo</t>
  </si>
  <si>
    <t>* acquisti generi alimentari</t>
  </si>
  <si>
    <t>* acquisti materiali di consumo</t>
  </si>
  <si>
    <t>proventi Dormitorio</t>
  </si>
  <si>
    <t>* altri proventi vari (Piano di Zona)</t>
  </si>
  <si>
    <t>* costi indeducibili</t>
  </si>
  <si>
    <t>*  imposta di bollo</t>
  </si>
  <si>
    <t>*  interessi di mora</t>
  </si>
  <si>
    <t>altri ricavi e proventi</t>
  </si>
  <si>
    <t>* spese condominiali</t>
  </si>
  <si>
    <t>* costi vari indeducibili</t>
  </si>
  <si>
    <t>* imposta di registro</t>
  </si>
  <si>
    <t>* acquisto materiale medico per assistenza</t>
  </si>
  <si>
    <t>* spese per servizio trasporto protetto</t>
  </si>
  <si>
    <t>* spese postali e affrancatura</t>
  </si>
  <si>
    <t>* spese per attività socio-ricreative</t>
  </si>
  <si>
    <t>* prestazioni artistiche</t>
  </si>
  <si>
    <t>contributo Piano di Zona</t>
  </si>
  <si>
    <t>* collaborazioni coordinate e continuative</t>
  </si>
  <si>
    <t xml:space="preserve">* Inps e Inail collaborazioni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</si>
</sst>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2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1"/>
      <name val="Geneva"/>
      <family val="0"/>
    </font>
    <font>
      <b/>
      <sz val="11"/>
      <color indexed="10"/>
      <name val="Geneva"/>
      <family val="0"/>
    </font>
    <font>
      <sz val="1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7" fillId="2" borderId="0" xfId="0" applyFont="1" applyFill="1" applyBorder="1" applyAlignment="1">
      <alignment/>
    </xf>
    <xf numFmtId="41" fontId="17" fillId="2" borderId="0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3" fontId="14" fillId="3" borderId="7" xfId="0" applyNumberFormat="1" applyFont="1" applyFill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3" fontId="5" fillId="3" borderId="1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3" fontId="15" fillId="3" borderId="0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12" xfId="0" applyFont="1" applyFill="1" applyBorder="1" applyAlignment="1" applyProtection="1">
      <alignment horizontal="center"/>
      <protection locked="0"/>
    </xf>
    <xf numFmtId="3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3" fontId="14" fillId="3" borderId="15" xfId="0" applyNumberFormat="1" applyFont="1" applyFill="1" applyBorder="1" applyAlignment="1" applyProtection="1">
      <alignment horizontal="center"/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3" fontId="15" fillId="3" borderId="0" xfId="0" applyNumberFormat="1" applyFont="1" applyFill="1" applyBorder="1" applyAlignment="1" applyProtection="1">
      <alignment/>
      <protection locked="0"/>
    </xf>
    <xf numFmtId="3" fontId="1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3" fontId="15" fillId="3" borderId="19" xfId="0" applyNumberFormat="1" applyFont="1" applyFill="1" applyBorder="1" applyAlignment="1" applyProtection="1">
      <alignment horizontal="center"/>
      <protection locked="0"/>
    </xf>
    <xf numFmtId="3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3" fontId="15" fillId="3" borderId="20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3" fontId="0" fillId="3" borderId="20" xfId="0" applyNumberFormat="1" applyFont="1" applyFill="1" applyBorder="1" applyAlignment="1" applyProtection="1">
      <alignment/>
      <protection locked="0"/>
    </xf>
    <xf numFmtId="3" fontId="0" fillId="3" borderId="20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3" fontId="9" fillId="3" borderId="20" xfId="0" applyNumberFormat="1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3" fontId="12" fillId="3" borderId="21" xfId="0" applyNumberFormat="1" applyFont="1" applyFill="1" applyBorder="1" applyAlignment="1" applyProtection="1">
      <alignment/>
      <protection locked="0"/>
    </xf>
    <xf numFmtId="3" fontId="0" fillId="3" borderId="8" xfId="0" applyNumberFormat="1" applyFill="1" applyBorder="1" applyAlignment="1" applyProtection="1">
      <alignment/>
      <protection locked="0"/>
    </xf>
    <xf numFmtId="3" fontId="12" fillId="3" borderId="0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12" fillId="3" borderId="20" xfId="0" applyNumberFormat="1" applyFont="1" applyFill="1" applyBorder="1" applyAlignment="1" applyProtection="1">
      <alignment/>
      <protection/>
    </xf>
    <xf numFmtId="4" fontId="11" fillId="3" borderId="4" xfId="0" applyNumberFormat="1" applyFont="1" applyFill="1" applyBorder="1" applyAlignment="1" applyProtection="1">
      <alignment/>
      <protection/>
    </xf>
    <xf numFmtId="4" fontId="12" fillId="3" borderId="20" xfId="0" applyNumberFormat="1" applyFont="1" applyFill="1" applyBorder="1" applyAlignment="1" applyProtection="1">
      <alignment/>
      <protection locked="0"/>
    </xf>
    <xf numFmtId="4" fontId="13" fillId="3" borderId="20" xfId="0" applyNumberFormat="1" applyFont="1" applyFill="1" applyBorder="1" applyAlignment="1" applyProtection="1">
      <alignment/>
      <protection locked="0"/>
    </xf>
    <xf numFmtId="4" fontId="12" fillId="3" borderId="22" xfId="0" applyNumberFormat="1" applyFont="1" applyFill="1" applyBorder="1" applyAlignment="1" applyProtection="1">
      <alignment/>
      <protection/>
    </xf>
    <xf numFmtId="4" fontId="11" fillId="3" borderId="22" xfId="0" applyNumberFormat="1" applyFont="1" applyFill="1" applyBorder="1" applyAlignment="1" applyProtection="1">
      <alignment/>
      <protection locked="0"/>
    </xf>
    <xf numFmtId="4" fontId="11" fillId="3" borderId="20" xfId="0" applyNumberFormat="1" applyFont="1" applyFill="1" applyBorder="1" applyAlignment="1" applyProtection="1">
      <alignment/>
      <protection locked="0"/>
    </xf>
    <xf numFmtId="4" fontId="11" fillId="0" borderId="22" xfId="0" applyNumberFormat="1" applyFont="1" applyFill="1" applyBorder="1" applyAlignment="1" applyProtection="1">
      <alignment/>
      <protection locked="0"/>
    </xf>
    <xf numFmtId="4" fontId="12" fillId="3" borderId="0" xfId="0" applyNumberFormat="1" applyFont="1" applyFill="1" applyBorder="1" applyAlignment="1" applyProtection="1">
      <alignment/>
      <protection/>
    </xf>
    <xf numFmtId="4" fontId="11" fillId="3" borderId="0" xfId="0" applyNumberFormat="1" applyFont="1" applyFill="1" applyBorder="1" applyAlignment="1" applyProtection="1">
      <alignment/>
      <protection/>
    </xf>
    <xf numFmtId="4" fontId="12" fillId="3" borderId="0" xfId="0" applyNumberFormat="1" applyFont="1" applyFill="1" applyBorder="1" applyAlignment="1" applyProtection="1">
      <alignment/>
      <protection locked="0"/>
    </xf>
    <xf numFmtId="4" fontId="1" fillId="3" borderId="20" xfId="0" applyNumberFormat="1" applyFont="1" applyFill="1" applyBorder="1" applyAlignment="1" applyProtection="1">
      <alignment/>
      <protection/>
    </xf>
    <xf numFmtId="4" fontId="8" fillId="3" borderId="20" xfId="0" applyNumberFormat="1" applyFont="1" applyFill="1" applyBorder="1" applyAlignment="1" applyProtection="1">
      <alignment/>
      <protection/>
    </xf>
    <xf numFmtId="4" fontId="1" fillId="3" borderId="5" xfId="0" applyNumberFormat="1" applyFont="1" applyFill="1" applyBorder="1" applyAlignment="1" applyProtection="1">
      <alignment/>
      <protection/>
    </xf>
    <xf numFmtId="4" fontId="8" fillId="3" borderId="5" xfId="0" applyNumberFormat="1" applyFont="1" applyFill="1" applyBorder="1" applyAlignment="1" applyProtection="1">
      <alignment/>
      <protection/>
    </xf>
    <xf numFmtId="4" fontId="1" fillId="3" borderId="5" xfId="0" applyNumberFormat="1" applyFont="1" applyFill="1" applyBorder="1" applyAlignment="1" applyProtection="1">
      <alignment/>
      <protection locked="0"/>
    </xf>
    <xf numFmtId="4" fontId="15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4" fontId="9" fillId="3" borderId="20" xfId="0" applyNumberFormat="1" applyFont="1" applyFill="1" applyBorder="1" applyAlignment="1" applyProtection="1">
      <alignment/>
      <protection locked="0"/>
    </xf>
    <xf numFmtId="4" fontId="0" fillId="3" borderId="5" xfId="0" applyNumberFormat="1" applyFill="1" applyBorder="1" applyAlignment="1" applyProtection="1">
      <alignment/>
      <protection locked="0"/>
    </xf>
    <xf numFmtId="4" fontId="12" fillId="3" borderId="21" xfId="0" applyNumberFormat="1" applyFont="1" applyFill="1" applyBorder="1" applyAlignment="1" applyProtection="1">
      <alignment/>
      <protection locked="0"/>
    </xf>
    <xf numFmtId="4" fontId="0" fillId="3" borderId="8" xfId="0" applyNumberFormat="1" applyFill="1" applyBorder="1" applyAlignment="1" applyProtection="1">
      <alignment/>
      <protection locked="0"/>
    </xf>
    <xf numFmtId="4" fontId="11" fillId="3" borderId="0" xfId="0" applyNumberFormat="1" applyFont="1" applyFill="1" applyBorder="1" applyAlignment="1" applyProtection="1">
      <alignment/>
      <protection locked="0"/>
    </xf>
    <xf numFmtId="4" fontId="11" fillId="3" borderId="20" xfId="0" applyNumberFormat="1" applyFont="1" applyFill="1" applyBorder="1" applyAlignment="1" applyProtection="1">
      <alignment/>
      <protection/>
    </xf>
    <xf numFmtId="4" fontId="12" fillId="3" borderId="4" xfId="0" applyNumberFormat="1" applyFont="1" applyFill="1" applyBorder="1" applyAlignment="1" applyProtection="1">
      <alignment/>
      <protection/>
    </xf>
    <xf numFmtId="43" fontId="17" fillId="2" borderId="0" xfId="0" applyNumberFormat="1" applyFont="1" applyFill="1" applyBorder="1" applyAlignment="1">
      <alignment/>
    </xf>
    <xf numFmtId="43" fontId="18" fillId="2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4" fontId="11" fillId="3" borderId="22" xfId="0" applyNumberFormat="1" applyFont="1" applyFill="1" applyBorder="1" applyAlignment="1" applyProtection="1">
      <alignment/>
      <protection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5" fillId="3" borderId="23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9" fillId="0" borderId="22" xfId="0" applyNumberFormat="1" applyFont="1" applyFill="1" applyBorder="1" applyAlignment="1" applyProtection="1">
      <alignment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G134" sqref="G134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21.7539062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41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55"/>
      <c r="G19" s="104">
        <f>F20+F25+F26+F27+F29</f>
        <v>3241876.9660360003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SUM(F21:F23)</f>
        <v>1593990.8</v>
      </c>
      <c r="G20" s="58"/>
    </row>
    <row r="21" spans="1:7" ht="12.75" customHeight="1">
      <c r="A21" s="44"/>
      <c r="B21" s="54"/>
      <c r="C21" s="44"/>
      <c r="D21" s="44" t="s">
        <v>30</v>
      </c>
      <c r="E21" s="45" t="s">
        <v>53</v>
      </c>
      <c r="F21" s="94">
        <v>1361267.03</v>
      </c>
      <c r="G21" s="58"/>
    </row>
    <row r="22" spans="1:7" ht="12.75" customHeight="1">
      <c r="A22" s="44"/>
      <c r="B22" s="54"/>
      <c r="C22" s="44"/>
      <c r="D22" s="44" t="s">
        <v>30</v>
      </c>
      <c r="E22" s="45" t="s">
        <v>70</v>
      </c>
      <c r="F22" s="94">
        <v>1739.11</v>
      </c>
      <c r="G22" s="58"/>
    </row>
    <row r="23" spans="1:7" ht="12.75" customHeight="1">
      <c r="A23" s="44"/>
      <c r="B23" s="54"/>
      <c r="C23" s="44"/>
      <c r="D23" s="44" t="s">
        <v>30</v>
      </c>
      <c r="E23" s="45" t="s">
        <v>86</v>
      </c>
      <c r="F23" s="94">
        <v>230984.66</v>
      </c>
      <c r="G23" s="58"/>
    </row>
    <row r="24" spans="1:7" ht="12.75" customHeight="1">
      <c r="A24" s="44"/>
      <c r="B24" s="54"/>
      <c r="C24" s="44" t="s">
        <v>8</v>
      </c>
      <c r="D24" s="44" t="s">
        <v>9</v>
      </c>
      <c r="F24" s="95"/>
      <c r="G24" s="58"/>
    </row>
    <row r="25" spans="1:7" ht="12.75" customHeight="1">
      <c r="A25" s="44"/>
      <c r="B25" s="54"/>
      <c r="C25" s="44"/>
      <c r="D25" s="44" t="s">
        <v>10</v>
      </c>
      <c r="F25" s="95">
        <f>23281.8-18593.49</f>
        <v>4688.309999999998</v>
      </c>
      <c r="G25" s="58"/>
    </row>
    <row r="26" spans="1:7" ht="12.75" customHeight="1">
      <c r="A26" s="44"/>
      <c r="B26" s="54"/>
      <c r="C26" s="44" t="s">
        <v>11</v>
      </c>
      <c r="D26" s="44" t="s">
        <v>12</v>
      </c>
      <c r="F26" s="95">
        <v>0</v>
      </c>
      <c r="G26" s="58"/>
    </row>
    <row r="27" spans="1:7" ht="12.75" customHeight="1">
      <c r="A27" s="44"/>
      <c r="B27" s="54"/>
      <c r="C27" s="44" t="s">
        <v>13</v>
      </c>
      <c r="D27" s="44"/>
      <c r="F27" s="95">
        <v>0</v>
      </c>
      <c r="G27" s="58"/>
    </row>
    <row r="28" spans="1:7" ht="12.75" customHeight="1">
      <c r="A28" s="44"/>
      <c r="B28" s="54"/>
      <c r="C28" s="44" t="s">
        <v>14</v>
      </c>
      <c r="D28" s="44"/>
      <c r="F28" s="95" t="s">
        <v>0</v>
      </c>
      <c r="G28" s="59"/>
    </row>
    <row r="29" spans="1:7" ht="12.75" customHeight="1">
      <c r="A29" s="44"/>
      <c r="B29" s="54"/>
      <c r="C29" s="44"/>
      <c r="D29" s="44" t="s">
        <v>15</v>
      </c>
      <c r="F29" s="93">
        <f>SUM(F30:F34)</f>
        <v>1643197.856036</v>
      </c>
      <c r="G29" s="59"/>
    </row>
    <row r="30" spans="1:7" ht="12.75" customHeight="1">
      <c r="A30" s="44"/>
      <c r="B30" s="54"/>
      <c r="C30" s="44"/>
      <c r="D30" s="60" t="s">
        <v>30</v>
      </c>
      <c r="E30" s="45" t="s">
        <v>43</v>
      </c>
      <c r="F30" s="94">
        <v>1351693.28</v>
      </c>
      <c r="G30" s="61"/>
    </row>
    <row r="31" spans="1:7" ht="12.75" customHeight="1">
      <c r="A31" s="44"/>
      <c r="B31" s="54"/>
      <c r="C31" s="44"/>
      <c r="D31" s="60" t="s">
        <v>30</v>
      </c>
      <c r="E31" s="45" t="s">
        <v>54</v>
      </c>
      <c r="F31" s="94">
        <v>68867.98</v>
      </c>
      <c r="G31" s="61"/>
    </row>
    <row r="32" spans="1:7" ht="12.75" customHeight="1">
      <c r="A32" s="44"/>
      <c r="B32" s="54"/>
      <c r="C32" s="44"/>
      <c r="D32" s="60" t="s">
        <v>30</v>
      </c>
      <c r="E32" s="45" t="s">
        <v>117</v>
      </c>
      <c r="F32" s="94">
        <v>37148</v>
      </c>
      <c r="G32" s="61"/>
    </row>
    <row r="33" spans="1:7" ht="12.75" customHeight="1">
      <c r="A33" s="44"/>
      <c r="B33" s="54"/>
      <c r="C33" s="44"/>
      <c r="D33" s="60" t="s">
        <v>30</v>
      </c>
      <c r="E33" s="45" t="s">
        <v>55</v>
      </c>
      <c r="F33" s="94">
        <f>10.99+1754.4+9460.98+10500+67411</f>
        <v>89137.37</v>
      </c>
      <c r="G33" s="61"/>
    </row>
    <row r="34" spans="1:7" ht="12.75" customHeight="1">
      <c r="A34" s="44"/>
      <c r="B34" s="54"/>
      <c r="C34" s="44"/>
      <c r="D34" s="44" t="s">
        <v>30</v>
      </c>
      <c r="E34" s="44" t="s">
        <v>199</v>
      </c>
      <c r="F34" s="95">
        <f>173168.99*55.64/100</f>
        <v>96351.226036</v>
      </c>
      <c r="G34" s="59"/>
    </row>
    <row r="35" spans="1:7" ht="12.75" customHeight="1">
      <c r="A35" s="44"/>
      <c r="B35" s="54"/>
      <c r="C35" s="44"/>
      <c r="D35" s="44"/>
      <c r="E35" s="44"/>
      <c r="F35" s="95"/>
      <c r="G35" s="59"/>
    </row>
    <row r="36" spans="1:7" s="64" customFormat="1" ht="12.75" customHeight="1">
      <c r="A36" s="62"/>
      <c r="B36" s="57" t="s">
        <v>16</v>
      </c>
      <c r="C36" s="62"/>
      <c r="D36" s="62"/>
      <c r="E36" s="63"/>
      <c r="F36" s="96"/>
      <c r="G36" s="105">
        <f>-(F38+F50+F86+F90+G18+F96+F103+F104+F105+F106)</f>
        <v>-3405222.76238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59"/>
    </row>
    <row r="38" spans="1:7" ht="12.75" customHeight="1">
      <c r="A38" s="44"/>
      <c r="B38" s="54"/>
      <c r="D38" s="44" t="s">
        <v>18</v>
      </c>
      <c r="E38" s="65"/>
      <c r="F38" s="97">
        <f>SUM(F39:F49)</f>
        <v>250787.26022400003</v>
      </c>
      <c r="G38" s="59"/>
    </row>
    <row r="39" spans="1:7" ht="12.75" customHeight="1">
      <c r="A39" s="44"/>
      <c r="B39" s="54"/>
      <c r="D39" s="44"/>
      <c r="E39" s="65" t="s">
        <v>98</v>
      </c>
      <c r="F39" s="97">
        <v>4595.35</v>
      </c>
      <c r="G39" s="59"/>
    </row>
    <row r="40" spans="1:7" ht="12.75" customHeight="1">
      <c r="A40" s="44"/>
      <c r="B40" s="54"/>
      <c r="D40" s="44"/>
      <c r="E40" s="65" t="s">
        <v>87</v>
      </c>
      <c r="F40" s="98">
        <v>17056.89</v>
      </c>
      <c r="G40" s="59"/>
    </row>
    <row r="41" spans="1:7" ht="12.75" customHeight="1">
      <c r="A41" s="44"/>
      <c r="B41" s="54"/>
      <c r="D41" s="44"/>
      <c r="E41" s="65" t="s">
        <v>59</v>
      </c>
      <c r="F41" s="98">
        <v>2294.18</v>
      </c>
      <c r="G41" s="59"/>
    </row>
    <row r="42" spans="1:7" ht="12.75" customHeight="1">
      <c r="A42" s="44"/>
      <c r="B42" s="54"/>
      <c r="D42" s="44"/>
      <c r="E42" s="65" t="s">
        <v>44</v>
      </c>
      <c r="F42" s="98">
        <v>74276.74</v>
      </c>
      <c r="G42" s="59"/>
    </row>
    <row r="43" spans="1:7" ht="12.75" customHeight="1">
      <c r="A43" s="44"/>
      <c r="B43" s="54"/>
      <c r="D43" s="44"/>
      <c r="E43" s="65" t="s">
        <v>150</v>
      </c>
      <c r="F43" s="98">
        <v>47179.38</v>
      </c>
      <c r="G43" s="59"/>
    </row>
    <row r="44" spans="1:7" ht="12.75" customHeight="1">
      <c r="A44" s="44"/>
      <c r="B44" s="54"/>
      <c r="D44" s="44"/>
      <c r="E44" s="65" t="s">
        <v>88</v>
      </c>
      <c r="F44" s="98">
        <v>23853.28</v>
      </c>
      <c r="G44" s="59"/>
    </row>
    <row r="45" spans="1:7" ht="12.75" customHeight="1">
      <c r="A45" s="44"/>
      <c r="B45" s="54"/>
      <c r="D45" s="44"/>
      <c r="E45" s="65" t="s">
        <v>56</v>
      </c>
      <c r="F45" s="98">
        <v>14036.49</v>
      </c>
      <c r="G45" s="59"/>
    </row>
    <row r="46" spans="1:7" ht="12.75" customHeight="1">
      <c r="A46" s="44"/>
      <c r="B46" s="54"/>
      <c r="D46" s="44"/>
      <c r="E46" s="66" t="s">
        <v>45</v>
      </c>
      <c r="F46" s="98">
        <v>610.23</v>
      </c>
      <c r="G46" s="59"/>
    </row>
    <row r="47" spans="1:7" ht="12.75" customHeight="1">
      <c r="A47" s="44"/>
      <c r="B47" s="54"/>
      <c r="D47" s="44"/>
      <c r="E47" s="66" t="s">
        <v>73</v>
      </c>
      <c r="F47" s="98">
        <v>20</v>
      </c>
      <c r="G47" s="59"/>
    </row>
    <row r="48" spans="1:7" ht="12.75" customHeight="1">
      <c r="A48" s="44"/>
      <c r="B48" s="54"/>
      <c r="C48" s="44"/>
      <c r="D48" s="44"/>
      <c r="E48" s="66" t="s">
        <v>58</v>
      </c>
      <c r="F48" s="98">
        <v>60572.86</v>
      </c>
      <c r="G48" s="59"/>
    </row>
    <row r="49" spans="1:7" ht="12.75" customHeight="1">
      <c r="A49" s="44"/>
      <c r="B49" s="54"/>
      <c r="D49" s="44"/>
      <c r="E49" s="65" t="s">
        <v>200</v>
      </c>
      <c r="F49" s="99">
        <f>11308.16*55.64/100</f>
        <v>6291.860224</v>
      </c>
      <c r="G49" s="59"/>
    </row>
    <row r="50" spans="1:7" ht="12.75" customHeight="1">
      <c r="A50" s="44"/>
      <c r="B50" s="54"/>
      <c r="C50" s="44" t="s">
        <v>19</v>
      </c>
      <c r="D50" s="44"/>
      <c r="E50" s="65"/>
      <c r="F50" s="97">
        <f>SUM(F51:F85)</f>
        <v>1685319.6706680001</v>
      </c>
      <c r="G50" s="59"/>
    </row>
    <row r="51" spans="1:7" ht="12.75" customHeight="1">
      <c r="A51" s="44"/>
      <c r="B51" s="54"/>
      <c r="C51" s="44"/>
      <c r="D51" s="44"/>
      <c r="E51" s="66" t="s">
        <v>50</v>
      </c>
      <c r="F51" s="97">
        <v>1448.84</v>
      </c>
      <c r="G51" s="59"/>
    </row>
    <row r="52" spans="1:7" ht="12.75" customHeight="1">
      <c r="A52" s="44"/>
      <c r="B52" s="54"/>
      <c r="C52" s="44"/>
      <c r="D52" s="44"/>
      <c r="E52" s="66" t="s">
        <v>47</v>
      </c>
      <c r="F52" s="98">
        <v>40746.5</v>
      </c>
      <c r="G52" s="59"/>
    </row>
    <row r="53" spans="1:7" ht="12.75" customHeight="1">
      <c r="A53" s="44"/>
      <c r="B53" s="54"/>
      <c r="C53" s="44"/>
      <c r="D53" s="44"/>
      <c r="E53" s="66" t="s">
        <v>46</v>
      </c>
      <c r="F53" s="98">
        <v>16826.6</v>
      </c>
      <c r="G53" s="59"/>
    </row>
    <row r="54" spans="1:7" ht="12.75" customHeight="1">
      <c r="A54" s="44"/>
      <c r="B54" s="54"/>
      <c r="C54" s="44"/>
      <c r="D54" s="44"/>
      <c r="E54" s="66" t="s">
        <v>52</v>
      </c>
      <c r="F54" s="98">
        <v>18084.81</v>
      </c>
      <c r="G54" s="59"/>
    </row>
    <row r="55" spans="1:7" ht="12.75" customHeight="1">
      <c r="A55" s="44"/>
      <c r="B55" s="54"/>
      <c r="C55" s="44"/>
      <c r="D55" s="44"/>
      <c r="E55" s="66" t="s">
        <v>51</v>
      </c>
      <c r="F55" s="98">
        <v>9797.54</v>
      </c>
      <c r="G55" s="59"/>
    </row>
    <row r="56" spans="1:7" ht="12.75" customHeight="1">
      <c r="A56" s="44"/>
      <c r="B56" s="54"/>
      <c r="C56" s="44"/>
      <c r="D56" s="44"/>
      <c r="E56" s="66" t="s">
        <v>151</v>
      </c>
      <c r="F56" s="98">
        <v>2515.41</v>
      </c>
      <c r="G56" s="59"/>
    </row>
    <row r="57" spans="1:7" ht="12.75" customHeight="1">
      <c r="A57" s="44"/>
      <c r="B57" s="54"/>
      <c r="C57" s="44"/>
      <c r="D57" s="44"/>
      <c r="E57" s="66" t="s">
        <v>207</v>
      </c>
      <c r="F57" s="98">
        <v>77</v>
      </c>
      <c r="G57" s="59"/>
    </row>
    <row r="58" spans="1:7" ht="12.75" customHeight="1">
      <c r="A58" s="44"/>
      <c r="B58" s="54"/>
      <c r="C58" s="44"/>
      <c r="D58" s="44"/>
      <c r="E58" s="66" t="s">
        <v>124</v>
      </c>
      <c r="F58" s="98">
        <v>4379.59</v>
      </c>
      <c r="G58" s="59"/>
    </row>
    <row r="59" spans="1:7" ht="12.75" customHeight="1">
      <c r="A59" s="44"/>
      <c r="B59" s="54"/>
      <c r="C59" s="44"/>
      <c r="D59" s="44"/>
      <c r="E59" s="66" t="s">
        <v>48</v>
      </c>
      <c r="F59" s="98">
        <v>557.55</v>
      </c>
      <c r="G59" s="59"/>
    </row>
    <row r="60" spans="1:7" ht="12.75" customHeight="1">
      <c r="A60" s="44"/>
      <c r="B60" s="54"/>
      <c r="C60" s="44"/>
      <c r="D60" s="44"/>
      <c r="E60" s="66" t="s">
        <v>152</v>
      </c>
      <c r="F60" s="98">
        <v>4873.21</v>
      </c>
      <c r="G60" s="59"/>
    </row>
    <row r="61" spans="1:7" ht="12.75" customHeight="1">
      <c r="A61" s="44"/>
      <c r="B61" s="54"/>
      <c r="C61" s="44"/>
      <c r="D61" s="44"/>
      <c r="E61" s="66" t="s">
        <v>153</v>
      </c>
      <c r="F61" s="98">
        <v>966.22</v>
      </c>
      <c r="G61" s="59"/>
    </row>
    <row r="62" spans="1:7" ht="12.75" customHeight="1">
      <c r="A62" s="44"/>
      <c r="B62" s="54"/>
      <c r="C62" s="44"/>
      <c r="D62" s="44"/>
      <c r="E62" s="66" t="s">
        <v>154</v>
      </c>
      <c r="F62" s="98">
        <v>1229.25</v>
      </c>
      <c r="G62" s="59"/>
    </row>
    <row r="63" spans="1:7" ht="12.75" customHeight="1">
      <c r="A63" s="44"/>
      <c r="B63" s="54"/>
      <c r="C63" s="44"/>
      <c r="D63" s="44"/>
      <c r="E63" s="66" t="s">
        <v>208</v>
      </c>
      <c r="F63" s="98">
        <v>6140.04</v>
      </c>
      <c r="G63" s="59"/>
    </row>
    <row r="64" spans="1:7" ht="12.75" customHeight="1">
      <c r="A64" s="44"/>
      <c r="B64" s="54"/>
      <c r="C64" s="44"/>
      <c r="D64" s="44"/>
      <c r="E64" s="66" t="s">
        <v>125</v>
      </c>
      <c r="F64" s="98">
        <v>177.37</v>
      </c>
      <c r="G64" s="59"/>
    </row>
    <row r="65" spans="1:7" ht="12.75" customHeight="1">
      <c r="A65" s="44"/>
      <c r="B65" s="54"/>
      <c r="C65" s="44"/>
      <c r="D65" s="44"/>
      <c r="E65" s="66" t="s">
        <v>155</v>
      </c>
      <c r="F65" s="98">
        <f>1984.74+4689.6</f>
        <v>6674.34</v>
      </c>
      <c r="G65" s="59"/>
    </row>
    <row r="66" spans="1:7" ht="12.75" customHeight="1">
      <c r="A66" s="44"/>
      <c r="B66" s="54"/>
      <c r="C66" s="44"/>
      <c r="D66" s="44"/>
      <c r="E66" s="66" t="s">
        <v>122</v>
      </c>
      <c r="F66" s="98">
        <v>825</v>
      </c>
      <c r="G66" s="59"/>
    </row>
    <row r="67" spans="1:7" ht="12.75" customHeight="1">
      <c r="A67" s="44"/>
      <c r="B67" s="54"/>
      <c r="C67" s="44"/>
      <c r="D67" s="44"/>
      <c r="E67" s="66" t="s">
        <v>156</v>
      </c>
      <c r="F67" s="98">
        <v>2359.5</v>
      </c>
      <c r="G67" s="59"/>
    </row>
    <row r="68" spans="1:7" ht="12.75" customHeight="1">
      <c r="A68" s="44"/>
      <c r="B68" s="54"/>
      <c r="C68" s="44"/>
      <c r="D68" s="44"/>
      <c r="E68" s="66" t="s">
        <v>209</v>
      </c>
      <c r="F68" s="98">
        <v>212.7</v>
      </c>
      <c r="G68" s="59"/>
    </row>
    <row r="69" spans="1:7" ht="12.75" customHeight="1">
      <c r="A69" s="44"/>
      <c r="B69" s="54"/>
      <c r="C69" s="44"/>
      <c r="D69" s="44"/>
      <c r="E69" s="66" t="s">
        <v>118</v>
      </c>
      <c r="F69" s="98">
        <v>6226.1</v>
      </c>
      <c r="G69" s="59"/>
    </row>
    <row r="70" spans="1:7" ht="12.75" customHeight="1">
      <c r="A70" s="44"/>
      <c r="B70" s="54"/>
      <c r="C70" s="44"/>
      <c r="D70" s="44"/>
      <c r="E70" s="66" t="s">
        <v>61</v>
      </c>
      <c r="F70" s="98">
        <v>4536</v>
      </c>
      <c r="G70" s="59"/>
    </row>
    <row r="71" spans="1:7" ht="12.75" customHeight="1">
      <c r="A71" s="44"/>
      <c r="B71" s="54"/>
      <c r="C71" s="44"/>
      <c r="D71" s="44"/>
      <c r="E71" s="66" t="s">
        <v>89</v>
      </c>
      <c r="F71" s="98">
        <v>42272.86</v>
      </c>
      <c r="G71" s="59"/>
    </row>
    <row r="72" spans="1:7" ht="12.75" customHeight="1">
      <c r="A72" s="44"/>
      <c r="B72" s="54"/>
      <c r="C72" s="44"/>
      <c r="D72" s="44"/>
      <c r="E72" s="66" t="s">
        <v>49</v>
      </c>
      <c r="F72" s="98">
        <v>227892.25</v>
      </c>
      <c r="G72" s="59"/>
    </row>
    <row r="73" spans="1:7" ht="12.75" customHeight="1">
      <c r="A73" s="44"/>
      <c r="B73" s="54"/>
      <c r="C73" s="44"/>
      <c r="D73" s="44"/>
      <c r="E73" s="66" t="s">
        <v>60</v>
      </c>
      <c r="F73" s="98">
        <v>101602.33</v>
      </c>
      <c r="G73" s="59"/>
    </row>
    <row r="74" spans="1:7" ht="12.75" customHeight="1">
      <c r="A74" s="44"/>
      <c r="B74" s="54"/>
      <c r="C74" s="44"/>
      <c r="D74" s="44"/>
      <c r="E74" s="66" t="s">
        <v>121</v>
      </c>
      <c r="F74" s="98">
        <v>4395.73</v>
      </c>
      <c r="G74" s="59"/>
    </row>
    <row r="75" spans="1:7" ht="12.75" customHeight="1">
      <c r="A75" s="44"/>
      <c r="B75" s="54"/>
      <c r="C75" s="44"/>
      <c r="D75" s="44"/>
      <c r="E75" s="66" t="s">
        <v>158</v>
      </c>
      <c r="F75" s="136">
        <v>10088.6</v>
      </c>
      <c r="G75" s="59"/>
    </row>
    <row r="76" spans="1:7" ht="12.75" customHeight="1">
      <c r="A76" s="44"/>
      <c r="B76" s="54"/>
      <c r="C76" s="44"/>
      <c r="D76" s="44"/>
      <c r="E76" s="66" t="s">
        <v>71</v>
      </c>
      <c r="F76" s="98">
        <v>14943.24</v>
      </c>
      <c r="G76" s="59"/>
    </row>
    <row r="77" spans="1:7" s="1" customFormat="1" ht="12.75" customHeight="1">
      <c r="A77" s="89"/>
      <c r="B77" s="90"/>
      <c r="C77" s="121"/>
      <c r="D77" s="121"/>
      <c r="E77" s="91" t="s">
        <v>157</v>
      </c>
      <c r="F77" s="100">
        <v>5365.42</v>
      </c>
      <c r="G77" s="92"/>
    </row>
    <row r="78" spans="1:7" s="1" customFormat="1" ht="12.75" customHeight="1">
      <c r="A78" s="89"/>
      <c r="B78" s="90"/>
      <c r="C78" s="121"/>
      <c r="D78" s="121"/>
      <c r="E78" s="91" t="s">
        <v>210</v>
      </c>
      <c r="F78" s="100">
        <v>27021.41</v>
      </c>
      <c r="G78" s="92"/>
    </row>
    <row r="79" spans="1:7" ht="12.75" customHeight="1">
      <c r="A79" s="44"/>
      <c r="B79" s="54"/>
      <c r="C79" s="44"/>
      <c r="D79" s="44"/>
      <c r="E79" s="66" t="s">
        <v>92</v>
      </c>
      <c r="F79" s="98">
        <v>361612.84</v>
      </c>
      <c r="G79" s="59"/>
    </row>
    <row r="80" spans="1:7" ht="13.5" customHeight="1">
      <c r="A80" s="44"/>
      <c r="B80" s="54"/>
      <c r="C80" s="44"/>
      <c r="D80" s="44"/>
      <c r="E80" s="66" t="s">
        <v>72</v>
      </c>
      <c r="F80" s="100">
        <v>2478.3</v>
      </c>
      <c r="G80" s="59"/>
    </row>
    <row r="81" spans="1:7" ht="13.5" customHeight="1">
      <c r="A81" s="44"/>
      <c r="B81" s="54"/>
      <c r="C81" s="44"/>
      <c r="D81" s="44"/>
      <c r="E81" s="66" t="s">
        <v>90</v>
      </c>
      <c r="F81" s="98">
        <v>537755.38</v>
      </c>
      <c r="G81" s="59"/>
    </row>
    <row r="82" spans="1:7" ht="12.75" customHeight="1">
      <c r="A82" s="44"/>
      <c r="B82" s="54"/>
      <c r="C82" s="44"/>
      <c r="D82" s="44"/>
      <c r="E82" s="66" t="s">
        <v>91</v>
      </c>
      <c r="F82" s="98">
        <v>2801.28</v>
      </c>
      <c r="G82" s="59"/>
    </row>
    <row r="83" spans="1:7" ht="12.75" customHeight="1">
      <c r="A83" s="44"/>
      <c r="B83" s="54"/>
      <c r="C83" s="44"/>
      <c r="D83" s="44"/>
      <c r="E83" s="66" t="s">
        <v>159</v>
      </c>
      <c r="F83" s="98">
        <v>57734.48</v>
      </c>
      <c r="G83" s="59"/>
    </row>
    <row r="84" spans="1:7" ht="12.75" customHeight="1">
      <c r="A84" s="44"/>
      <c r="B84" s="54"/>
      <c r="C84" s="44"/>
      <c r="D84" s="44"/>
      <c r="E84" s="66" t="s">
        <v>160</v>
      </c>
      <c r="F84" s="98">
        <v>5003.25</v>
      </c>
      <c r="G84" s="59"/>
    </row>
    <row r="85" spans="1:7" ht="12.75" customHeight="1">
      <c r="A85" s="44"/>
      <c r="B85" s="54"/>
      <c r="C85" s="44"/>
      <c r="D85" s="44"/>
      <c r="E85" s="66" t="s">
        <v>201</v>
      </c>
      <c r="F85" s="98">
        <f>(192155.07+91855.09-4177.79)*55.64/100</f>
        <v>155698.73066800003</v>
      </c>
      <c r="G85" s="59"/>
    </row>
    <row r="86" spans="1:7" ht="12.75" customHeight="1">
      <c r="A86" s="44"/>
      <c r="B86" s="54"/>
      <c r="C86" s="44" t="s">
        <v>20</v>
      </c>
      <c r="D86" s="44"/>
      <c r="E86" s="65"/>
      <c r="F86" s="93">
        <f>SUM(F87:F89)</f>
        <v>14372.149000000001</v>
      </c>
      <c r="G86" s="59"/>
    </row>
    <row r="87" spans="1:7" ht="12.75" customHeight="1">
      <c r="A87" s="44"/>
      <c r="B87" s="54"/>
      <c r="C87" s="44"/>
      <c r="D87" s="44"/>
      <c r="E87" s="65" t="s">
        <v>126</v>
      </c>
      <c r="F87" s="101">
        <v>91.7</v>
      </c>
      <c r="G87" s="59"/>
    </row>
    <row r="88" spans="1:7" ht="12.75" customHeight="1">
      <c r="A88" s="44"/>
      <c r="B88" s="54"/>
      <c r="C88" s="44"/>
      <c r="D88" s="44"/>
      <c r="E88" s="66" t="s">
        <v>93</v>
      </c>
      <c r="F88" s="98">
        <v>11096.45</v>
      </c>
      <c r="G88" s="59"/>
    </row>
    <row r="89" spans="1:7" ht="12.75" customHeight="1">
      <c r="A89" s="44"/>
      <c r="B89" s="54"/>
      <c r="C89" s="44"/>
      <c r="D89" s="44"/>
      <c r="E89" s="66" t="s">
        <v>200</v>
      </c>
      <c r="F89" s="98">
        <f>5722.5*55.64/100</f>
        <v>3183.9990000000003</v>
      </c>
      <c r="G89" s="59"/>
    </row>
    <row r="90" spans="1:7" ht="12.75" customHeight="1">
      <c r="A90" s="44"/>
      <c r="B90" s="54"/>
      <c r="C90" s="44" t="s">
        <v>21</v>
      </c>
      <c r="D90" s="44"/>
      <c r="E90" s="65"/>
      <c r="F90" s="97">
        <f>SUM(F91:F95)</f>
        <v>1315018.2568799998</v>
      </c>
      <c r="G90" s="59"/>
    </row>
    <row r="91" spans="1:7" ht="12.75" customHeight="1">
      <c r="A91" s="44"/>
      <c r="B91" s="54"/>
      <c r="D91" s="67" t="s">
        <v>22</v>
      </c>
      <c r="E91" s="68"/>
      <c r="F91" s="98">
        <f>(759240.45+9477.25+19922.38+9797.96+38206.42)+((156598.12+3060+6461.31+3135.35+26557.42+67700)*55.64/100)+1542.87+0.04-1228.85</f>
        <v>983576.70808</v>
      </c>
      <c r="G91" s="59"/>
    </row>
    <row r="92" spans="1:7" ht="12.75" customHeight="1">
      <c r="A92" s="44"/>
      <c r="B92" s="54"/>
      <c r="D92" s="67" t="s">
        <v>23</v>
      </c>
      <c r="E92" s="68"/>
      <c r="F92" s="98">
        <f>(191294.6+2418.1+5083.2+2449.49+9739.81)+((28726.58+768.92+1623.1+783.84+5280.25+12300)*55.64/100)</f>
        <v>238517.368716</v>
      </c>
      <c r="G92" s="59"/>
    </row>
    <row r="93" spans="1:7" ht="12.75" customHeight="1">
      <c r="A93" s="44"/>
      <c r="B93" s="54"/>
      <c r="D93" s="67" t="s">
        <v>24</v>
      </c>
      <c r="E93" s="68"/>
      <c r="F93" s="98">
        <f>64002.79+((12334.31+5500)*55.64/100)</f>
        <v>73925.800084</v>
      </c>
      <c r="G93" s="59"/>
    </row>
    <row r="94" spans="1:7" ht="12.75" customHeight="1">
      <c r="A94" s="44"/>
      <c r="B94" s="54"/>
      <c r="D94" s="67" t="s">
        <v>25</v>
      </c>
      <c r="E94" s="68"/>
      <c r="F94" s="98">
        <v>0</v>
      </c>
      <c r="G94" s="59"/>
    </row>
    <row r="95" spans="1:7" ht="12.75" customHeight="1">
      <c r="A95" s="44"/>
      <c r="B95" s="54"/>
      <c r="D95" s="67" t="s">
        <v>26</v>
      </c>
      <c r="E95" s="68"/>
      <c r="F95" s="98">
        <f>4535.63+14462.75</f>
        <v>18998.38</v>
      </c>
      <c r="G95" s="59"/>
    </row>
    <row r="96" spans="1:7" ht="12.75" customHeight="1">
      <c r="A96" s="44"/>
      <c r="B96" s="54"/>
      <c r="C96" s="44" t="s">
        <v>27</v>
      </c>
      <c r="D96" s="44"/>
      <c r="E96" s="65"/>
      <c r="F96" s="97">
        <f>SUM(F97:F101)</f>
        <v>102964.418244</v>
      </c>
      <c r="G96" s="59"/>
    </row>
    <row r="97" spans="1:7" ht="12.75" customHeight="1">
      <c r="A97" s="44"/>
      <c r="B97" s="54"/>
      <c r="C97" s="44"/>
      <c r="D97" s="67" t="s">
        <v>28</v>
      </c>
      <c r="E97" s="68"/>
      <c r="F97" s="98">
        <f>8005.11+(2448.47*55.64/100)</f>
        <v>9367.438708</v>
      </c>
      <c r="G97" s="59"/>
    </row>
    <row r="98" spans="1:7" ht="12.75" customHeight="1">
      <c r="A98" s="44"/>
      <c r="B98" s="54"/>
      <c r="D98" s="67" t="s">
        <v>29</v>
      </c>
      <c r="E98" s="69"/>
      <c r="F98" s="98">
        <f>92739.99+(1540.24*55.64/100)</f>
        <v>93596.979536</v>
      </c>
      <c r="G98" s="59"/>
    </row>
    <row r="99" spans="1:7" ht="12.75" customHeight="1">
      <c r="A99" s="44"/>
      <c r="B99" s="54"/>
      <c r="D99" s="67" t="s">
        <v>31</v>
      </c>
      <c r="E99" s="68"/>
      <c r="F99" s="98">
        <v>0</v>
      </c>
      <c r="G99" s="59"/>
    </row>
    <row r="100" spans="1:7" ht="12.75" customHeight="1">
      <c r="A100" s="44"/>
      <c r="B100" s="54"/>
      <c r="D100" s="67" t="s">
        <v>32</v>
      </c>
      <c r="E100" s="68"/>
      <c r="F100" s="98"/>
      <c r="G100" s="59"/>
    </row>
    <row r="101" spans="1:7" ht="12.75" customHeight="1">
      <c r="A101" s="44"/>
      <c r="B101" s="54"/>
      <c r="D101" s="67"/>
      <c r="E101" s="69" t="s">
        <v>33</v>
      </c>
      <c r="F101" s="98">
        <v>0</v>
      </c>
      <c r="G101" s="59"/>
    </row>
    <row r="102" spans="1:7" ht="12.75" customHeight="1">
      <c r="A102" s="44"/>
      <c r="B102" s="54"/>
      <c r="C102" s="44" t="s">
        <v>34</v>
      </c>
      <c r="D102" s="44"/>
      <c r="E102" s="65"/>
      <c r="F102" s="95"/>
      <c r="G102" s="59"/>
    </row>
    <row r="103" spans="1:7" ht="12.75" customHeight="1">
      <c r="A103" s="44"/>
      <c r="B103" s="54"/>
      <c r="D103" s="44"/>
      <c r="E103" s="70" t="s">
        <v>35</v>
      </c>
      <c r="F103" s="95">
        <v>0</v>
      </c>
      <c r="G103" s="59"/>
    </row>
    <row r="104" spans="1:7" ht="12.75" customHeight="1">
      <c r="A104" s="44"/>
      <c r="B104" s="54"/>
      <c r="C104" s="44" t="s">
        <v>36</v>
      </c>
      <c r="D104" s="44"/>
      <c r="E104" s="65"/>
      <c r="F104" s="95">
        <v>0</v>
      </c>
      <c r="G104" s="59"/>
    </row>
    <row r="105" spans="1:7" ht="12.75" customHeight="1">
      <c r="A105" s="44"/>
      <c r="B105" s="54"/>
      <c r="C105" s="44" t="s">
        <v>37</v>
      </c>
      <c r="D105" s="44"/>
      <c r="E105" s="65"/>
      <c r="F105" s="95">
        <v>0</v>
      </c>
      <c r="G105" s="59"/>
    </row>
    <row r="106" spans="1:7" ht="12.75" customHeight="1">
      <c r="A106" s="44"/>
      <c r="B106" s="54"/>
      <c r="C106" s="44" t="s">
        <v>38</v>
      </c>
      <c r="D106" s="44"/>
      <c r="E106" s="65"/>
      <c r="F106" s="95">
        <f>SUM(F107:F113)</f>
        <v>36761.007364000005</v>
      </c>
      <c r="G106" s="59"/>
    </row>
    <row r="107" spans="1:7" ht="12.75" customHeight="1">
      <c r="A107" s="44"/>
      <c r="B107" s="54"/>
      <c r="C107" s="44"/>
      <c r="D107" s="44"/>
      <c r="E107" s="65" t="s">
        <v>127</v>
      </c>
      <c r="F107" s="103">
        <v>1701.02</v>
      </c>
      <c r="G107" s="59"/>
    </row>
    <row r="108" spans="1:7" ht="12.75" customHeight="1">
      <c r="A108" s="44"/>
      <c r="B108" s="54"/>
      <c r="C108" s="44"/>
      <c r="D108" s="44"/>
      <c r="E108" s="71" t="s">
        <v>128</v>
      </c>
      <c r="F108" s="103">
        <v>237.55</v>
      </c>
      <c r="G108" s="59"/>
    </row>
    <row r="109" spans="1:7" ht="12.75" customHeight="1">
      <c r="A109" s="44"/>
      <c r="B109" s="54"/>
      <c r="C109" s="44"/>
      <c r="D109" s="44"/>
      <c r="E109" s="66" t="s">
        <v>62</v>
      </c>
      <c r="F109" s="103">
        <v>30113.81</v>
      </c>
      <c r="G109" s="59"/>
    </row>
    <row r="110" spans="1:7" ht="12.75" customHeight="1">
      <c r="A110" s="44"/>
      <c r="B110" s="54"/>
      <c r="C110" s="44"/>
      <c r="D110" s="44"/>
      <c r="E110" s="66" t="s">
        <v>63</v>
      </c>
      <c r="F110" s="103">
        <v>515.3</v>
      </c>
      <c r="G110" s="59"/>
    </row>
    <row r="111" spans="1:7" ht="13.5" customHeight="1">
      <c r="A111" s="44"/>
      <c r="B111" s="54"/>
      <c r="C111" s="44"/>
      <c r="D111" s="44" t="s">
        <v>0</v>
      </c>
      <c r="E111" s="66" t="s">
        <v>57</v>
      </c>
      <c r="F111" s="98">
        <v>135.98</v>
      </c>
      <c r="G111" s="59"/>
    </row>
    <row r="112" spans="1:7" ht="12.75" customHeight="1">
      <c r="A112" s="44"/>
      <c r="B112" s="54"/>
      <c r="C112" s="44"/>
      <c r="D112" s="44" t="s">
        <v>0</v>
      </c>
      <c r="E112" s="66" t="s">
        <v>129</v>
      </c>
      <c r="F112" s="98">
        <v>37.63</v>
      </c>
      <c r="G112" s="59"/>
    </row>
    <row r="113" spans="1:7" ht="12.75" customHeight="1">
      <c r="A113" s="44"/>
      <c r="B113" s="54"/>
      <c r="C113" s="44"/>
      <c r="D113" s="44"/>
      <c r="E113" s="66" t="s">
        <v>201</v>
      </c>
      <c r="F113" s="102">
        <f>(7224.51*55.64/100)</f>
        <v>4019.717364</v>
      </c>
      <c r="G113" s="59"/>
    </row>
    <row r="114" spans="1:7" ht="12.75" customHeight="1">
      <c r="A114" s="44"/>
      <c r="B114" s="54"/>
      <c r="C114" s="44"/>
      <c r="D114" s="44"/>
      <c r="E114" s="70"/>
      <c r="F114" s="95" t="s">
        <v>0</v>
      </c>
      <c r="G114" s="59"/>
    </row>
    <row r="115" spans="1:7" ht="12.75" customHeight="1">
      <c r="A115" s="72"/>
      <c r="B115" s="57" t="s">
        <v>39</v>
      </c>
      <c r="C115" s="73"/>
      <c r="D115" s="73"/>
      <c r="E115" s="66"/>
      <c r="F115" s="95" t="s">
        <v>0</v>
      </c>
      <c r="G115" s="106">
        <f>G19+G36</f>
        <v>-163345.79634399991</v>
      </c>
    </row>
    <row r="116" spans="1:7" ht="12.75" customHeight="1">
      <c r="A116" s="44"/>
      <c r="B116" s="74" t="s">
        <v>40</v>
      </c>
      <c r="C116" s="44"/>
      <c r="D116" s="44"/>
      <c r="E116" s="70"/>
      <c r="F116" s="95" t="s">
        <v>0</v>
      </c>
      <c r="G116" s="75"/>
    </row>
    <row r="117" spans="2:7" ht="12" customHeight="1">
      <c r="B117" s="76"/>
      <c r="E117" s="65"/>
      <c r="F117" s="95" t="s">
        <v>0</v>
      </c>
      <c r="G117" s="75"/>
    </row>
    <row r="118" spans="2:7" ht="12" customHeight="1">
      <c r="B118" s="57" t="s">
        <v>80</v>
      </c>
      <c r="C118" s="62"/>
      <c r="D118" s="62"/>
      <c r="E118" s="77"/>
      <c r="F118" s="96"/>
      <c r="G118" s="107">
        <f>SUM(F120:F122)</f>
        <v>-10098.164808000001</v>
      </c>
    </row>
    <row r="119" spans="2:7" ht="12">
      <c r="B119" s="76"/>
      <c r="E119" s="65"/>
      <c r="F119" s="95"/>
      <c r="G119" s="75"/>
    </row>
    <row r="120" spans="2:7" ht="12">
      <c r="B120" s="54"/>
      <c r="C120" s="44" t="s">
        <v>77</v>
      </c>
      <c r="D120" s="44"/>
      <c r="E120" s="65"/>
      <c r="F120" s="93">
        <v>0</v>
      </c>
      <c r="G120" s="75"/>
    </row>
    <row r="121" spans="2:7" ht="12">
      <c r="B121" s="76"/>
      <c r="C121" s="44" t="s">
        <v>78</v>
      </c>
      <c r="E121" s="65"/>
      <c r="F121" s="95">
        <f>-104.4-32.97-(22144.01*55.64/100)</f>
        <v>-12458.297164000001</v>
      </c>
      <c r="G121" s="75"/>
    </row>
    <row r="122" spans="2:7" ht="12">
      <c r="B122" s="76"/>
      <c r="C122" s="44" t="s">
        <v>79</v>
      </c>
      <c r="E122" s="65"/>
      <c r="F122" s="95">
        <f>23.33+12.28+(4177.79*55.64/100)</f>
        <v>2360.132356</v>
      </c>
      <c r="G122" s="75"/>
    </row>
    <row r="123" spans="2:7" ht="12">
      <c r="B123" s="76"/>
      <c r="E123" s="65"/>
      <c r="F123" s="95"/>
      <c r="G123" s="75"/>
    </row>
    <row r="124" spans="2:7" ht="12">
      <c r="B124" s="57" t="s">
        <v>81</v>
      </c>
      <c r="C124" s="62"/>
      <c r="D124" s="62"/>
      <c r="E124" s="77"/>
      <c r="F124" s="96">
        <v>0</v>
      </c>
      <c r="G124" s="78">
        <v>0</v>
      </c>
    </row>
    <row r="125" spans="2:7" ht="12">
      <c r="B125" s="76"/>
      <c r="E125" s="65"/>
      <c r="F125" s="95"/>
      <c r="G125" s="75"/>
    </row>
    <row r="126" spans="2:7" ht="12">
      <c r="B126" s="57" t="s">
        <v>76</v>
      </c>
      <c r="C126" s="62"/>
      <c r="D126" s="62"/>
      <c r="E126" s="77"/>
      <c r="F126" s="96"/>
      <c r="G126" s="107">
        <f>SUM(F128:F129)</f>
        <v>36397.751696</v>
      </c>
    </row>
    <row r="127" spans="2:7" ht="12">
      <c r="B127" s="76"/>
      <c r="E127" s="65"/>
      <c r="F127" s="95"/>
      <c r="G127" s="75"/>
    </row>
    <row r="128" spans="2:7" ht="12">
      <c r="B128" s="76"/>
      <c r="C128" s="44" t="s">
        <v>82</v>
      </c>
      <c r="E128" s="65"/>
      <c r="F128" s="95">
        <v>-7204.57</v>
      </c>
      <c r="G128" s="75"/>
    </row>
    <row r="129" spans="2:7" ht="12">
      <c r="B129" s="76"/>
      <c r="C129" s="44" t="s">
        <v>83</v>
      </c>
      <c r="E129" s="65"/>
      <c r="F129" s="95">
        <f>39402.9+1228.85+32.98+(4079.64+1200)*55.64/100</f>
        <v>43602.321696</v>
      </c>
      <c r="G129" s="75"/>
    </row>
    <row r="130" spans="2:7" ht="12">
      <c r="B130" s="76"/>
      <c r="E130" s="65"/>
      <c r="F130" s="95"/>
      <c r="G130" s="75"/>
    </row>
    <row r="131" spans="2:7" ht="12">
      <c r="B131" s="79" t="s">
        <v>84</v>
      </c>
      <c r="C131" s="63"/>
      <c r="D131" s="63"/>
      <c r="E131" s="77"/>
      <c r="F131" s="95">
        <f>(114854.73*55.64/100)+0.01</f>
        <v>63905.181772</v>
      </c>
      <c r="G131" s="107">
        <f>F131</f>
        <v>63905.181772</v>
      </c>
    </row>
    <row r="132" spans="2:7" ht="12">
      <c r="B132" s="76"/>
      <c r="E132" s="65"/>
      <c r="F132" s="95"/>
      <c r="G132" s="75"/>
    </row>
    <row r="133" spans="2:7" ht="12.75">
      <c r="B133" s="57"/>
      <c r="E133" s="80" t="s">
        <v>85</v>
      </c>
      <c r="F133" s="95"/>
      <c r="G133" s="108">
        <f>G115-G118-G124-G126-G131+0.03</f>
        <v>-253550.53500399992</v>
      </c>
    </row>
    <row r="134" spans="2:7" ht="12">
      <c r="B134" s="81"/>
      <c r="C134" s="82"/>
      <c r="D134" s="82"/>
      <c r="E134" s="83"/>
      <c r="F134" s="84"/>
      <c r="G134" s="8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2" manualBreakCount="2">
    <brk id="49" max="7" man="1"/>
    <brk id="10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50">
      <selection activeCell="F82" sqref="F8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103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17789.06899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17615.9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110</v>
      </c>
      <c r="F21" s="94">
        <v>17615.9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SUM(F28:F28)</f>
        <v>173.16899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199</v>
      </c>
      <c r="F28" s="94">
        <f>173168.99*0.1/100</f>
        <v>173.16899</v>
      </c>
      <c r="G28" s="112"/>
    </row>
    <row r="29" spans="1:7" ht="12.75" customHeight="1">
      <c r="A29" s="44"/>
      <c r="B29" s="54"/>
      <c r="C29" s="44"/>
      <c r="D29" s="44"/>
      <c r="E29" s="44"/>
      <c r="F29" s="95"/>
      <c r="G29" s="111"/>
    </row>
    <row r="30" spans="1:7" s="64" customFormat="1" ht="12.75" customHeight="1">
      <c r="A30" s="62"/>
      <c r="B30" s="57" t="s">
        <v>16</v>
      </c>
      <c r="C30" s="62"/>
      <c r="D30" s="62"/>
      <c r="E30" s="63"/>
      <c r="F30" s="96"/>
      <c r="G30" s="105">
        <f>-(F32+F36+F45+F47+F53+F60+F61+F62+F63)</f>
        <v>-19157.407540000004</v>
      </c>
    </row>
    <row r="31" spans="1:7" ht="12.75" customHeight="1">
      <c r="A31" s="44"/>
      <c r="B31" s="54"/>
      <c r="C31" s="44" t="s">
        <v>17</v>
      </c>
      <c r="D31" s="44"/>
      <c r="F31" s="95" t="s">
        <v>0</v>
      </c>
      <c r="G31" s="111"/>
    </row>
    <row r="32" spans="1:7" ht="12.75" customHeight="1">
      <c r="A32" s="44"/>
      <c r="B32" s="54"/>
      <c r="D32" s="44" t="s">
        <v>18</v>
      </c>
      <c r="E32" s="65"/>
      <c r="F32" s="97">
        <f>SUM(F33:F35)</f>
        <v>4917.85816</v>
      </c>
      <c r="G32" s="111"/>
    </row>
    <row r="33" spans="1:7" ht="12.75" customHeight="1">
      <c r="A33" s="44"/>
      <c r="B33" s="54"/>
      <c r="D33" s="44"/>
      <c r="E33" s="65" t="s">
        <v>183</v>
      </c>
      <c r="F33" s="97">
        <v>126</v>
      </c>
      <c r="G33" s="111"/>
    </row>
    <row r="34" spans="1:7" ht="12.75" customHeight="1">
      <c r="A34" s="44"/>
      <c r="B34" s="54"/>
      <c r="C34" s="44"/>
      <c r="D34" s="44"/>
      <c r="E34" s="66" t="s">
        <v>73</v>
      </c>
      <c r="F34" s="98">
        <v>4780.55</v>
      </c>
      <c r="G34" s="111"/>
    </row>
    <row r="35" spans="1:7" ht="12.75" customHeight="1">
      <c r="A35" s="44"/>
      <c r="B35" s="54"/>
      <c r="D35" s="44"/>
      <c r="E35" s="65" t="s">
        <v>200</v>
      </c>
      <c r="F35" s="99">
        <f>11308.16*0.1/100</f>
        <v>11.30816</v>
      </c>
      <c r="G35" s="111"/>
    </row>
    <row r="36" spans="1:7" ht="12.75" customHeight="1">
      <c r="A36" s="44"/>
      <c r="B36" s="54"/>
      <c r="C36" s="44" t="s">
        <v>19</v>
      </c>
      <c r="D36" s="44"/>
      <c r="E36" s="65"/>
      <c r="F36" s="97">
        <f>SUM(F37:F44)</f>
        <v>13816.792370000003</v>
      </c>
      <c r="G36" s="111"/>
    </row>
    <row r="37" spans="1:7" ht="12.75" customHeight="1">
      <c r="A37" s="44"/>
      <c r="B37" s="54"/>
      <c r="C37" s="44"/>
      <c r="D37" s="44"/>
      <c r="E37" s="66" t="s">
        <v>223</v>
      </c>
      <c r="F37" s="97">
        <v>2431</v>
      </c>
      <c r="G37" s="111"/>
    </row>
    <row r="38" spans="1:7" ht="12.75" customHeight="1">
      <c r="A38" s="44"/>
      <c r="B38" s="54"/>
      <c r="C38" s="44"/>
      <c r="D38" s="44"/>
      <c r="E38" s="66" t="s">
        <v>133</v>
      </c>
      <c r="F38" s="98">
        <v>4717.18</v>
      </c>
      <c r="G38" s="111"/>
    </row>
    <row r="39" spans="1:7" ht="12.75" customHeight="1">
      <c r="A39" s="44"/>
      <c r="B39" s="54"/>
      <c r="C39" s="44"/>
      <c r="D39" s="44"/>
      <c r="E39" s="66" t="s">
        <v>146</v>
      </c>
      <c r="F39" s="98">
        <v>906.35</v>
      </c>
      <c r="G39" s="111"/>
    </row>
    <row r="40" spans="1:7" ht="12.75" customHeight="1">
      <c r="A40" s="44"/>
      <c r="B40" s="54"/>
      <c r="C40" s="44"/>
      <c r="D40" s="44"/>
      <c r="E40" s="66" t="s">
        <v>123</v>
      </c>
      <c r="F40" s="98">
        <v>278.2</v>
      </c>
      <c r="G40" s="111"/>
    </row>
    <row r="41" spans="1:7" ht="12.75" customHeight="1">
      <c r="A41" s="44"/>
      <c r="B41" s="54"/>
      <c r="C41" s="44"/>
      <c r="D41" s="44"/>
      <c r="E41" s="66" t="s">
        <v>124</v>
      </c>
      <c r="F41" s="98">
        <v>1911.44</v>
      </c>
      <c r="G41" s="111"/>
    </row>
    <row r="42" spans="1:7" ht="12.75" customHeight="1">
      <c r="A42" s="44"/>
      <c r="B42" s="54"/>
      <c r="C42" s="44"/>
      <c r="D42" s="44"/>
      <c r="E42" s="66" t="s">
        <v>224</v>
      </c>
      <c r="F42" s="98">
        <v>18.04</v>
      </c>
      <c r="G42" s="111"/>
    </row>
    <row r="43" spans="1:7" ht="12.75" customHeight="1">
      <c r="A43" s="44"/>
      <c r="B43" s="54"/>
      <c r="C43" s="44"/>
      <c r="D43" s="44"/>
      <c r="E43" s="66" t="s">
        <v>74</v>
      </c>
      <c r="F43" s="98">
        <v>3274.75</v>
      </c>
      <c r="G43" s="111"/>
    </row>
    <row r="44" spans="1:7" ht="12.75" customHeight="1">
      <c r="A44" s="44"/>
      <c r="B44" s="54"/>
      <c r="C44" s="44"/>
      <c r="D44" s="44"/>
      <c r="E44" s="66" t="s">
        <v>201</v>
      </c>
      <c r="F44" s="98">
        <f>(192155.07+91855.09-4177.79)*0.1/100</f>
        <v>279.8323700000001</v>
      </c>
      <c r="G44" s="111"/>
    </row>
    <row r="45" spans="1:7" ht="12.75" customHeight="1">
      <c r="A45" s="44"/>
      <c r="B45" s="54"/>
      <c r="C45" s="44" t="s">
        <v>20</v>
      </c>
      <c r="D45" s="44"/>
      <c r="E45" s="65"/>
      <c r="F45" s="93">
        <f>SUM(F46)</f>
        <v>5.7225</v>
      </c>
      <c r="G45" s="111"/>
    </row>
    <row r="46" spans="1:7" ht="12.75" customHeight="1">
      <c r="A46" s="44"/>
      <c r="B46" s="54"/>
      <c r="C46" s="44"/>
      <c r="D46" s="44"/>
      <c r="E46" s="65" t="s">
        <v>200</v>
      </c>
      <c r="F46" s="102">
        <f>5722.5*0.1/100</f>
        <v>5.7225</v>
      </c>
      <c r="G46" s="111"/>
    </row>
    <row r="47" spans="1:7" ht="12.75" customHeight="1">
      <c r="A47" s="44"/>
      <c r="B47" s="54"/>
      <c r="C47" s="44" t="s">
        <v>21</v>
      </c>
      <c r="D47" s="44"/>
      <c r="E47" s="65"/>
      <c r="F47" s="97">
        <f>SUM(F48:F52)</f>
        <v>305.58</v>
      </c>
      <c r="G47" s="111"/>
    </row>
    <row r="48" spans="1:7" ht="12.75" customHeight="1">
      <c r="A48" s="44"/>
      <c r="B48" s="54"/>
      <c r="D48" s="67" t="s">
        <v>22</v>
      </c>
      <c r="E48" s="68"/>
      <c r="F48" s="98">
        <v>0</v>
      </c>
      <c r="G48" s="111"/>
    </row>
    <row r="49" spans="1:7" ht="12.75" customHeight="1">
      <c r="A49" s="44"/>
      <c r="B49" s="54"/>
      <c r="D49" s="67" t="s">
        <v>23</v>
      </c>
      <c r="E49" s="68"/>
      <c r="F49" s="98">
        <v>0</v>
      </c>
      <c r="G49" s="111"/>
    </row>
    <row r="50" spans="1:7" ht="12.75" customHeight="1">
      <c r="A50" s="44"/>
      <c r="B50" s="54"/>
      <c r="D50" s="67" t="s">
        <v>24</v>
      </c>
      <c r="E50" s="68"/>
      <c r="F50" s="98">
        <v>0</v>
      </c>
      <c r="G50" s="111"/>
    </row>
    <row r="51" spans="1:7" ht="12.75" customHeight="1">
      <c r="A51" s="44"/>
      <c r="B51" s="54"/>
      <c r="D51" s="67" t="s">
        <v>25</v>
      </c>
      <c r="E51" s="68"/>
      <c r="F51" s="98">
        <v>0</v>
      </c>
      <c r="G51" s="111"/>
    </row>
    <row r="52" spans="1:7" ht="12.75" customHeight="1">
      <c r="A52" s="44"/>
      <c r="B52" s="54"/>
      <c r="D52" s="67" t="s">
        <v>130</v>
      </c>
      <c r="E52" s="68"/>
      <c r="F52" s="98">
        <v>305.58</v>
      </c>
      <c r="G52" s="111"/>
    </row>
    <row r="53" spans="1:7" ht="12.75" customHeight="1">
      <c r="A53" s="44"/>
      <c r="B53" s="54"/>
      <c r="C53" s="44" t="s">
        <v>27</v>
      </c>
      <c r="D53" s="44"/>
      <c r="E53" s="65"/>
      <c r="F53" s="97">
        <f>SUM(F54:F58)</f>
        <v>0</v>
      </c>
      <c r="G53" s="111"/>
    </row>
    <row r="54" spans="1:7" ht="12.75" customHeight="1">
      <c r="A54" s="44"/>
      <c r="B54" s="54"/>
      <c r="C54" s="44"/>
      <c r="D54" s="67" t="s">
        <v>28</v>
      </c>
      <c r="E54" s="68"/>
      <c r="F54" s="98">
        <v>0</v>
      </c>
      <c r="G54" s="111"/>
    </row>
    <row r="55" spans="1:7" ht="12.75" customHeight="1">
      <c r="A55" s="44"/>
      <c r="B55" s="54"/>
      <c r="D55" s="67" t="s">
        <v>29</v>
      </c>
      <c r="E55" s="69"/>
      <c r="F55" s="98">
        <v>0</v>
      </c>
      <c r="G55" s="111"/>
    </row>
    <row r="56" spans="1:7" ht="12.75" customHeight="1">
      <c r="A56" s="44"/>
      <c r="B56" s="54"/>
      <c r="D56" s="67" t="s">
        <v>31</v>
      </c>
      <c r="E56" s="68"/>
      <c r="F56" s="98">
        <v>0</v>
      </c>
      <c r="G56" s="111"/>
    </row>
    <row r="57" spans="1:7" ht="12.75" customHeight="1">
      <c r="A57" s="44"/>
      <c r="B57" s="54"/>
      <c r="D57" s="67" t="s">
        <v>32</v>
      </c>
      <c r="E57" s="68"/>
      <c r="F57" s="98"/>
      <c r="G57" s="111"/>
    </row>
    <row r="58" spans="1:7" ht="12.75" customHeight="1">
      <c r="A58" s="44"/>
      <c r="B58" s="54"/>
      <c r="D58" s="67"/>
      <c r="E58" s="69" t="s">
        <v>33</v>
      </c>
      <c r="F58" s="98">
        <v>0</v>
      </c>
      <c r="G58" s="111"/>
    </row>
    <row r="59" spans="1:7" ht="12.75" customHeight="1">
      <c r="A59" s="44"/>
      <c r="B59" s="54"/>
      <c r="C59" s="44" t="s">
        <v>34</v>
      </c>
      <c r="D59" s="44"/>
      <c r="E59" s="65"/>
      <c r="F59" s="95"/>
      <c r="G59" s="111"/>
    </row>
    <row r="60" spans="1:7" ht="12.75" customHeight="1">
      <c r="A60" s="44"/>
      <c r="B60" s="54"/>
      <c r="D60" s="44"/>
      <c r="E60" s="70" t="s">
        <v>35</v>
      </c>
      <c r="F60" s="95">
        <v>0</v>
      </c>
      <c r="G60" s="111"/>
    </row>
    <row r="61" spans="1:7" ht="12.75" customHeight="1">
      <c r="A61" s="44"/>
      <c r="B61" s="54"/>
      <c r="C61" s="44" t="s">
        <v>36</v>
      </c>
      <c r="D61" s="44"/>
      <c r="E61" s="65"/>
      <c r="F61" s="95">
        <v>0</v>
      </c>
      <c r="G61" s="111"/>
    </row>
    <row r="62" spans="1:7" ht="12.75" customHeight="1">
      <c r="A62" s="44"/>
      <c r="B62" s="54"/>
      <c r="C62" s="44" t="s">
        <v>37</v>
      </c>
      <c r="D62" s="44"/>
      <c r="E62" s="65"/>
      <c r="F62" s="95">
        <v>0</v>
      </c>
      <c r="G62" s="111"/>
    </row>
    <row r="63" spans="1:7" ht="12.75" customHeight="1">
      <c r="A63" s="44"/>
      <c r="B63" s="54"/>
      <c r="C63" s="44" t="s">
        <v>38</v>
      </c>
      <c r="D63" s="44"/>
      <c r="E63" s="65"/>
      <c r="F63" s="95">
        <f>SUM(F64:F65)</f>
        <v>111.45451</v>
      </c>
      <c r="G63" s="111"/>
    </row>
    <row r="64" spans="1:7" ht="12.75" customHeight="1">
      <c r="A64" s="44"/>
      <c r="B64" s="54"/>
      <c r="C64" s="44"/>
      <c r="D64" s="44"/>
      <c r="E64" s="65" t="s">
        <v>185</v>
      </c>
      <c r="F64" s="103">
        <v>104.23</v>
      </c>
      <c r="G64" s="111"/>
    </row>
    <row r="65" spans="1:7" ht="12.75" customHeight="1">
      <c r="A65" s="44"/>
      <c r="B65" s="54"/>
      <c r="C65" s="44"/>
      <c r="D65" s="44"/>
      <c r="E65" s="66" t="s">
        <v>201</v>
      </c>
      <c r="F65" s="102">
        <f>7224.51*0.1/100</f>
        <v>7.22451</v>
      </c>
      <c r="G65" s="111"/>
    </row>
    <row r="66" spans="1:7" ht="12.75" customHeight="1">
      <c r="A66" s="44"/>
      <c r="B66" s="54"/>
      <c r="C66" s="44"/>
      <c r="D66" s="44"/>
      <c r="E66" s="70"/>
      <c r="F66" s="95" t="s">
        <v>0</v>
      </c>
      <c r="G66" s="111"/>
    </row>
    <row r="67" spans="1:7" ht="12.75" customHeight="1">
      <c r="A67" s="72"/>
      <c r="B67" s="57" t="s">
        <v>39</v>
      </c>
      <c r="C67" s="73"/>
      <c r="D67" s="73"/>
      <c r="E67" s="66"/>
      <c r="F67" s="95" t="s">
        <v>0</v>
      </c>
      <c r="G67" s="106">
        <f>G19+G30</f>
        <v>-1368.338550000004</v>
      </c>
    </row>
    <row r="68" spans="1:7" ht="12.75" customHeight="1">
      <c r="A68" s="44"/>
      <c r="B68" s="74" t="s">
        <v>40</v>
      </c>
      <c r="C68" s="44"/>
      <c r="D68" s="44"/>
      <c r="E68" s="70"/>
      <c r="F68" s="95" t="s">
        <v>0</v>
      </c>
      <c r="G68" s="113"/>
    </row>
    <row r="69" spans="2:7" ht="12" customHeight="1">
      <c r="B69" s="76"/>
      <c r="E69" s="65"/>
      <c r="F69" s="95" t="s">
        <v>0</v>
      </c>
      <c r="G69" s="113"/>
    </row>
    <row r="70" spans="2:7" ht="12" customHeight="1">
      <c r="B70" s="57" t="s">
        <v>80</v>
      </c>
      <c r="C70" s="62"/>
      <c r="D70" s="62"/>
      <c r="E70" s="77"/>
      <c r="F70" s="96"/>
      <c r="G70" s="107">
        <f>SUM(F72:F74)</f>
        <v>4.17779</v>
      </c>
    </row>
    <row r="71" spans="2:7" ht="12">
      <c r="B71" s="76"/>
      <c r="E71" s="65"/>
      <c r="F71" s="95"/>
      <c r="G71" s="113"/>
    </row>
    <row r="72" spans="2:7" ht="12">
      <c r="B72" s="54"/>
      <c r="C72" s="44" t="s">
        <v>77</v>
      </c>
      <c r="D72" s="44"/>
      <c r="E72" s="65"/>
      <c r="F72" s="93">
        <v>0</v>
      </c>
      <c r="G72" s="113"/>
    </row>
    <row r="73" spans="2:7" ht="12">
      <c r="B73" s="76"/>
      <c r="C73" s="44" t="s">
        <v>78</v>
      </c>
      <c r="E73" s="65"/>
      <c r="F73" s="95">
        <v>0</v>
      </c>
      <c r="G73" s="113"/>
    </row>
    <row r="74" spans="2:7" ht="12">
      <c r="B74" s="76"/>
      <c r="C74" s="44" t="s">
        <v>79</v>
      </c>
      <c r="E74" s="65"/>
      <c r="F74" s="95">
        <f>(4177.79*0.1/100)</f>
        <v>4.17779</v>
      </c>
      <c r="G74" s="113"/>
    </row>
    <row r="75" spans="2:7" ht="12">
      <c r="B75" s="76"/>
      <c r="E75" s="65"/>
      <c r="F75" s="95"/>
      <c r="G75" s="113"/>
    </row>
    <row r="76" spans="2:7" ht="12">
      <c r="B76" s="57" t="s">
        <v>81</v>
      </c>
      <c r="C76" s="62"/>
      <c r="D76" s="62"/>
      <c r="E76" s="77"/>
      <c r="F76" s="96">
        <v>0</v>
      </c>
      <c r="G76" s="107">
        <v>0</v>
      </c>
    </row>
    <row r="77" spans="2:7" ht="12">
      <c r="B77" s="76"/>
      <c r="E77" s="65"/>
      <c r="F77" s="95"/>
      <c r="G77" s="113"/>
    </row>
    <row r="78" spans="2:7" ht="12">
      <c r="B78" s="57" t="s">
        <v>76</v>
      </c>
      <c r="C78" s="62"/>
      <c r="D78" s="62"/>
      <c r="E78" s="77"/>
      <c r="F78" s="96"/>
      <c r="G78" s="107">
        <f>SUM(F80:F81)</f>
        <v>1.2</v>
      </c>
    </row>
    <row r="79" spans="2:7" ht="12">
      <c r="B79" s="76"/>
      <c r="E79" s="65"/>
      <c r="F79" s="95"/>
      <c r="G79" s="113"/>
    </row>
    <row r="80" spans="2:7" ht="12">
      <c r="B80" s="76"/>
      <c r="C80" s="44" t="s">
        <v>82</v>
      </c>
      <c r="E80" s="65"/>
      <c r="F80" s="95">
        <v>0</v>
      </c>
      <c r="G80" s="113"/>
    </row>
    <row r="81" spans="2:7" ht="12">
      <c r="B81" s="76"/>
      <c r="C81" s="44" t="s">
        <v>83</v>
      </c>
      <c r="E81" s="65"/>
      <c r="F81" s="95">
        <f>1200*0.1/100</f>
        <v>1.2</v>
      </c>
      <c r="G81" s="113"/>
    </row>
    <row r="82" spans="2:7" ht="12">
      <c r="B82" s="76"/>
      <c r="E82" s="65"/>
      <c r="F82" s="95"/>
      <c r="G82" s="113"/>
    </row>
    <row r="83" spans="2:7" ht="12">
      <c r="B83" s="79" t="s">
        <v>84</v>
      </c>
      <c r="C83" s="63"/>
      <c r="D83" s="63"/>
      <c r="E83" s="77"/>
      <c r="F83" s="95">
        <f>114854.73*0.1/100</f>
        <v>114.85473</v>
      </c>
      <c r="G83" s="107">
        <f>F83</f>
        <v>114.85473</v>
      </c>
    </row>
    <row r="84" spans="2:7" ht="12">
      <c r="B84" s="76"/>
      <c r="E84" s="65"/>
      <c r="F84" s="95"/>
      <c r="G84" s="113"/>
    </row>
    <row r="85" spans="2:7" ht="12.75">
      <c r="B85" s="57"/>
      <c r="E85" s="80" t="s">
        <v>85</v>
      </c>
      <c r="F85" s="95"/>
      <c r="G85" s="108">
        <f>G67-G70-G76-G78-G83</f>
        <v>-1488.571070000004</v>
      </c>
    </row>
    <row r="86" spans="2:7" ht="12">
      <c r="B86" s="81"/>
      <c r="C86" s="82"/>
      <c r="D86" s="82"/>
      <c r="E86" s="83"/>
      <c r="F86" s="114"/>
      <c r="G86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67">
      <selection activeCell="F102" sqref="F10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186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328138.695773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245397.11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147</v>
      </c>
      <c r="F21" s="118">
        <v>111568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187</v>
      </c>
      <c r="F22" s="94">
        <v>133829.11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SUM(F29:F32)</f>
        <v>82741.585773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54</v>
      </c>
      <c r="F29" s="94">
        <v>49810.14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117</v>
      </c>
      <c r="F30" s="94">
        <v>23779.64</v>
      </c>
      <c r="G30" s="112"/>
    </row>
    <row r="31" spans="1:7" ht="12.75" customHeight="1">
      <c r="A31" s="44"/>
      <c r="B31" s="54"/>
      <c r="C31" s="44"/>
      <c r="D31" s="60" t="s">
        <v>30</v>
      </c>
      <c r="E31" s="45" t="s">
        <v>112</v>
      </c>
      <c r="F31" s="94">
        <v>25.8</v>
      </c>
      <c r="G31" s="112"/>
    </row>
    <row r="32" spans="1:7" ht="12.75" customHeight="1">
      <c r="A32" s="44"/>
      <c r="B32" s="54"/>
      <c r="C32" s="44"/>
      <c r="D32" s="60" t="s">
        <v>30</v>
      </c>
      <c r="E32" s="45" t="s">
        <v>199</v>
      </c>
      <c r="F32" s="94">
        <f>173168.99*5.27/100</f>
        <v>9126.005772999999</v>
      </c>
      <c r="G32" s="112"/>
    </row>
    <row r="33" spans="1:7" ht="12.75" customHeight="1">
      <c r="A33" s="44"/>
      <c r="B33" s="54"/>
      <c r="C33" s="44"/>
      <c r="D33" s="44"/>
      <c r="E33" s="44"/>
      <c r="F33" s="95"/>
      <c r="G33" s="111"/>
    </row>
    <row r="34" spans="1:7" s="64" customFormat="1" ht="12.75" customHeight="1">
      <c r="A34" s="62"/>
      <c r="B34" s="57" t="s">
        <v>16</v>
      </c>
      <c r="C34" s="62"/>
      <c r="D34" s="62"/>
      <c r="E34" s="63"/>
      <c r="F34" s="96"/>
      <c r="G34" s="105">
        <f>-(F36+F43+F60+F64+F70+F77+F78+F79+F80)</f>
        <v>-316468.197215</v>
      </c>
    </row>
    <row r="35" spans="1:7" ht="12.75" customHeight="1">
      <c r="A35" s="44"/>
      <c r="B35" s="54"/>
      <c r="C35" s="44" t="s">
        <v>17</v>
      </c>
      <c r="D35" s="44"/>
      <c r="F35" s="95" t="s">
        <v>0</v>
      </c>
      <c r="G35" s="111"/>
    </row>
    <row r="36" spans="1:7" ht="12.75" customHeight="1">
      <c r="A36" s="44"/>
      <c r="B36" s="54"/>
      <c r="D36" s="44" t="s">
        <v>18</v>
      </c>
      <c r="E36" s="65"/>
      <c r="F36" s="97">
        <f>SUM(F37:F42)</f>
        <v>23127.730032</v>
      </c>
      <c r="G36" s="111"/>
    </row>
    <row r="37" spans="1:7" ht="12.75" customHeight="1">
      <c r="A37" s="44"/>
      <c r="B37" s="54"/>
      <c r="D37" s="44"/>
      <c r="E37" s="65" t="s">
        <v>164</v>
      </c>
      <c r="F37" s="98">
        <v>25.33</v>
      </c>
      <c r="G37" s="111"/>
    </row>
    <row r="38" spans="1:7" ht="12.75" customHeight="1">
      <c r="A38" s="44"/>
      <c r="B38" s="54"/>
      <c r="D38" s="44"/>
      <c r="E38" s="65" t="s">
        <v>88</v>
      </c>
      <c r="F38" s="98">
        <v>5.33</v>
      </c>
      <c r="G38" s="111"/>
    </row>
    <row r="39" spans="1:7" ht="12.75" customHeight="1">
      <c r="A39" s="44"/>
      <c r="B39" s="54"/>
      <c r="D39" s="44"/>
      <c r="E39" s="65" t="s">
        <v>188</v>
      </c>
      <c r="F39" s="98">
        <v>5015</v>
      </c>
      <c r="G39" s="111"/>
    </row>
    <row r="40" spans="1:7" ht="12.75" customHeight="1">
      <c r="A40" s="44"/>
      <c r="B40" s="54"/>
      <c r="D40" s="44"/>
      <c r="E40" s="66" t="s">
        <v>45</v>
      </c>
      <c r="F40" s="98">
        <v>422.22</v>
      </c>
      <c r="G40" s="111"/>
    </row>
    <row r="41" spans="1:7" ht="12.75" customHeight="1">
      <c r="A41" s="44"/>
      <c r="B41" s="54"/>
      <c r="D41" s="44"/>
      <c r="E41" s="65" t="s">
        <v>58</v>
      </c>
      <c r="F41" s="98">
        <v>17063.91</v>
      </c>
      <c r="G41" s="111"/>
    </row>
    <row r="42" spans="1:7" ht="12.75" customHeight="1">
      <c r="A42" s="44"/>
      <c r="B42" s="54"/>
      <c r="D42" s="44"/>
      <c r="E42" s="65" t="s">
        <v>200</v>
      </c>
      <c r="F42" s="99">
        <f>11308.16*5.27/100</f>
        <v>595.940032</v>
      </c>
      <c r="G42" s="111"/>
    </row>
    <row r="43" spans="1:7" ht="12.75" customHeight="1">
      <c r="A43" s="44"/>
      <c r="B43" s="54"/>
      <c r="C43" s="44" t="s">
        <v>19</v>
      </c>
      <c r="D43" s="44"/>
      <c r="E43" s="65"/>
      <c r="F43" s="97">
        <f>SUM(F44:F59)</f>
        <v>223449.165899</v>
      </c>
      <c r="G43" s="111"/>
    </row>
    <row r="44" spans="1:7" ht="12.75" customHeight="1">
      <c r="A44" s="44"/>
      <c r="B44" s="54"/>
      <c r="C44" s="44"/>
      <c r="D44" s="44"/>
      <c r="E44" s="66" t="s">
        <v>47</v>
      </c>
      <c r="F44" s="98">
        <v>112.93</v>
      </c>
      <c r="G44" s="111"/>
    </row>
    <row r="45" spans="1:7" ht="12.75" customHeight="1">
      <c r="A45" s="44"/>
      <c r="B45" s="54"/>
      <c r="C45" s="44"/>
      <c r="D45" s="44"/>
      <c r="E45" s="66" t="s">
        <v>52</v>
      </c>
      <c r="F45" s="98">
        <v>2985.58</v>
      </c>
      <c r="G45" s="111"/>
    </row>
    <row r="46" spans="1:7" ht="12.75" customHeight="1">
      <c r="A46" s="44"/>
      <c r="B46" s="54"/>
      <c r="C46" s="44"/>
      <c r="D46" s="44"/>
      <c r="E46" s="66" t="s">
        <v>189</v>
      </c>
      <c r="F46" s="98">
        <v>84</v>
      </c>
      <c r="G46" s="111"/>
    </row>
    <row r="47" spans="1:7" ht="12.75" customHeight="1">
      <c r="A47" s="44"/>
      <c r="B47" s="54"/>
      <c r="C47" s="44"/>
      <c r="D47" s="44"/>
      <c r="E47" s="66" t="s">
        <v>124</v>
      </c>
      <c r="F47" s="98">
        <v>463.3</v>
      </c>
      <c r="G47" s="111"/>
    </row>
    <row r="48" spans="1:7" ht="12.75" customHeight="1">
      <c r="A48" s="44"/>
      <c r="B48" s="54"/>
      <c r="C48" s="44"/>
      <c r="D48" s="44"/>
      <c r="E48" s="66" t="s">
        <v>48</v>
      </c>
      <c r="F48" s="98">
        <v>4.1</v>
      </c>
      <c r="G48" s="111"/>
    </row>
    <row r="49" spans="1:7" ht="12.75" customHeight="1">
      <c r="A49" s="44"/>
      <c r="B49" s="54"/>
      <c r="C49" s="44"/>
      <c r="D49" s="44"/>
      <c r="E49" s="66" t="s">
        <v>125</v>
      </c>
      <c r="F49" s="98">
        <v>19</v>
      </c>
      <c r="G49" s="111"/>
    </row>
    <row r="50" spans="1:7" ht="12.75" customHeight="1">
      <c r="A50" s="44"/>
      <c r="B50" s="54"/>
      <c r="C50" s="44"/>
      <c r="D50" s="44"/>
      <c r="E50" s="66" t="s">
        <v>157</v>
      </c>
      <c r="F50" s="98">
        <v>1101.6</v>
      </c>
      <c r="G50" s="111"/>
    </row>
    <row r="51" spans="1:7" ht="12.75" customHeight="1">
      <c r="A51" s="44"/>
      <c r="B51" s="54"/>
      <c r="C51" s="44"/>
      <c r="D51" s="44"/>
      <c r="E51" s="66" t="s">
        <v>225</v>
      </c>
      <c r="F51" s="98">
        <v>1036.47</v>
      </c>
      <c r="G51" s="111"/>
    </row>
    <row r="52" spans="1:7" ht="12.75" customHeight="1">
      <c r="A52" s="44"/>
      <c r="B52" s="54"/>
      <c r="C52" s="44"/>
      <c r="D52" s="44"/>
      <c r="E52" s="66" t="s">
        <v>118</v>
      </c>
      <c r="F52" s="98">
        <v>930.96</v>
      </c>
      <c r="G52" s="111"/>
    </row>
    <row r="53" spans="1:7" ht="12.75" customHeight="1">
      <c r="A53" s="44"/>
      <c r="B53" s="54"/>
      <c r="C53" s="44"/>
      <c r="D53" s="44"/>
      <c r="E53" s="66" t="s">
        <v>177</v>
      </c>
      <c r="F53" s="98">
        <v>10000</v>
      </c>
      <c r="G53" s="111"/>
    </row>
    <row r="54" spans="1:7" ht="12.75" customHeight="1">
      <c r="A54" s="44"/>
      <c r="B54" s="54"/>
      <c r="C54" s="44"/>
      <c r="D54" s="44"/>
      <c r="E54" s="66" t="s">
        <v>226</v>
      </c>
      <c r="F54" s="98">
        <v>1150</v>
      </c>
      <c r="G54" s="111"/>
    </row>
    <row r="55" spans="1:7" ht="12.75" customHeight="1">
      <c r="A55" s="44"/>
      <c r="B55" s="54"/>
      <c r="C55" s="44"/>
      <c r="D55" s="44"/>
      <c r="E55" s="66" t="s">
        <v>190</v>
      </c>
      <c r="F55" s="98">
        <v>84198.71</v>
      </c>
      <c r="G55" s="111"/>
    </row>
    <row r="56" spans="1:7" ht="12.75" customHeight="1">
      <c r="A56" s="44"/>
      <c r="B56" s="54"/>
      <c r="C56" s="44"/>
      <c r="D56" s="44"/>
      <c r="E56" s="66" t="s">
        <v>191</v>
      </c>
      <c r="F56" s="98">
        <v>94511.03</v>
      </c>
      <c r="G56" s="111"/>
    </row>
    <row r="57" spans="1:7" ht="12.75" customHeight="1">
      <c r="A57" s="44"/>
      <c r="B57" s="54"/>
      <c r="C57" s="44"/>
      <c r="D57" s="44"/>
      <c r="E57" s="66" t="s">
        <v>137</v>
      </c>
      <c r="F57" s="98">
        <v>11262.9</v>
      </c>
      <c r="G57" s="111"/>
    </row>
    <row r="58" spans="1:7" ht="12.75" customHeight="1">
      <c r="A58" s="44"/>
      <c r="B58" s="54"/>
      <c r="C58" s="44"/>
      <c r="D58" s="44"/>
      <c r="E58" s="66" t="s">
        <v>192</v>
      </c>
      <c r="F58" s="98">
        <v>841.42</v>
      </c>
      <c r="G58" s="111"/>
    </row>
    <row r="59" spans="1:7" ht="12.75" customHeight="1">
      <c r="A59" s="44"/>
      <c r="B59" s="54"/>
      <c r="C59" s="44"/>
      <c r="D59" s="44"/>
      <c r="E59" s="66" t="s">
        <v>200</v>
      </c>
      <c r="F59" s="98">
        <f>(192155.07+91855.09-4177.79)*5.27/100</f>
        <v>14747.165899000003</v>
      </c>
      <c r="G59" s="111"/>
    </row>
    <row r="60" spans="1:7" ht="12.75" customHeight="1">
      <c r="A60" s="44"/>
      <c r="B60" s="54"/>
      <c r="C60" s="44" t="s">
        <v>20</v>
      </c>
      <c r="D60" s="44"/>
      <c r="E60" s="65"/>
      <c r="F60" s="93">
        <f>SUM(F61:F63)</f>
        <v>2643.6757500000003</v>
      </c>
      <c r="G60" s="111"/>
    </row>
    <row r="61" spans="1:7" ht="12.75" customHeight="1">
      <c r="A61" s="44"/>
      <c r="B61" s="54"/>
      <c r="C61" s="44"/>
      <c r="D61" s="44"/>
      <c r="E61" s="65" t="s">
        <v>219</v>
      </c>
      <c r="F61" s="102">
        <v>1312.47</v>
      </c>
      <c r="G61" s="111"/>
    </row>
    <row r="62" spans="1:7" ht="12.75" customHeight="1">
      <c r="A62" s="44"/>
      <c r="B62" s="54"/>
      <c r="C62" s="44"/>
      <c r="D62" s="44"/>
      <c r="E62" s="65" t="s">
        <v>126</v>
      </c>
      <c r="F62" s="102">
        <v>1029.63</v>
      </c>
      <c r="G62" s="111"/>
    </row>
    <row r="63" spans="1:7" ht="12.75" customHeight="1">
      <c r="A63" s="44"/>
      <c r="B63" s="54"/>
      <c r="C63" s="44"/>
      <c r="D63" s="44"/>
      <c r="E63" s="65" t="s">
        <v>200</v>
      </c>
      <c r="F63" s="102">
        <f>5722.5*5.27/100</f>
        <v>301.57574999999997</v>
      </c>
      <c r="G63" s="111"/>
    </row>
    <row r="64" spans="1:7" ht="12.75" customHeight="1">
      <c r="A64" s="44"/>
      <c r="B64" s="54"/>
      <c r="C64" s="44" t="s">
        <v>21</v>
      </c>
      <c r="D64" s="44"/>
      <c r="E64" s="65"/>
      <c r="F64" s="97">
        <f>SUM(F65:F69)</f>
        <v>57147.60883999999</v>
      </c>
      <c r="G64" s="111"/>
    </row>
    <row r="65" spans="1:7" ht="12.75" customHeight="1">
      <c r="A65" s="44"/>
      <c r="B65" s="54"/>
      <c r="D65" s="67" t="s">
        <v>22</v>
      </c>
      <c r="E65" s="68"/>
      <c r="F65" s="98">
        <f>30664.56+((156598.12+3060+6461.31+3135.35+26557.42+67700)*5.27/100)+670.38</f>
        <v>45222.03294</v>
      </c>
      <c r="G65" s="111"/>
    </row>
    <row r="66" spans="1:7" ht="12.75" customHeight="1">
      <c r="A66" s="44"/>
      <c r="B66" s="54"/>
      <c r="D66" s="67" t="s">
        <v>23</v>
      </c>
      <c r="E66" s="68"/>
      <c r="F66" s="98">
        <f>7158.87+((28726.58+768.92+1623.1+783.84+5280.25+12300)*5.27/100)</f>
        <v>9766.607763</v>
      </c>
      <c r="G66" s="111"/>
    </row>
    <row r="67" spans="1:7" ht="12.75" customHeight="1">
      <c r="A67" s="44"/>
      <c r="B67" s="54"/>
      <c r="D67" s="67" t="s">
        <v>24</v>
      </c>
      <c r="E67" s="68"/>
      <c r="F67" s="98">
        <f>1230.82+(12334.31*5.27/100)</f>
        <v>1880.8381369999997</v>
      </c>
      <c r="G67" s="111"/>
    </row>
    <row r="68" spans="1:7" ht="12.75" customHeight="1">
      <c r="A68" s="44"/>
      <c r="B68" s="54"/>
      <c r="D68" s="67" t="s">
        <v>25</v>
      </c>
      <c r="E68" s="68"/>
      <c r="F68" s="98">
        <v>0</v>
      </c>
      <c r="G68" s="111"/>
    </row>
    <row r="69" spans="1:7" ht="12.75" customHeight="1">
      <c r="A69" s="44"/>
      <c r="B69" s="54"/>
      <c r="D69" s="67" t="s">
        <v>130</v>
      </c>
      <c r="E69" s="68"/>
      <c r="F69" s="98">
        <v>278.13</v>
      </c>
      <c r="G69" s="111"/>
    </row>
    <row r="70" spans="1:7" ht="12.75" customHeight="1">
      <c r="A70" s="44"/>
      <c r="B70" s="54"/>
      <c r="C70" s="44" t="s">
        <v>27</v>
      </c>
      <c r="D70" s="44"/>
      <c r="E70" s="65"/>
      <c r="F70" s="97">
        <f>SUM(F71:F75)</f>
        <v>9252.745017000001</v>
      </c>
      <c r="G70" s="111"/>
    </row>
    <row r="71" spans="1:7" ht="12.75" customHeight="1">
      <c r="A71" s="44"/>
      <c r="B71" s="54"/>
      <c r="C71" s="44"/>
      <c r="D71" s="67" t="s">
        <v>28</v>
      </c>
      <c r="E71" s="68"/>
      <c r="F71" s="98">
        <f>2448.47*5.27/100</f>
        <v>129.034369</v>
      </c>
      <c r="G71" s="111"/>
    </row>
    <row r="72" spans="1:7" ht="12.75" customHeight="1">
      <c r="A72" s="44"/>
      <c r="B72" s="54"/>
      <c r="D72" s="67" t="s">
        <v>29</v>
      </c>
      <c r="E72" s="69"/>
      <c r="F72" s="98">
        <f>9042.54+(1540.24*5.27/100)</f>
        <v>9123.710648</v>
      </c>
      <c r="G72" s="111"/>
    </row>
    <row r="73" spans="1:7" ht="12.75" customHeight="1">
      <c r="A73" s="44"/>
      <c r="B73" s="54"/>
      <c r="D73" s="67" t="s">
        <v>31</v>
      </c>
      <c r="E73" s="68"/>
      <c r="F73" s="98">
        <v>0</v>
      </c>
      <c r="G73" s="111"/>
    </row>
    <row r="74" spans="1:7" ht="12.75" customHeight="1">
      <c r="A74" s="44"/>
      <c r="B74" s="54"/>
      <c r="D74" s="67" t="s">
        <v>32</v>
      </c>
      <c r="E74" s="68"/>
      <c r="F74" s="98">
        <v>0</v>
      </c>
      <c r="G74" s="111"/>
    </row>
    <row r="75" spans="1:7" ht="12.75" customHeight="1">
      <c r="A75" s="44"/>
      <c r="B75" s="54"/>
      <c r="D75" s="67"/>
      <c r="E75" s="69" t="s">
        <v>33</v>
      </c>
      <c r="F75" s="98">
        <v>0</v>
      </c>
      <c r="G75" s="111"/>
    </row>
    <row r="76" spans="1:7" ht="12.75" customHeight="1">
      <c r="A76" s="44"/>
      <c r="B76" s="54"/>
      <c r="C76" s="44" t="s">
        <v>34</v>
      </c>
      <c r="D76" s="44"/>
      <c r="E76" s="65"/>
      <c r="F76" s="95"/>
      <c r="G76" s="111"/>
    </row>
    <row r="77" spans="1:7" ht="12.75" customHeight="1">
      <c r="A77" s="44"/>
      <c r="B77" s="54"/>
      <c r="D77" s="44"/>
      <c r="E77" s="70" t="s">
        <v>35</v>
      </c>
      <c r="F77" s="95">
        <v>0</v>
      </c>
      <c r="G77" s="111"/>
    </row>
    <row r="78" spans="1:7" ht="12.75" customHeight="1">
      <c r="A78" s="44"/>
      <c r="B78" s="54"/>
      <c r="C78" s="44" t="s">
        <v>36</v>
      </c>
      <c r="D78" s="44"/>
      <c r="E78" s="65"/>
      <c r="F78" s="95">
        <v>0</v>
      </c>
      <c r="G78" s="111"/>
    </row>
    <row r="79" spans="1:7" ht="12.75" customHeight="1">
      <c r="A79" s="44"/>
      <c r="B79" s="54"/>
      <c r="C79" s="44" t="s">
        <v>37</v>
      </c>
      <c r="D79" s="44"/>
      <c r="E79" s="65"/>
      <c r="F79" s="95">
        <v>0</v>
      </c>
      <c r="G79" s="111"/>
    </row>
    <row r="80" spans="1:7" ht="12.75" customHeight="1">
      <c r="A80" s="44"/>
      <c r="B80" s="54"/>
      <c r="C80" s="44" t="s">
        <v>38</v>
      </c>
      <c r="D80" s="44"/>
      <c r="E80" s="65"/>
      <c r="F80" s="95">
        <f>SUM(F81:F85)</f>
        <v>847.271677</v>
      </c>
      <c r="G80" s="111"/>
    </row>
    <row r="81" spans="1:7" ht="12.75" customHeight="1">
      <c r="A81" s="44"/>
      <c r="B81" s="54"/>
      <c r="C81" s="44"/>
      <c r="D81" s="44"/>
      <c r="E81" s="66" t="s">
        <v>127</v>
      </c>
      <c r="F81" s="103">
        <v>10.33</v>
      </c>
      <c r="G81" s="111"/>
    </row>
    <row r="82" spans="1:7" ht="12.75" customHeight="1">
      <c r="A82" s="44"/>
      <c r="B82" s="54"/>
      <c r="C82" s="44"/>
      <c r="D82" s="44"/>
      <c r="E82" s="66" t="s">
        <v>143</v>
      </c>
      <c r="F82" s="103">
        <v>282.78</v>
      </c>
      <c r="G82" s="111"/>
    </row>
    <row r="83" spans="1:7" ht="12.75" customHeight="1">
      <c r="A83" s="44"/>
      <c r="B83" s="54"/>
      <c r="C83" s="44"/>
      <c r="D83" s="44"/>
      <c r="E83" s="66" t="s">
        <v>63</v>
      </c>
      <c r="F83" s="103">
        <v>173.16</v>
      </c>
      <c r="G83" s="111"/>
    </row>
    <row r="84" spans="1:7" ht="12.75" customHeight="1">
      <c r="A84" s="44"/>
      <c r="B84" s="54"/>
      <c r="C84" s="44"/>
      <c r="D84" s="44"/>
      <c r="E84" s="71" t="s">
        <v>129</v>
      </c>
      <c r="F84" s="98">
        <v>0.27</v>
      </c>
      <c r="G84" s="111"/>
    </row>
    <row r="85" spans="1:7" ht="12.75" customHeight="1">
      <c r="A85" s="44"/>
      <c r="B85" s="54"/>
      <c r="C85" s="44"/>
      <c r="D85" s="44"/>
      <c r="E85" s="66" t="s">
        <v>200</v>
      </c>
      <c r="F85" s="102">
        <f>7224.51*5.27/100</f>
        <v>380.731677</v>
      </c>
      <c r="G85" s="111"/>
    </row>
    <row r="86" spans="1:7" ht="12.75" customHeight="1">
      <c r="A86" s="44"/>
      <c r="B86" s="54"/>
      <c r="C86" s="44"/>
      <c r="D86" s="44"/>
      <c r="E86" s="70"/>
      <c r="F86" s="95" t="s">
        <v>0</v>
      </c>
      <c r="G86" s="111"/>
    </row>
    <row r="87" spans="1:7" ht="12.75" customHeight="1">
      <c r="A87" s="72"/>
      <c r="B87" s="57" t="s">
        <v>39</v>
      </c>
      <c r="C87" s="73"/>
      <c r="D87" s="73"/>
      <c r="E87" s="66"/>
      <c r="F87" s="95" t="s">
        <v>0</v>
      </c>
      <c r="G87" s="106">
        <f>G19+G34</f>
        <v>11670.498558000021</v>
      </c>
    </row>
    <row r="88" spans="1:7" ht="12.75" customHeight="1">
      <c r="A88" s="44"/>
      <c r="B88" s="74" t="s">
        <v>40</v>
      </c>
      <c r="C88" s="44"/>
      <c r="D88" s="44"/>
      <c r="E88" s="70"/>
      <c r="F88" s="95" t="s">
        <v>0</v>
      </c>
      <c r="G88" s="113"/>
    </row>
    <row r="89" spans="2:7" ht="12" customHeight="1">
      <c r="B89" s="76"/>
      <c r="E89" s="65"/>
      <c r="F89" s="95" t="s">
        <v>0</v>
      </c>
      <c r="G89" s="113"/>
    </row>
    <row r="90" spans="2:7" ht="12" customHeight="1">
      <c r="B90" s="57" t="s">
        <v>80</v>
      </c>
      <c r="C90" s="62"/>
      <c r="D90" s="62"/>
      <c r="E90" s="77"/>
      <c r="F90" s="96"/>
      <c r="G90" s="107">
        <f>SUM(F92:F94)</f>
        <v>-946.8197939999998</v>
      </c>
    </row>
    <row r="91" spans="2:7" ht="12">
      <c r="B91" s="76"/>
      <c r="E91" s="65"/>
      <c r="F91" s="95"/>
      <c r="G91" s="113"/>
    </row>
    <row r="92" spans="2:7" ht="12">
      <c r="B92" s="54"/>
      <c r="C92" s="44" t="s">
        <v>77</v>
      </c>
      <c r="D92" s="44"/>
      <c r="E92" s="65"/>
      <c r="F92" s="93">
        <v>0</v>
      </c>
      <c r="G92" s="113"/>
    </row>
    <row r="93" spans="2:7" ht="12">
      <c r="B93" s="76"/>
      <c r="C93" s="44" t="s">
        <v>78</v>
      </c>
      <c r="E93" s="65"/>
      <c r="F93" s="95">
        <f>-22144.01*5.27/100</f>
        <v>-1166.9893269999998</v>
      </c>
      <c r="G93" s="113"/>
    </row>
    <row r="94" spans="2:7" ht="12">
      <c r="B94" s="76"/>
      <c r="C94" s="44" t="s">
        <v>79</v>
      </c>
      <c r="E94" s="65"/>
      <c r="F94" s="95">
        <f>(4177.79*5.27/100)</f>
        <v>220.16953299999997</v>
      </c>
      <c r="G94" s="113"/>
    </row>
    <row r="95" spans="2:7" ht="12">
      <c r="B95" s="76"/>
      <c r="E95" s="65"/>
      <c r="F95" s="95"/>
      <c r="G95" s="113"/>
    </row>
    <row r="96" spans="2:7" ht="12">
      <c r="B96" s="57" t="s">
        <v>81</v>
      </c>
      <c r="C96" s="62"/>
      <c r="D96" s="62"/>
      <c r="E96" s="77"/>
      <c r="F96" s="96">
        <v>0</v>
      </c>
      <c r="G96" s="107">
        <v>0</v>
      </c>
    </row>
    <row r="97" spans="2:7" ht="12">
      <c r="B97" s="76"/>
      <c r="E97" s="65"/>
      <c r="F97" s="95"/>
      <c r="G97" s="113"/>
    </row>
    <row r="98" spans="2:7" ht="12">
      <c r="B98" s="57" t="s">
        <v>76</v>
      </c>
      <c r="C98" s="62"/>
      <c r="D98" s="62"/>
      <c r="E98" s="77"/>
      <c r="F98" s="96"/>
      <c r="G98" s="107">
        <f>SUM(F100:F101)</f>
        <v>6960.389999999999</v>
      </c>
    </row>
    <row r="99" spans="2:7" ht="12">
      <c r="B99" s="76"/>
      <c r="E99" s="65"/>
      <c r="F99" s="95"/>
      <c r="G99" s="113"/>
    </row>
    <row r="100" spans="2:7" ht="12">
      <c r="B100" s="76"/>
      <c r="C100" s="44" t="s">
        <v>82</v>
      </c>
      <c r="E100" s="65"/>
      <c r="F100" s="95">
        <v>-6930</v>
      </c>
      <c r="G100" s="113"/>
    </row>
    <row r="101" spans="2:7" ht="12">
      <c r="B101" s="76"/>
      <c r="C101" s="44" t="s">
        <v>83</v>
      </c>
      <c r="E101" s="65"/>
      <c r="F101" s="95">
        <f>13827.15+(1200*5.27/100)</f>
        <v>13890.39</v>
      </c>
      <c r="G101" s="113"/>
    </row>
    <row r="102" spans="2:7" ht="12">
      <c r="B102" s="76"/>
      <c r="E102" s="65"/>
      <c r="F102" s="95"/>
      <c r="G102" s="113"/>
    </row>
    <row r="103" spans="2:7" ht="12">
      <c r="B103" s="79" t="s">
        <v>84</v>
      </c>
      <c r="C103" s="63"/>
      <c r="D103" s="63"/>
      <c r="E103" s="77"/>
      <c r="F103" s="95">
        <f>114854.73*5.27/100</f>
        <v>6052.844271</v>
      </c>
      <c r="G103" s="107">
        <f>F103</f>
        <v>6052.844271</v>
      </c>
    </row>
    <row r="104" spans="2:7" ht="12">
      <c r="B104" s="76"/>
      <c r="E104" s="65"/>
      <c r="F104" s="95"/>
      <c r="G104" s="113"/>
    </row>
    <row r="105" spans="2:7" ht="12.75">
      <c r="B105" s="57"/>
      <c r="E105" s="80" t="s">
        <v>85</v>
      </c>
      <c r="F105" s="95"/>
      <c r="G105" s="108">
        <f>G87-G90-G96-G98-G103</f>
        <v>-395.9159189999791</v>
      </c>
    </row>
    <row r="106" spans="2:7" ht="12">
      <c r="B106" s="81"/>
      <c r="C106" s="82"/>
      <c r="D106" s="82"/>
      <c r="E106" s="83"/>
      <c r="F106" s="114"/>
      <c r="G106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43">
      <selection activeCell="F78" sqref="F78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104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96572.11871899999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21125.18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119</v>
      </c>
      <c r="F21" s="94">
        <v>21125.18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75446.938719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227</v>
      </c>
      <c r="F28" s="118">
        <v>72310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55</v>
      </c>
      <c r="F29" s="94">
        <v>2.58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199</v>
      </c>
      <c r="F30" s="94">
        <f>173168.99*1.81/100</f>
        <v>3134.358719</v>
      </c>
      <c r="G30" s="112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-(F34+F36+F42+F44+F50+F57+F58+F59+F60)</f>
        <v>-98911.460175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SUM(F35:F35)</f>
        <v>204.677696</v>
      </c>
      <c r="G34" s="111"/>
    </row>
    <row r="35" spans="1:7" ht="12.75" customHeight="1">
      <c r="A35" s="44"/>
      <c r="B35" s="54"/>
      <c r="D35" s="44"/>
      <c r="E35" s="65" t="s">
        <v>200</v>
      </c>
      <c r="F35" s="99">
        <f>11308.16*1.81/100</f>
        <v>204.677696</v>
      </c>
      <c r="G35" s="111"/>
    </row>
    <row r="36" spans="1:7" ht="12.75" customHeight="1">
      <c r="A36" s="44"/>
      <c r="B36" s="54"/>
      <c r="C36" s="44" t="s">
        <v>19</v>
      </c>
      <c r="D36" s="44"/>
      <c r="E36" s="65"/>
      <c r="F36" s="97">
        <f>SUM(F37:F41)</f>
        <v>65130.785897</v>
      </c>
      <c r="G36" s="111"/>
    </row>
    <row r="37" spans="1:7" ht="12.75" customHeight="1">
      <c r="A37" s="44"/>
      <c r="B37" s="54"/>
      <c r="C37" s="44"/>
      <c r="D37" s="44"/>
      <c r="E37" s="65" t="s">
        <v>193</v>
      </c>
      <c r="F37" s="122">
        <v>250</v>
      </c>
      <c r="G37" s="111"/>
    </row>
    <row r="38" spans="1:7" ht="12.75" customHeight="1">
      <c r="A38" s="44"/>
      <c r="B38" s="54"/>
      <c r="C38" s="44"/>
      <c r="D38" s="44"/>
      <c r="E38" s="65" t="s">
        <v>205</v>
      </c>
      <c r="F38" s="122">
        <v>5.39</v>
      </c>
      <c r="G38" s="111"/>
    </row>
    <row r="39" spans="1:7" ht="12.75" customHeight="1">
      <c r="A39" s="44"/>
      <c r="B39" s="54"/>
      <c r="C39" s="44"/>
      <c r="D39" s="44"/>
      <c r="E39" s="65" t="s">
        <v>184</v>
      </c>
      <c r="F39" s="122">
        <v>54132.82</v>
      </c>
      <c r="G39" s="111"/>
    </row>
    <row r="40" spans="1:7" ht="12.75" customHeight="1">
      <c r="A40" s="44"/>
      <c r="B40" s="54"/>
      <c r="C40" s="44"/>
      <c r="D40" s="44"/>
      <c r="E40" s="66" t="s">
        <v>192</v>
      </c>
      <c r="F40" s="98">
        <v>5677.61</v>
      </c>
      <c r="G40" s="111"/>
    </row>
    <row r="41" spans="1:7" ht="12.75" customHeight="1">
      <c r="A41" s="44"/>
      <c r="B41" s="54"/>
      <c r="C41" s="44"/>
      <c r="D41" s="44"/>
      <c r="E41" s="66" t="s">
        <v>201</v>
      </c>
      <c r="F41" s="98">
        <f>(192155.07+91855.09-4177.79)*1.81/100</f>
        <v>5064.965897000001</v>
      </c>
      <c r="G41" s="111"/>
    </row>
    <row r="42" spans="1:7" ht="12.75" customHeight="1">
      <c r="A42" s="44"/>
      <c r="B42" s="54"/>
      <c r="C42" s="44" t="s">
        <v>20</v>
      </c>
      <c r="D42" s="44"/>
      <c r="E42" s="65"/>
      <c r="F42" s="93">
        <f>SUM(F43)</f>
        <v>103.57725</v>
      </c>
      <c r="G42" s="111"/>
    </row>
    <row r="43" spans="1:7" ht="12.75" customHeight="1">
      <c r="A43" s="44"/>
      <c r="B43" s="54"/>
      <c r="C43" s="44"/>
      <c r="D43" s="44"/>
      <c r="E43" s="65" t="s">
        <v>200</v>
      </c>
      <c r="F43" s="102">
        <f>5722.5*1.81/100</f>
        <v>103.57725</v>
      </c>
      <c r="G43" s="111"/>
    </row>
    <row r="44" spans="1:7" ht="12.75" customHeight="1">
      <c r="A44" s="44"/>
      <c r="B44" s="54"/>
      <c r="C44" s="44" t="s">
        <v>21</v>
      </c>
      <c r="D44" s="44"/>
      <c r="E44" s="65"/>
      <c r="F44" s="97">
        <f>SUM(F45:F49)</f>
        <v>33241.58005</v>
      </c>
      <c r="G44" s="111"/>
    </row>
    <row r="45" spans="1:7" ht="12.75" customHeight="1">
      <c r="A45" s="44"/>
      <c r="B45" s="54"/>
      <c r="D45" s="67" t="s">
        <v>22</v>
      </c>
      <c r="E45" s="68"/>
      <c r="F45" s="98">
        <f>(15761.56+218.59+471.88+293.94+1997.71)+((156598.12+3060+6461.31+3135.35+26557.42+67700)*1.81/100)+454.1</f>
        <v>23967.350819999996</v>
      </c>
      <c r="G45" s="111"/>
    </row>
    <row r="46" spans="1:7" ht="12.75" customHeight="1">
      <c r="A46" s="44"/>
      <c r="B46" s="54"/>
      <c r="D46" s="67" t="s">
        <v>23</v>
      </c>
      <c r="E46" s="68"/>
      <c r="F46" s="98">
        <f>(4619.42+54.67+118.02+73.48+499.63)+((28726.58+768.92+1623.1+783.84+5280.25+12300)*1.81/100)</f>
        <v>6260.856689</v>
      </c>
      <c r="G46" s="111"/>
    </row>
    <row r="47" spans="1:7" ht="12.75" customHeight="1">
      <c r="A47" s="44"/>
      <c r="B47" s="54"/>
      <c r="D47" s="67" t="s">
        <v>24</v>
      </c>
      <c r="E47" s="68"/>
      <c r="F47" s="98">
        <f>2461.65+(12334.31*1.81/100)</f>
        <v>2684.901011</v>
      </c>
      <c r="G47" s="111"/>
    </row>
    <row r="48" spans="1:7" ht="12.75" customHeight="1">
      <c r="A48" s="44"/>
      <c r="B48" s="54"/>
      <c r="D48" s="67" t="s">
        <v>25</v>
      </c>
      <c r="E48" s="68"/>
      <c r="F48" s="98">
        <v>0</v>
      </c>
      <c r="G48" s="111"/>
    </row>
    <row r="49" spans="1:7" ht="12.75" customHeight="1">
      <c r="A49" s="44"/>
      <c r="B49" s="54"/>
      <c r="D49" s="67" t="s">
        <v>130</v>
      </c>
      <c r="E49" s="68"/>
      <c r="F49" s="98">
        <f>278.13+(2781.3*1.81/100)</f>
        <v>328.47153000000003</v>
      </c>
      <c r="G49" s="111"/>
    </row>
    <row r="50" spans="1:7" ht="12.75" customHeight="1">
      <c r="A50" s="44"/>
      <c r="B50" s="54"/>
      <c r="C50" s="44" t="s">
        <v>27</v>
      </c>
      <c r="D50" s="44"/>
      <c r="E50" s="65"/>
      <c r="F50" s="97">
        <f>SUM(F51:F55)</f>
        <v>72.195651</v>
      </c>
      <c r="G50" s="111"/>
    </row>
    <row r="51" spans="1:7" ht="12.75" customHeight="1">
      <c r="A51" s="44"/>
      <c r="B51" s="54"/>
      <c r="C51" s="44"/>
      <c r="D51" s="67" t="s">
        <v>28</v>
      </c>
      <c r="E51" s="68"/>
      <c r="F51" s="98">
        <f>2448.47*1.81/100</f>
        <v>44.317307</v>
      </c>
      <c r="G51" s="111"/>
    </row>
    <row r="52" spans="1:7" ht="12.75" customHeight="1">
      <c r="A52" s="44"/>
      <c r="B52" s="54"/>
      <c r="D52" s="67" t="s">
        <v>29</v>
      </c>
      <c r="E52" s="69"/>
      <c r="F52" s="98">
        <f>1540.24*1.81/100</f>
        <v>27.878344000000002</v>
      </c>
      <c r="G52" s="111"/>
    </row>
    <row r="53" spans="1:7" ht="12.75" customHeight="1">
      <c r="A53" s="44"/>
      <c r="B53" s="54"/>
      <c r="D53" s="67" t="s">
        <v>31</v>
      </c>
      <c r="E53" s="68"/>
      <c r="F53" s="98">
        <v>0</v>
      </c>
      <c r="G53" s="111"/>
    </row>
    <row r="54" spans="1:7" ht="12.75" customHeight="1">
      <c r="A54" s="44"/>
      <c r="B54" s="54"/>
      <c r="D54" s="67" t="s">
        <v>32</v>
      </c>
      <c r="E54" s="68"/>
      <c r="F54" s="98"/>
      <c r="G54" s="111"/>
    </row>
    <row r="55" spans="1:7" ht="12.75" customHeight="1">
      <c r="A55" s="44"/>
      <c r="B55" s="54"/>
      <c r="D55" s="67"/>
      <c r="E55" s="69" t="s">
        <v>33</v>
      </c>
      <c r="F55" s="98">
        <v>0</v>
      </c>
      <c r="G55" s="111"/>
    </row>
    <row r="56" spans="1:7" ht="12.75" customHeight="1">
      <c r="A56" s="44"/>
      <c r="B56" s="54"/>
      <c r="C56" s="44" t="s">
        <v>34</v>
      </c>
      <c r="D56" s="44"/>
      <c r="E56" s="65"/>
      <c r="F56" s="95"/>
      <c r="G56" s="111"/>
    </row>
    <row r="57" spans="1:7" ht="12.75" customHeight="1">
      <c r="A57" s="44"/>
      <c r="B57" s="54"/>
      <c r="D57" s="44"/>
      <c r="E57" s="70" t="s">
        <v>35</v>
      </c>
      <c r="F57" s="95">
        <v>0</v>
      </c>
      <c r="G57" s="111"/>
    </row>
    <row r="58" spans="1:7" ht="12.75" customHeight="1">
      <c r="A58" s="44"/>
      <c r="B58" s="54"/>
      <c r="C58" s="44" t="s">
        <v>36</v>
      </c>
      <c r="D58" s="44"/>
      <c r="E58" s="65"/>
      <c r="F58" s="95">
        <v>0</v>
      </c>
      <c r="G58" s="111"/>
    </row>
    <row r="59" spans="1:7" ht="12.75" customHeight="1">
      <c r="A59" s="44"/>
      <c r="B59" s="54"/>
      <c r="C59" s="44" t="s">
        <v>37</v>
      </c>
      <c r="D59" s="44"/>
      <c r="E59" s="65"/>
      <c r="F59" s="95">
        <v>0</v>
      </c>
      <c r="G59" s="111"/>
    </row>
    <row r="60" spans="1:7" ht="12.75" customHeight="1">
      <c r="A60" s="44"/>
      <c r="B60" s="54"/>
      <c r="C60" s="44" t="s">
        <v>38</v>
      </c>
      <c r="D60" s="44"/>
      <c r="E60" s="65"/>
      <c r="F60" s="95">
        <f>SUM(F61:F62)</f>
        <v>158.643631</v>
      </c>
      <c r="G60" s="111"/>
    </row>
    <row r="61" spans="1:7" ht="12.75" customHeight="1">
      <c r="A61" s="44"/>
      <c r="B61" s="54"/>
      <c r="C61" s="44"/>
      <c r="D61" s="44"/>
      <c r="E61" s="66" t="s">
        <v>216</v>
      </c>
      <c r="F61" s="103">
        <v>27.88</v>
      </c>
      <c r="G61" s="111"/>
    </row>
    <row r="62" spans="1:7" ht="12.75" customHeight="1">
      <c r="A62" s="44"/>
      <c r="B62" s="54"/>
      <c r="C62" s="44"/>
      <c r="D62" s="44"/>
      <c r="E62" s="66" t="s">
        <v>201</v>
      </c>
      <c r="F62" s="102">
        <f>7224.51*1.81/100</f>
        <v>130.763631</v>
      </c>
      <c r="G62" s="111"/>
    </row>
    <row r="63" spans="1:7" ht="12.75" customHeight="1">
      <c r="A63" s="44"/>
      <c r="B63" s="54"/>
      <c r="C63" s="44"/>
      <c r="D63" s="44"/>
      <c r="E63" s="70"/>
      <c r="F63" s="95" t="s">
        <v>0</v>
      </c>
      <c r="G63" s="111"/>
    </row>
    <row r="64" spans="1:7" ht="12.75" customHeight="1">
      <c r="A64" s="72"/>
      <c r="B64" s="57" t="s">
        <v>39</v>
      </c>
      <c r="C64" s="73"/>
      <c r="D64" s="73"/>
      <c r="E64" s="66"/>
      <c r="F64" s="95" t="s">
        <v>0</v>
      </c>
      <c r="G64" s="106">
        <f>G19+G32</f>
        <v>-2339.341456000009</v>
      </c>
    </row>
    <row r="65" spans="1:7" ht="12.75" customHeight="1">
      <c r="A65" s="44"/>
      <c r="B65" s="74" t="s">
        <v>40</v>
      </c>
      <c r="C65" s="44"/>
      <c r="D65" s="44"/>
      <c r="E65" s="70"/>
      <c r="F65" s="95" t="s">
        <v>0</v>
      </c>
      <c r="G65" s="113"/>
    </row>
    <row r="66" spans="2:7" ht="12" customHeight="1">
      <c r="B66" s="76"/>
      <c r="E66" s="65"/>
      <c r="F66" s="95" t="s">
        <v>0</v>
      </c>
      <c r="G66" s="113"/>
    </row>
    <row r="67" spans="2:7" ht="12" customHeight="1">
      <c r="B67" s="57" t="s">
        <v>80</v>
      </c>
      <c r="C67" s="62"/>
      <c r="D67" s="62"/>
      <c r="E67" s="77"/>
      <c r="F67" s="96"/>
      <c r="G67" s="107">
        <f>SUM(F69:F71)</f>
        <v>-321.14858200000003</v>
      </c>
    </row>
    <row r="68" spans="2:7" ht="12">
      <c r="B68" s="76"/>
      <c r="E68" s="65"/>
      <c r="F68" s="95"/>
      <c r="G68" s="113"/>
    </row>
    <row r="69" spans="2:7" ht="12">
      <c r="B69" s="54"/>
      <c r="C69" s="44" t="s">
        <v>77</v>
      </c>
      <c r="D69" s="44"/>
      <c r="E69" s="65"/>
      <c r="F69" s="93">
        <v>0</v>
      </c>
      <c r="G69" s="113"/>
    </row>
    <row r="70" spans="2:7" ht="12">
      <c r="B70" s="76"/>
      <c r="C70" s="44" t="s">
        <v>78</v>
      </c>
      <c r="E70" s="65"/>
      <c r="F70" s="95">
        <f>-2.47-(22144.01*1.81/100)</f>
        <v>-403.276581</v>
      </c>
      <c r="G70" s="113"/>
    </row>
    <row r="71" spans="2:7" ht="12">
      <c r="B71" s="76"/>
      <c r="C71" s="44" t="s">
        <v>79</v>
      </c>
      <c r="E71" s="65"/>
      <c r="F71" s="95">
        <f>6.51+(4177.79*1.81/100)</f>
        <v>82.127999</v>
      </c>
      <c r="G71" s="113"/>
    </row>
    <row r="72" spans="2:7" ht="12">
      <c r="B72" s="76"/>
      <c r="E72" s="65"/>
      <c r="F72" s="95"/>
      <c r="G72" s="113"/>
    </row>
    <row r="73" spans="2:7" ht="12">
      <c r="B73" s="57" t="s">
        <v>81</v>
      </c>
      <c r="C73" s="62"/>
      <c r="D73" s="62"/>
      <c r="E73" s="77"/>
      <c r="F73" s="96">
        <v>0</v>
      </c>
      <c r="G73" s="107">
        <v>0</v>
      </c>
    </row>
    <row r="74" spans="2:7" ht="12">
      <c r="B74" s="76"/>
      <c r="E74" s="65"/>
      <c r="F74" s="95"/>
      <c r="G74" s="113"/>
    </row>
    <row r="75" spans="2:7" ht="12">
      <c r="B75" s="57" t="s">
        <v>76</v>
      </c>
      <c r="C75" s="62"/>
      <c r="D75" s="62"/>
      <c r="E75" s="77"/>
      <c r="F75" s="96"/>
      <c r="G75" s="107">
        <f>SUM(F77:F78)</f>
        <v>21.72</v>
      </c>
    </row>
    <row r="76" spans="2:7" ht="12">
      <c r="B76" s="76"/>
      <c r="E76" s="65"/>
      <c r="F76" s="95"/>
      <c r="G76" s="113"/>
    </row>
    <row r="77" spans="2:7" ht="12">
      <c r="B77" s="76"/>
      <c r="C77" s="44" t="s">
        <v>82</v>
      </c>
      <c r="E77" s="65"/>
      <c r="F77" s="95">
        <v>0</v>
      </c>
      <c r="G77" s="113"/>
    </row>
    <row r="78" spans="2:7" ht="12">
      <c r="B78" s="76"/>
      <c r="C78" s="44" t="s">
        <v>83</v>
      </c>
      <c r="E78" s="65"/>
      <c r="F78" s="95">
        <f>1200*1.81/100</f>
        <v>21.72</v>
      </c>
      <c r="G78" s="113"/>
    </row>
    <row r="79" spans="2:7" ht="12">
      <c r="B79" s="76"/>
      <c r="E79" s="65"/>
      <c r="F79" s="95"/>
      <c r="G79" s="113"/>
    </row>
    <row r="80" spans="2:7" ht="12">
      <c r="B80" s="79" t="s">
        <v>84</v>
      </c>
      <c r="C80" s="63"/>
      <c r="D80" s="63"/>
      <c r="E80" s="77"/>
      <c r="F80" s="95">
        <f>114854.73*1.81/100</f>
        <v>2078.870613</v>
      </c>
      <c r="G80" s="107">
        <f>F80</f>
        <v>2078.870613</v>
      </c>
    </row>
    <row r="81" spans="2:7" ht="12">
      <c r="B81" s="76"/>
      <c r="E81" s="65"/>
      <c r="F81" s="95"/>
      <c r="G81" s="113"/>
    </row>
    <row r="82" spans="2:7" ht="12.75">
      <c r="B82" s="57"/>
      <c r="E82" s="80" t="s">
        <v>85</v>
      </c>
      <c r="F82" s="95"/>
      <c r="G82" s="108">
        <f>G64-G67-G73-G75-G80</f>
        <v>-4118.78348700001</v>
      </c>
    </row>
    <row r="83" spans="2:7" ht="12">
      <c r="B83" s="81"/>
      <c r="C83" s="82"/>
      <c r="D83" s="82"/>
      <c r="E83" s="83"/>
      <c r="F83" s="114"/>
      <c r="G83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52">
      <selection activeCell="F71" sqref="F71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149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267948.844934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251981.4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120</v>
      </c>
      <c r="F21" s="94">
        <v>251981.4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15967.444934</v>
      </c>
      <c r="G27" s="111"/>
    </row>
    <row r="28" spans="1:7" ht="12.75" customHeight="1">
      <c r="A28" s="44"/>
      <c r="B28" s="54"/>
      <c r="C28" s="44"/>
      <c r="D28" s="44" t="s">
        <v>30</v>
      </c>
      <c r="E28" s="45" t="s">
        <v>117</v>
      </c>
      <c r="F28" s="118">
        <v>7883.58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55</v>
      </c>
      <c r="F29" s="94">
        <v>14.19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199</v>
      </c>
      <c r="F30" s="94">
        <f>173168.99*4.66/100</f>
        <v>8069.674934000001</v>
      </c>
      <c r="G30" s="112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-(F34+F36+F47+F50+F56+F63+F64+F65+F66)</f>
        <v>-263788.42736000003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SUM(F35:F35)</f>
        <v>526.960256</v>
      </c>
      <c r="G34" s="111"/>
    </row>
    <row r="35" spans="1:7" ht="12.75" customHeight="1">
      <c r="A35" s="44"/>
      <c r="B35" s="54"/>
      <c r="D35" s="44"/>
      <c r="E35" s="65" t="s">
        <v>200</v>
      </c>
      <c r="F35" s="99">
        <f>11308.16*4.66/100</f>
        <v>526.960256</v>
      </c>
      <c r="G35" s="111"/>
    </row>
    <row r="36" spans="1:7" ht="12.75" customHeight="1">
      <c r="A36" s="44"/>
      <c r="B36" s="54"/>
      <c r="C36" s="44" t="s">
        <v>19</v>
      </c>
      <c r="D36" s="44"/>
      <c r="E36" s="65"/>
      <c r="F36" s="97">
        <f>SUM(F37:F46)</f>
        <v>235500.20844200003</v>
      </c>
      <c r="G36" s="111"/>
    </row>
    <row r="37" spans="1:7" ht="12.75" customHeight="1">
      <c r="A37" s="44"/>
      <c r="B37" s="54"/>
      <c r="C37" s="44"/>
      <c r="D37" s="44"/>
      <c r="E37" s="66" t="s">
        <v>47</v>
      </c>
      <c r="F37" s="98">
        <v>3346.15</v>
      </c>
      <c r="G37" s="111"/>
    </row>
    <row r="38" spans="1:7" ht="12.75" customHeight="1">
      <c r="A38" s="44"/>
      <c r="B38" s="54"/>
      <c r="C38" s="44"/>
      <c r="D38" s="44"/>
      <c r="E38" s="66" t="s">
        <v>46</v>
      </c>
      <c r="F38" s="98">
        <v>2131.77</v>
      </c>
      <c r="G38" s="111"/>
    </row>
    <row r="39" spans="1:7" ht="12.75" customHeight="1">
      <c r="A39" s="44"/>
      <c r="B39" s="54"/>
      <c r="C39" s="44"/>
      <c r="D39" s="44"/>
      <c r="E39" s="66" t="s">
        <v>52</v>
      </c>
      <c r="F39" s="98">
        <v>611.98</v>
      </c>
      <c r="G39" s="111"/>
    </row>
    <row r="40" spans="1:7" ht="12.75" customHeight="1">
      <c r="A40" s="44"/>
      <c r="B40" s="54"/>
      <c r="C40" s="44"/>
      <c r="D40" s="44"/>
      <c r="E40" s="66" t="s">
        <v>51</v>
      </c>
      <c r="F40" s="98">
        <v>86.4</v>
      </c>
      <c r="G40" s="111"/>
    </row>
    <row r="41" spans="1:7" ht="12.75" customHeight="1">
      <c r="A41" s="44"/>
      <c r="B41" s="54"/>
      <c r="C41" s="44"/>
      <c r="D41" s="44"/>
      <c r="E41" s="66" t="s">
        <v>124</v>
      </c>
      <c r="F41" s="98">
        <v>898.72</v>
      </c>
      <c r="G41" s="111"/>
    </row>
    <row r="42" spans="1:7" ht="12.75" customHeight="1">
      <c r="A42" s="44"/>
      <c r="B42" s="54"/>
      <c r="C42" s="44"/>
      <c r="D42" s="44"/>
      <c r="E42" s="66" t="s">
        <v>118</v>
      </c>
      <c r="F42" s="98">
        <v>1376.18</v>
      </c>
      <c r="G42" s="111"/>
    </row>
    <row r="43" spans="1:7" ht="12.75" customHeight="1">
      <c r="A43" s="44"/>
      <c r="B43" s="54"/>
      <c r="C43" s="44"/>
      <c r="D43" s="44"/>
      <c r="E43" s="66" t="s">
        <v>194</v>
      </c>
      <c r="F43" s="98">
        <v>210027.82</v>
      </c>
      <c r="G43" s="111"/>
    </row>
    <row r="44" spans="1:7" ht="12.75" customHeight="1">
      <c r="A44" s="44"/>
      <c r="B44" s="54"/>
      <c r="C44" s="44"/>
      <c r="D44" s="44"/>
      <c r="E44" s="66" t="s">
        <v>228</v>
      </c>
      <c r="F44" s="98">
        <v>2937</v>
      </c>
      <c r="G44" s="111"/>
    </row>
    <row r="45" spans="1:7" ht="12.75" customHeight="1">
      <c r="A45" s="44"/>
      <c r="B45" s="54"/>
      <c r="C45" s="44"/>
      <c r="D45" s="44"/>
      <c r="E45" s="66" t="s">
        <v>229</v>
      </c>
      <c r="F45" s="98">
        <v>1044</v>
      </c>
      <c r="G45" s="111"/>
    </row>
    <row r="46" spans="1:7" ht="12.75" customHeight="1">
      <c r="A46" s="44"/>
      <c r="B46" s="54"/>
      <c r="C46" s="44"/>
      <c r="D46" s="44"/>
      <c r="E46" s="66" t="s">
        <v>201</v>
      </c>
      <c r="F46" s="98">
        <f>(192155.07+91855.09-4177.79)*4.66/100</f>
        <v>13040.188442000004</v>
      </c>
      <c r="G46" s="111"/>
    </row>
    <row r="47" spans="1:7" ht="12.75" customHeight="1">
      <c r="A47" s="44"/>
      <c r="B47" s="54"/>
      <c r="C47" s="44" t="s">
        <v>20</v>
      </c>
      <c r="D47" s="44"/>
      <c r="E47" s="65"/>
      <c r="F47" s="93">
        <f>SUM(F48:F49)</f>
        <v>2231.0384999999997</v>
      </c>
      <c r="G47" s="111"/>
    </row>
    <row r="48" spans="1:7" ht="12.75" customHeight="1">
      <c r="A48" s="44"/>
      <c r="B48" s="54"/>
      <c r="C48" s="44"/>
      <c r="D48" s="44"/>
      <c r="E48" s="66" t="s">
        <v>116</v>
      </c>
      <c r="F48" s="102">
        <v>1964.37</v>
      </c>
      <c r="G48" s="111"/>
    </row>
    <row r="49" spans="1:7" ht="12.75" customHeight="1">
      <c r="A49" s="44"/>
      <c r="B49" s="54"/>
      <c r="C49" s="44"/>
      <c r="D49" s="44"/>
      <c r="E49" s="66" t="s">
        <v>201</v>
      </c>
      <c r="F49" s="102">
        <f>5722.5*4.66/100</f>
        <v>266.6685</v>
      </c>
      <c r="G49" s="111"/>
    </row>
    <row r="50" spans="1:7" ht="12.75" customHeight="1">
      <c r="A50" s="44"/>
      <c r="B50" s="54"/>
      <c r="C50" s="44" t="s">
        <v>21</v>
      </c>
      <c r="D50" s="44"/>
      <c r="E50" s="65"/>
      <c r="F50" s="97">
        <f>SUM(F51:F55)</f>
        <v>22568.75072</v>
      </c>
      <c r="G50" s="111"/>
    </row>
    <row r="51" spans="1:7" ht="12.75" customHeight="1">
      <c r="A51" s="44"/>
      <c r="B51" s="54"/>
      <c r="D51" s="67" t="s">
        <v>22</v>
      </c>
      <c r="E51" s="68"/>
      <c r="F51" s="98">
        <f>5583+((156598.12+3060+6461.31+3135.35+26557.42+67700)*4.66/100)-1058+554.66</f>
        <v>17359.32852</v>
      </c>
      <c r="G51" s="111"/>
    </row>
    <row r="52" spans="1:7" ht="12.75" customHeight="1">
      <c r="A52" s="44"/>
      <c r="B52" s="54"/>
      <c r="D52" s="67" t="s">
        <v>23</v>
      </c>
      <c r="E52" s="68"/>
      <c r="F52" s="98">
        <f>1270.75+((28726.58+768.92+1623.1+783.84+5280.25+12300)*4.66/100)</f>
        <v>3576.6433540000003</v>
      </c>
      <c r="G52" s="111"/>
    </row>
    <row r="53" spans="1:7" ht="12.75" customHeight="1">
      <c r="A53" s="44"/>
      <c r="B53" s="54"/>
      <c r="D53" s="67" t="s">
        <v>24</v>
      </c>
      <c r="E53" s="68"/>
      <c r="F53" s="98">
        <f>1058+(12334.31*4.66/100)</f>
        <v>1632.778846</v>
      </c>
      <c r="G53" s="111"/>
    </row>
    <row r="54" spans="1:7" ht="12.75" customHeight="1">
      <c r="A54" s="44"/>
      <c r="B54" s="54"/>
      <c r="D54" s="67" t="s">
        <v>25</v>
      </c>
      <c r="E54" s="68"/>
      <c r="F54" s="98">
        <v>0</v>
      </c>
      <c r="G54" s="111"/>
    </row>
    <row r="55" spans="1:7" ht="12.75" customHeight="1">
      <c r="A55" s="44"/>
      <c r="B55" s="54"/>
      <c r="D55" s="67" t="s">
        <v>130</v>
      </c>
      <c r="E55" s="68"/>
      <c r="F55" s="98">
        <v>0</v>
      </c>
      <c r="G55" s="111"/>
    </row>
    <row r="56" spans="1:7" ht="12.75" customHeight="1">
      <c r="A56" s="44"/>
      <c r="B56" s="54"/>
      <c r="C56" s="44" t="s">
        <v>27</v>
      </c>
      <c r="D56" s="44"/>
      <c r="E56" s="65"/>
      <c r="F56" s="97">
        <f>SUM(F57:F61)</f>
        <v>2354.197276</v>
      </c>
      <c r="G56" s="111"/>
    </row>
    <row r="57" spans="1:7" ht="12.75" customHeight="1">
      <c r="A57" s="44"/>
      <c r="B57" s="54"/>
      <c r="C57" s="44"/>
      <c r="D57" s="67" t="s">
        <v>28</v>
      </c>
      <c r="E57" s="68"/>
      <c r="F57" s="98">
        <f>173.53+(2448.47*4.66/100)</f>
        <v>287.628702</v>
      </c>
      <c r="G57" s="111"/>
    </row>
    <row r="58" spans="1:7" ht="12.75" customHeight="1">
      <c r="A58" s="44"/>
      <c r="B58" s="54"/>
      <c r="D58" s="67" t="s">
        <v>29</v>
      </c>
      <c r="E58" s="69"/>
      <c r="F58" s="98">
        <f>1953.04+(1540.24*4.66/100)</f>
        <v>2024.815184</v>
      </c>
      <c r="G58" s="111"/>
    </row>
    <row r="59" spans="1:7" ht="12.75" customHeight="1">
      <c r="A59" s="44"/>
      <c r="B59" s="54"/>
      <c r="D59" s="67" t="s">
        <v>31</v>
      </c>
      <c r="E59" s="68"/>
      <c r="F59" s="98">
        <v>0</v>
      </c>
      <c r="G59" s="111"/>
    </row>
    <row r="60" spans="1:7" ht="12.75" customHeight="1">
      <c r="A60" s="44"/>
      <c r="B60" s="54"/>
      <c r="D60" s="67" t="s">
        <v>32</v>
      </c>
      <c r="E60" s="68"/>
      <c r="F60" s="98"/>
      <c r="G60" s="111"/>
    </row>
    <row r="61" spans="1:7" ht="12.75" customHeight="1">
      <c r="A61" s="44"/>
      <c r="B61" s="54"/>
      <c r="D61" s="67"/>
      <c r="E61" s="69" t="s">
        <v>33</v>
      </c>
      <c r="F61" s="98">
        <f>806.05*5.18/100</f>
        <v>41.753389999999996</v>
      </c>
      <c r="G61" s="111"/>
    </row>
    <row r="62" spans="1:7" ht="12.75" customHeight="1">
      <c r="A62" s="44"/>
      <c r="B62" s="54"/>
      <c r="C62" s="44" t="s">
        <v>34</v>
      </c>
      <c r="D62" s="44"/>
      <c r="E62" s="65"/>
      <c r="F62" s="95"/>
      <c r="G62" s="111"/>
    </row>
    <row r="63" spans="1:7" ht="12.75" customHeight="1">
      <c r="A63" s="44"/>
      <c r="B63" s="54"/>
      <c r="D63" s="44"/>
      <c r="E63" s="70" t="s">
        <v>35</v>
      </c>
      <c r="F63" s="95">
        <v>0</v>
      </c>
      <c r="G63" s="111"/>
    </row>
    <row r="64" spans="1:7" ht="12.75" customHeight="1">
      <c r="A64" s="44"/>
      <c r="B64" s="54"/>
      <c r="C64" s="44" t="s">
        <v>36</v>
      </c>
      <c r="D64" s="44"/>
      <c r="E64" s="65"/>
      <c r="F64" s="95">
        <v>0</v>
      </c>
      <c r="G64" s="111"/>
    </row>
    <row r="65" spans="1:7" ht="12.75" customHeight="1">
      <c r="A65" s="44"/>
      <c r="B65" s="54"/>
      <c r="C65" s="44" t="s">
        <v>37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38</v>
      </c>
      <c r="D66" s="44"/>
      <c r="E66" s="65"/>
      <c r="F66" s="95">
        <f>SUM(F67:F70)</f>
        <v>607.272166</v>
      </c>
      <c r="G66" s="111"/>
    </row>
    <row r="67" spans="1:7" ht="12.75" customHeight="1">
      <c r="A67" s="44"/>
      <c r="B67" s="54"/>
      <c r="C67" s="44"/>
      <c r="D67" s="44"/>
      <c r="E67" s="66" t="s">
        <v>143</v>
      </c>
      <c r="F67" s="103">
        <v>95.55</v>
      </c>
      <c r="G67" s="111"/>
    </row>
    <row r="68" spans="1:7" ht="13.5" customHeight="1">
      <c r="A68" s="44"/>
      <c r="B68" s="54"/>
      <c r="C68" s="44"/>
      <c r="D68" s="44" t="s">
        <v>0</v>
      </c>
      <c r="E68" s="66" t="s">
        <v>63</v>
      </c>
      <c r="F68" s="98">
        <v>173.16</v>
      </c>
      <c r="G68" s="111"/>
    </row>
    <row r="69" spans="1:7" ht="12.75" customHeight="1">
      <c r="A69" s="44"/>
      <c r="B69" s="54"/>
      <c r="C69" s="44"/>
      <c r="D69" s="44"/>
      <c r="E69" s="66" t="s">
        <v>129</v>
      </c>
      <c r="F69" s="98">
        <v>1.9</v>
      </c>
      <c r="G69" s="111"/>
    </row>
    <row r="70" spans="1:7" ht="12.75" customHeight="1">
      <c r="A70" s="44"/>
      <c r="B70" s="54"/>
      <c r="C70" s="44"/>
      <c r="D70" s="44"/>
      <c r="E70" s="66" t="s">
        <v>201</v>
      </c>
      <c r="F70" s="102">
        <f>7224.51*4.66/100</f>
        <v>336.662166</v>
      </c>
      <c r="G70" s="111"/>
    </row>
    <row r="71" spans="1:7" ht="12.75" customHeight="1">
      <c r="A71" s="44"/>
      <c r="B71" s="54"/>
      <c r="C71" s="44"/>
      <c r="D71" s="44"/>
      <c r="E71" s="70"/>
      <c r="F71" s="95" t="s">
        <v>0</v>
      </c>
      <c r="G71" s="111"/>
    </row>
    <row r="72" spans="1:7" ht="12.75" customHeight="1">
      <c r="A72" s="72"/>
      <c r="B72" s="57" t="s">
        <v>39</v>
      </c>
      <c r="C72" s="73"/>
      <c r="D72" s="73"/>
      <c r="E72" s="66"/>
      <c r="F72" s="95" t="s">
        <v>0</v>
      </c>
      <c r="G72" s="106">
        <f>G19+G32</f>
        <v>4160.417573999963</v>
      </c>
    </row>
    <row r="73" spans="1:7" ht="12.75" customHeight="1">
      <c r="A73" s="44"/>
      <c r="B73" s="74" t="s">
        <v>40</v>
      </c>
      <c r="C73" s="44"/>
      <c r="D73" s="44"/>
      <c r="E73" s="70"/>
      <c r="F73" s="95" t="s">
        <v>0</v>
      </c>
      <c r="G73" s="113"/>
    </row>
    <row r="74" spans="2:7" ht="12" customHeight="1">
      <c r="B74" s="76"/>
      <c r="E74" s="65"/>
      <c r="F74" s="95" t="s">
        <v>0</v>
      </c>
      <c r="G74" s="113"/>
    </row>
    <row r="75" spans="2:7" ht="12" customHeight="1">
      <c r="B75" s="57" t="s">
        <v>80</v>
      </c>
      <c r="C75" s="62"/>
      <c r="D75" s="62"/>
      <c r="E75" s="77"/>
      <c r="F75" s="96"/>
      <c r="G75" s="107">
        <f>SUM(F77:F79)</f>
        <v>-837.2258519999999</v>
      </c>
    </row>
    <row r="76" spans="2:7" ht="12">
      <c r="B76" s="76"/>
      <c r="E76" s="65"/>
      <c r="F76" s="95"/>
      <c r="G76" s="113"/>
    </row>
    <row r="77" spans="2:7" ht="12">
      <c r="B77" s="54"/>
      <c r="C77" s="44" t="s">
        <v>77</v>
      </c>
      <c r="D77" s="44"/>
      <c r="E77" s="65"/>
      <c r="F77" s="93">
        <v>0</v>
      </c>
      <c r="G77" s="113"/>
    </row>
    <row r="78" spans="2:7" ht="12">
      <c r="B78" s="76"/>
      <c r="C78" s="44" t="s">
        <v>78</v>
      </c>
      <c r="E78" s="65"/>
      <c r="F78" s="95">
        <f>-22144.01*4.66/100</f>
        <v>-1031.910866</v>
      </c>
      <c r="G78" s="113"/>
    </row>
    <row r="79" spans="2:7" ht="12">
      <c r="B79" s="76"/>
      <c r="C79" s="44" t="s">
        <v>79</v>
      </c>
      <c r="E79" s="65"/>
      <c r="F79" s="95">
        <f>(4177.79*4.66/100)</f>
        <v>194.68501400000002</v>
      </c>
      <c r="G79" s="113"/>
    </row>
    <row r="80" spans="2:7" ht="12">
      <c r="B80" s="76"/>
      <c r="E80" s="65"/>
      <c r="F80" s="95"/>
      <c r="G80" s="113"/>
    </row>
    <row r="81" spans="2:7" ht="12">
      <c r="B81" s="57" t="s">
        <v>81</v>
      </c>
      <c r="C81" s="62"/>
      <c r="D81" s="62"/>
      <c r="E81" s="77"/>
      <c r="F81" s="96">
        <v>0</v>
      </c>
      <c r="G81" s="107">
        <v>0</v>
      </c>
    </row>
    <row r="82" spans="2:7" ht="12">
      <c r="B82" s="76"/>
      <c r="E82" s="65"/>
      <c r="F82" s="95"/>
      <c r="G82" s="113"/>
    </row>
    <row r="83" spans="2:7" ht="12">
      <c r="B83" s="57" t="s">
        <v>76</v>
      </c>
      <c r="C83" s="62"/>
      <c r="D83" s="62"/>
      <c r="E83" s="77"/>
      <c r="F83" s="96"/>
      <c r="G83" s="107">
        <f>SUM(F85:F86)</f>
        <v>169.71</v>
      </c>
    </row>
    <row r="84" spans="2:7" ht="12">
      <c r="B84" s="76"/>
      <c r="E84" s="65"/>
      <c r="F84" s="95"/>
      <c r="G84" s="113"/>
    </row>
    <row r="85" spans="2:7" ht="12">
      <c r="B85" s="76"/>
      <c r="C85" s="44" t="s">
        <v>82</v>
      </c>
      <c r="E85" s="65"/>
      <c r="F85" s="95">
        <v>0</v>
      </c>
      <c r="G85" s="113"/>
    </row>
    <row r="86" spans="2:7" ht="12">
      <c r="B86" s="76"/>
      <c r="C86" s="44" t="s">
        <v>83</v>
      </c>
      <c r="E86" s="65"/>
      <c r="F86" s="95">
        <f>113.79+(1200*4.66/100)</f>
        <v>169.71</v>
      </c>
      <c r="G86" s="113"/>
    </row>
    <row r="87" spans="2:7" ht="12">
      <c r="B87" s="76"/>
      <c r="E87" s="65"/>
      <c r="F87" s="95"/>
      <c r="G87" s="113"/>
    </row>
    <row r="88" spans="2:7" ht="12">
      <c r="B88" s="79" t="s">
        <v>84</v>
      </c>
      <c r="C88" s="63"/>
      <c r="D88" s="63"/>
      <c r="E88" s="77"/>
      <c r="F88" s="95">
        <f>114854.73*4.66/100</f>
        <v>5352.230418</v>
      </c>
      <c r="G88" s="107">
        <f>F88</f>
        <v>5352.230418</v>
      </c>
    </row>
    <row r="89" spans="2:7" ht="12">
      <c r="B89" s="76"/>
      <c r="E89" s="65"/>
      <c r="F89" s="95"/>
      <c r="G89" s="113"/>
    </row>
    <row r="90" spans="2:7" ht="12.75">
      <c r="B90" s="57"/>
      <c r="E90" s="80" t="s">
        <v>85</v>
      </c>
      <c r="F90" s="95"/>
      <c r="G90" s="108">
        <f>G72-G75-G81-G83-G88</f>
        <v>-524.2969920000378</v>
      </c>
    </row>
    <row r="91" spans="2:7" ht="12">
      <c r="B91" s="81"/>
      <c r="C91" s="82"/>
      <c r="D91" s="82"/>
      <c r="E91" s="83"/>
      <c r="F91" s="84"/>
      <c r="G91" s="8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"/>
  <sheetViews>
    <sheetView showGridLines="0" zoomScale="90" zoomScaleNormal="90" workbookViewId="0" topLeftCell="A1">
      <selection activeCell="G26" sqref="G26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17.75390625" style="5" customWidth="1"/>
    <col min="8" max="8" width="8.37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 t="s">
        <v>204</v>
      </c>
      <c r="F8" s="11"/>
      <c r="G8" s="11"/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41</v>
      </c>
      <c r="F11" s="119">
        <f>RSA!G133</f>
        <v>-253550.53500399992</v>
      </c>
      <c r="G11" s="14"/>
      <c r="H11" s="12"/>
      <c r="I11" s="1"/>
    </row>
    <row r="12" spans="1:9" ht="15">
      <c r="A12" s="1"/>
      <c r="B12" s="1"/>
      <c r="C12" s="10"/>
      <c r="D12" s="11"/>
      <c r="E12" s="13" t="s">
        <v>95</v>
      </c>
      <c r="F12" s="119">
        <f>Ristorazione!G86</f>
        <v>0.003472000023975852</v>
      </c>
      <c r="G12" s="14"/>
      <c r="H12" s="12"/>
      <c r="I12" s="1"/>
    </row>
    <row r="13" spans="1:9" ht="13.5" customHeight="1">
      <c r="A13" s="1"/>
      <c r="B13" s="1"/>
      <c r="C13" s="10"/>
      <c r="D13" s="13"/>
      <c r="E13" s="13" t="s">
        <v>42</v>
      </c>
      <c r="F13" s="119">
        <f>SAD!G100</f>
        <v>-95647.86074900009</v>
      </c>
      <c r="G13" s="14"/>
      <c r="H13" s="15"/>
      <c r="I13" s="1"/>
    </row>
    <row r="14" spans="1:9" ht="13.5" customHeight="1">
      <c r="A14" s="1"/>
      <c r="B14" s="1"/>
      <c r="C14" s="10"/>
      <c r="D14" s="13"/>
      <c r="E14" s="13" t="s">
        <v>69</v>
      </c>
      <c r="F14" s="119">
        <f>CDI!G88</f>
        <v>3987.788153999988</v>
      </c>
      <c r="G14" s="14"/>
      <c r="H14" s="15"/>
      <c r="I14" s="1"/>
    </row>
    <row r="15" spans="1:9" ht="13.5" customHeight="1">
      <c r="A15" s="1"/>
      <c r="B15" s="1"/>
      <c r="C15" s="10"/>
      <c r="D15" s="13"/>
      <c r="E15" s="13" t="s">
        <v>195</v>
      </c>
      <c r="F15" s="119">
        <f>'AGENZIA DI LOCAZIONE'!G87</f>
        <v>-196.62747900000159</v>
      </c>
      <c r="G15" s="14"/>
      <c r="H15" s="15"/>
      <c r="I15" s="1"/>
    </row>
    <row r="16" spans="1:9" ht="13.5" customHeight="1">
      <c r="A16" s="1"/>
      <c r="B16" s="1"/>
      <c r="C16" s="10"/>
      <c r="D16" s="13"/>
      <c r="E16" s="13" t="s">
        <v>196</v>
      </c>
      <c r="F16" s="119">
        <f>DORMITORIO!G97</f>
        <v>-23054.92903400001</v>
      </c>
      <c r="G16" s="14"/>
      <c r="H16" s="15"/>
      <c r="I16" s="1"/>
    </row>
    <row r="17" spans="1:9" ht="13.5" customHeight="1">
      <c r="A17" s="1"/>
      <c r="B17" s="1"/>
      <c r="C17" s="10"/>
      <c r="D17" s="13"/>
      <c r="E17" s="13" t="s">
        <v>64</v>
      </c>
      <c r="F17" s="119">
        <f>'DUE PINI'!G105</f>
        <v>98610.66298099975</v>
      </c>
      <c r="G17" s="14"/>
      <c r="H17" s="16"/>
      <c r="I17" s="1"/>
    </row>
    <row r="18" spans="1:9" ht="13.5" customHeight="1">
      <c r="A18" s="1"/>
      <c r="B18" s="1"/>
      <c r="C18" s="10"/>
      <c r="D18" s="13"/>
      <c r="E18" s="13" t="s">
        <v>65</v>
      </c>
      <c r="F18" s="119">
        <f>GRAMSCI!G104</f>
        <v>263454.47685800015</v>
      </c>
      <c r="G18" s="14"/>
      <c r="H18" s="16"/>
      <c r="I18" s="1"/>
    </row>
    <row r="19" spans="1:9" ht="13.5" customHeight="1">
      <c r="A19" s="1"/>
      <c r="B19" s="1"/>
      <c r="C19" s="10"/>
      <c r="D19" s="13"/>
      <c r="E19" s="13" t="s">
        <v>75</v>
      </c>
      <c r="F19" s="119">
        <f>TRASPORTI!G85</f>
        <v>-1488.571070000004</v>
      </c>
      <c r="G19" s="14"/>
      <c r="H19" s="16"/>
      <c r="I19" s="1"/>
    </row>
    <row r="20" spans="1:9" ht="13.5" customHeight="1">
      <c r="A20" s="1"/>
      <c r="B20" s="1"/>
      <c r="C20" s="10"/>
      <c r="D20" s="13"/>
      <c r="E20" s="13" t="s">
        <v>148</v>
      </c>
      <c r="F20" s="119">
        <f>13483.99</f>
        <v>13483.99</v>
      </c>
      <c r="G20" s="14"/>
      <c r="H20" s="16"/>
      <c r="I20" s="1"/>
    </row>
    <row r="21" spans="3:8" s="3" customFormat="1" ht="15">
      <c r="C21" s="17"/>
      <c r="D21" s="13"/>
      <c r="E21" s="13" t="s">
        <v>197</v>
      </c>
      <c r="F21" s="119">
        <f>'AREA MINORI'!G105</f>
        <v>-395.9159189999791</v>
      </c>
      <c r="G21" s="14"/>
      <c r="H21" s="16"/>
    </row>
    <row r="22" spans="3:8" s="3" customFormat="1" ht="13.5" customHeight="1">
      <c r="C22" s="17"/>
      <c r="D22" s="13"/>
      <c r="E22" s="13" t="s">
        <v>66</v>
      </c>
      <c r="F22" s="119">
        <f>SND!G82</f>
        <v>-4118.78348700001</v>
      </c>
      <c r="G22" s="14"/>
      <c r="H22" s="16"/>
    </row>
    <row r="23" spans="3:8" s="3" customFormat="1" ht="13.5" customHeight="1">
      <c r="C23" s="17"/>
      <c r="D23" s="13"/>
      <c r="E23" s="13" t="s">
        <v>198</v>
      </c>
      <c r="F23" s="119">
        <f>'C.A.H.'!G90</f>
        <v>-524.2969920000378</v>
      </c>
      <c r="G23" s="14"/>
      <c r="H23" s="16"/>
    </row>
    <row r="24" spans="3:8" s="3" customFormat="1" ht="13.5" customHeight="1">
      <c r="C24" s="17"/>
      <c r="D24" s="13"/>
      <c r="E24" s="13"/>
      <c r="F24" s="119"/>
      <c r="G24" s="14"/>
      <c r="H24" s="16"/>
    </row>
    <row r="25" spans="3:8" s="3" customFormat="1" ht="13.5" customHeight="1">
      <c r="C25" s="17"/>
      <c r="D25" s="13"/>
      <c r="E25" s="13"/>
      <c r="F25" s="14"/>
      <c r="G25" s="14"/>
      <c r="H25" s="16"/>
    </row>
    <row r="26" spans="1:9" ht="15.75" customHeight="1">
      <c r="A26" s="1"/>
      <c r="B26" s="1"/>
      <c r="C26" s="10"/>
      <c r="D26" s="13"/>
      <c r="E26" s="13" t="s">
        <v>67</v>
      </c>
      <c r="F26" s="14"/>
      <c r="G26" s="119">
        <f>SUM(F11:F23)</f>
        <v>559.4017309998471</v>
      </c>
      <c r="H26" s="16"/>
      <c r="I26" s="1"/>
    </row>
    <row r="27" spans="1:9" ht="13.5" customHeight="1">
      <c r="A27" s="1"/>
      <c r="B27" s="1"/>
      <c r="C27" s="10"/>
      <c r="D27" s="13"/>
      <c r="E27" s="13"/>
      <c r="F27" s="14"/>
      <c r="G27" s="14"/>
      <c r="H27" s="16"/>
      <c r="I27" s="1"/>
    </row>
    <row r="28" spans="1:9" ht="12.75" customHeight="1">
      <c r="A28" s="1"/>
      <c r="B28" s="1"/>
      <c r="C28" s="10"/>
      <c r="D28" s="13"/>
      <c r="E28" s="13"/>
      <c r="F28" s="14"/>
      <c r="G28" s="14"/>
      <c r="H28" s="15"/>
      <c r="I28" s="1"/>
    </row>
    <row r="29" spans="1:9" ht="15.75" customHeight="1">
      <c r="A29" s="1"/>
      <c r="B29" s="1"/>
      <c r="C29" s="10"/>
      <c r="D29" s="13"/>
      <c r="E29" s="21" t="s">
        <v>68</v>
      </c>
      <c r="F29" s="14"/>
      <c r="G29" s="120">
        <f>SUM(G26:G28)</f>
        <v>559.4017309998471</v>
      </c>
      <c r="H29" s="15"/>
      <c r="I29" s="1"/>
    </row>
    <row r="30" spans="1:9" ht="12.75" customHeight="1">
      <c r="A30" s="1"/>
      <c r="B30" s="1"/>
      <c r="C30" s="10"/>
      <c r="D30" s="13"/>
      <c r="E30" s="13"/>
      <c r="F30" s="13"/>
      <c r="G30" s="13"/>
      <c r="H30" s="15"/>
      <c r="I30" s="1"/>
    </row>
    <row r="31" spans="1:9" ht="12.75" customHeight="1">
      <c r="A31" s="1"/>
      <c r="B31" s="1"/>
      <c r="C31" s="18"/>
      <c r="D31" s="19"/>
      <c r="E31" s="19"/>
      <c r="F31" s="19"/>
      <c r="G31" s="19"/>
      <c r="H31" s="20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="2" customFormat="1" ht="12.75" customHeight="1"/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="2" customFormat="1" ht="12.75" customHeight="1"/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="2" customFormat="1" ht="12.75" customHeight="1"/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="2" customFormat="1" ht="12.75" customHeight="1"/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</sheetData>
  <sheetProtection password="C052"/>
  <printOptions horizontalCentered="1"/>
  <pageMargins left="0" right="0" top="0.7874015748031497" bottom="0.5905511811023623" header="0.5118110236220472" footer="0.5118110236220472"/>
  <pageSetup fitToHeight="2" fitToWidth="1" horizontalDpi="600" verticalDpi="600" orientation="portrait" paperSize="9" r:id="rId1"/>
  <rowBreaks count="1" manualBreakCount="1">
    <brk id="44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1"/>
  <sheetViews>
    <sheetView workbookViewId="0" topLeftCell="A8">
      <selection activeCell="F13" sqref="F13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17.75390625" style="5" customWidth="1"/>
    <col min="8" max="8" width="8.37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 t="s">
        <v>39</v>
      </c>
      <c r="F8" s="11"/>
      <c r="G8" s="11"/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41</v>
      </c>
      <c r="F11" s="119">
        <f>RSA!G115</f>
        <v>-163345.79634399991</v>
      </c>
      <c r="G11" s="14"/>
      <c r="H11" s="12"/>
      <c r="I11" s="1"/>
    </row>
    <row r="12" spans="1:9" ht="15">
      <c r="A12" s="1"/>
      <c r="B12" s="1"/>
      <c r="C12" s="10"/>
      <c r="D12" s="11"/>
      <c r="E12" s="13" t="s">
        <v>95</v>
      </c>
      <c r="F12" s="119">
        <f>Ristorazione!G68</f>
        <v>4577.136592000024</v>
      </c>
      <c r="G12" s="14"/>
      <c r="H12" s="12"/>
      <c r="I12" s="1"/>
    </row>
    <row r="13" spans="1:9" ht="13.5" customHeight="1">
      <c r="A13" s="1"/>
      <c r="B13" s="1"/>
      <c r="C13" s="10"/>
      <c r="D13" s="13"/>
      <c r="E13" s="13" t="s">
        <v>42</v>
      </c>
      <c r="F13" s="119">
        <f>SAD!G82</f>
        <v>-75215.71041400009</v>
      </c>
      <c r="G13" s="14"/>
      <c r="H13" s="15"/>
      <c r="I13" s="1"/>
    </row>
    <row r="14" spans="1:9" ht="13.5" customHeight="1">
      <c r="A14" s="1"/>
      <c r="B14" s="1"/>
      <c r="C14" s="10"/>
      <c r="D14" s="13"/>
      <c r="E14" s="13" t="s">
        <v>69</v>
      </c>
      <c r="F14" s="119">
        <f>CDI!G70</f>
        <v>7839.797243999987</v>
      </c>
      <c r="G14" s="14"/>
      <c r="H14" s="15"/>
      <c r="I14" s="1"/>
    </row>
    <row r="15" spans="1:9" ht="13.5" customHeight="1">
      <c r="A15" s="1"/>
      <c r="B15" s="1"/>
      <c r="C15" s="10"/>
      <c r="D15" s="13"/>
      <c r="E15" s="13" t="s">
        <v>195</v>
      </c>
      <c r="F15" s="119">
        <f>'AGENZIA DI LOCAZIONE'!G69</f>
        <v>-82.93552200000158</v>
      </c>
      <c r="G15" s="14"/>
      <c r="H15" s="15"/>
      <c r="I15" s="1"/>
    </row>
    <row r="16" spans="1:9" ht="13.5" customHeight="1">
      <c r="A16" s="1"/>
      <c r="B16" s="1"/>
      <c r="C16" s="10"/>
      <c r="D16" s="13"/>
      <c r="E16" s="13" t="s">
        <v>196</v>
      </c>
      <c r="F16" s="119">
        <f>DORMITORIO!G79</f>
        <v>-20902.444112000012</v>
      </c>
      <c r="G16" s="14"/>
      <c r="H16" s="15"/>
      <c r="I16" s="1"/>
    </row>
    <row r="17" spans="1:9" ht="13.5" customHeight="1">
      <c r="A17" s="1"/>
      <c r="B17" s="1"/>
      <c r="C17" s="10"/>
      <c r="D17" s="13"/>
      <c r="E17" s="13" t="s">
        <v>64</v>
      </c>
      <c r="F17" s="119">
        <f>'DUE PINI'!G87</f>
        <v>105589.46212799975</v>
      </c>
      <c r="G17" s="14"/>
      <c r="H17" s="16"/>
      <c r="I17" s="1"/>
    </row>
    <row r="18" spans="1:9" ht="13.5" customHeight="1">
      <c r="A18" s="1"/>
      <c r="B18" s="1"/>
      <c r="C18" s="10"/>
      <c r="D18" s="13"/>
      <c r="E18" s="13" t="s">
        <v>65</v>
      </c>
      <c r="F18" s="119">
        <f>GRAMSCI!G86</f>
        <v>283885.69990400015</v>
      </c>
      <c r="G18" s="14"/>
      <c r="H18" s="16"/>
      <c r="I18" s="1"/>
    </row>
    <row r="19" spans="1:9" ht="13.5" customHeight="1">
      <c r="A19" s="1"/>
      <c r="B19" s="1"/>
      <c r="C19" s="10"/>
      <c r="D19" s="13"/>
      <c r="E19" s="13" t="s">
        <v>75</v>
      </c>
      <c r="F19" s="119">
        <f>TRASPORTI!G67</f>
        <v>-1368.338550000004</v>
      </c>
      <c r="G19" s="14"/>
      <c r="H19" s="16"/>
      <c r="I19" s="1"/>
    </row>
    <row r="20" spans="1:9" ht="13.5" customHeight="1">
      <c r="A20" s="1"/>
      <c r="B20" s="1"/>
      <c r="C20" s="10"/>
      <c r="D20" s="13"/>
      <c r="E20" s="13" t="s">
        <v>148</v>
      </c>
      <c r="F20" s="119">
        <v>13277.99</v>
      </c>
      <c r="G20" s="14"/>
      <c r="H20" s="16"/>
      <c r="I20" s="1"/>
    </row>
    <row r="21" spans="3:8" s="3" customFormat="1" ht="15">
      <c r="C21" s="17"/>
      <c r="D21" s="13"/>
      <c r="E21" s="13" t="s">
        <v>197</v>
      </c>
      <c r="F21" s="119">
        <f>'AREA MINORI'!G87</f>
        <v>11670.498558000021</v>
      </c>
      <c r="G21" s="14"/>
      <c r="H21" s="16"/>
    </row>
    <row r="22" spans="3:8" s="3" customFormat="1" ht="13.5" customHeight="1">
      <c r="C22" s="17"/>
      <c r="D22" s="13"/>
      <c r="E22" s="13" t="s">
        <v>66</v>
      </c>
      <c r="F22" s="119">
        <f>SND!G64</f>
        <v>-2339.341456000009</v>
      </c>
      <c r="G22" s="14"/>
      <c r="H22" s="16"/>
    </row>
    <row r="23" spans="3:8" s="3" customFormat="1" ht="13.5" customHeight="1">
      <c r="C23" s="17"/>
      <c r="D23" s="13"/>
      <c r="E23" s="13" t="s">
        <v>198</v>
      </c>
      <c r="F23" s="119">
        <f>'C.A.H.'!G72</f>
        <v>4160.417573999963</v>
      </c>
      <c r="G23" s="14"/>
      <c r="H23" s="16"/>
    </row>
    <row r="24" spans="3:8" s="3" customFormat="1" ht="13.5" customHeight="1">
      <c r="C24" s="17"/>
      <c r="D24" s="13"/>
      <c r="E24" s="13"/>
      <c r="F24" s="119"/>
      <c r="G24" s="14"/>
      <c r="H24" s="16"/>
    </row>
    <row r="25" spans="3:8" s="3" customFormat="1" ht="13.5" customHeight="1">
      <c r="C25" s="17"/>
      <c r="D25" s="13"/>
      <c r="E25" s="13"/>
      <c r="F25" s="14"/>
      <c r="G25" s="14"/>
      <c r="H25" s="16"/>
    </row>
    <row r="26" spans="1:9" ht="15.75" customHeight="1">
      <c r="A26" s="1"/>
      <c r="B26" s="1"/>
      <c r="C26" s="10"/>
      <c r="D26" s="13"/>
      <c r="E26" s="13" t="s">
        <v>67</v>
      </c>
      <c r="F26" s="14"/>
      <c r="G26" s="119">
        <f>SUM(F11:F23)</f>
        <v>167746.4356019998</v>
      </c>
      <c r="H26" s="16"/>
      <c r="I26" s="1"/>
    </row>
    <row r="27" spans="1:9" ht="13.5" customHeight="1">
      <c r="A27" s="1"/>
      <c r="B27" s="1"/>
      <c r="C27" s="10"/>
      <c r="D27" s="13"/>
      <c r="E27" s="13"/>
      <c r="F27" s="14"/>
      <c r="G27" s="14"/>
      <c r="H27" s="16"/>
      <c r="I27" s="1"/>
    </row>
    <row r="28" spans="1:9" ht="12.75" customHeight="1">
      <c r="A28" s="1"/>
      <c r="B28" s="1"/>
      <c r="C28" s="10"/>
      <c r="D28" s="13"/>
      <c r="E28" s="13"/>
      <c r="F28" s="14"/>
      <c r="G28" s="14"/>
      <c r="H28" s="15"/>
      <c r="I28" s="1"/>
    </row>
    <row r="29" spans="1:9" ht="15.75" customHeight="1">
      <c r="A29" s="1"/>
      <c r="B29" s="1"/>
      <c r="C29" s="10"/>
      <c r="D29" s="13"/>
      <c r="E29" s="21" t="s">
        <v>68</v>
      </c>
      <c r="F29" s="14"/>
      <c r="G29" s="120">
        <f>SUM(G26:G28)</f>
        <v>167746.4356019998</v>
      </c>
      <c r="H29" s="15"/>
      <c r="I29" s="1"/>
    </row>
    <row r="30" spans="1:9" ht="12.75" customHeight="1">
      <c r="A30" s="1"/>
      <c r="B30" s="1"/>
      <c r="C30" s="10"/>
      <c r="D30" s="13"/>
      <c r="E30" s="13"/>
      <c r="F30" s="13"/>
      <c r="G30" s="13"/>
      <c r="H30" s="15"/>
      <c r="I30" s="1"/>
    </row>
    <row r="31" spans="1:9" ht="12.75" customHeight="1">
      <c r="A31" s="1"/>
      <c r="B31" s="1"/>
      <c r="C31" s="18"/>
      <c r="D31" s="19"/>
      <c r="E31" s="19"/>
      <c r="F31" s="19"/>
      <c r="G31" s="19"/>
      <c r="H31" s="20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="2" customFormat="1" ht="12.75" customHeight="1"/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="2" customFormat="1" ht="12.75" customHeight="1"/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="2" customFormat="1" ht="12.75" customHeight="1"/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="2" customFormat="1" ht="12.75" customHeight="1"/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52">
      <selection activeCell="F82" sqref="F8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95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392461.610752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383159.7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96</v>
      </c>
      <c r="F21" s="94">
        <v>383159.7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f>7708.4-7198.1</f>
        <v>510.2999999999993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SUM(F28:F29)</f>
        <v>8791.610752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97</v>
      </c>
      <c r="F28" s="94">
        <v>1033.64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55</v>
      </c>
      <c r="F29" s="94">
        <f>173168.99*4.48/100</f>
        <v>7757.970752000001</v>
      </c>
      <c r="G29" s="112"/>
    </row>
    <row r="30" spans="1:7" ht="12.75" customHeight="1">
      <c r="A30" s="44"/>
      <c r="B30" s="54"/>
      <c r="C30" s="44"/>
      <c r="D30" s="44"/>
      <c r="E30" s="44"/>
      <c r="F30" s="95"/>
      <c r="G30" s="111"/>
    </row>
    <row r="31" spans="1:7" s="64" customFormat="1" ht="12.75" customHeight="1">
      <c r="A31" s="62"/>
      <c r="B31" s="57" t="s">
        <v>16</v>
      </c>
      <c r="C31" s="62"/>
      <c r="D31" s="62"/>
      <c r="E31" s="63"/>
      <c r="F31" s="96"/>
      <c r="G31" s="105">
        <f>-(F33+F39+F46+F48+F54+F61+F62+F63+F64)</f>
        <v>-387884.47416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11"/>
    </row>
    <row r="33" spans="1:7" ht="12.75" customHeight="1">
      <c r="A33" s="44"/>
      <c r="B33" s="54"/>
      <c r="D33" s="44" t="s">
        <v>18</v>
      </c>
      <c r="E33" s="65"/>
      <c r="F33" s="97">
        <f>SUM(F34:F38)</f>
        <v>171514.58556799998</v>
      </c>
      <c r="G33" s="111"/>
    </row>
    <row r="34" spans="1:7" ht="12.75" customHeight="1">
      <c r="A34" s="44"/>
      <c r="B34" s="54"/>
      <c r="D34" s="44"/>
      <c r="E34" s="65" t="s">
        <v>98</v>
      </c>
      <c r="F34" s="98">
        <v>158389.12</v>
      </c>
      <c r="G34" s="111"/>
    </row>
    <row r="35" spans="1:7" ht="12.75" customHeight="1">
      <c r="A35" s="44"/>
      <c r="B35" s="54"/>
      <c r="D35" s="44"/>
      <c r="E35" s="65" t="s">
        <v>88</v>
      </c>
      <c r="F35" s="98">
        <v>2724.54</v>
      </c>
      <c r="G35" s="111"/>
    </row>
    <row r="36" spans="1:7" ht="12.75" customHeight="1">
      <c r="A36" s="44"/>
      <c r="B36" s="54"/>
      <c r="D36" s="44"/>
      <c r="E36" s="65" t="s">
        <v>99</v>
      </c>
      <c r="F36" s="98">
        <v>1937.61</v>
      </c>
      <c r="G36" s="111"/>
    </row>
    <row r="37" spans="1:7" ht="12.75" customHeight="1">
      <c r="A37" s="44"/>
      <c r="B37" s="54"/>
      <c r="C37" s="44"/>
      <c r="D37" s="44"/>
      <c r="E37" s="66" t="s">
        <v>58</v>
      </c>
      <c r="F37" s="98">
        <v>7956.71</v>
      </c>
      <c r="G37" s="111"/>
    </row>
    <row r="38" spans="1:7" ht="12.75" customHeight="1">
      <c r="A38" s="44"/>
      <c r="B38" s="54"/>
      <c r="D38" s="44"/>
      <c r="E38" s="65" t="s">
        <v>200</v>
      </c>
      <c r="F38" s="99">
        <f>11308.16*4.48/100</f>
        <v>506.60556800000006</v>
      </c>
      <c r="G38" s="111"/>
    </row>
    <row r="39" spans="1:7" ht="12.75" customHeight="1">
      <c r="A39" s="44"/>
      <c r="B39" s="54"/>
      <c r="C39" s="44" t="s">
        <v>19</v>
      </c>
      <c r="D39" s="44"/>
      <c r="E39" s="65"/>
      <c r="F39" s="97">
        <f>SUM(F40:F45)</f>
        <v>29882.440176000004</v>
      </c>
      <c r="G39" s="111"/>
    </row>
    <row r="40" spans="1:7" ht="12.75" customHeight="1">
      <c r="A40" s="44"/>
      <c r="B40" s="54"/>
      <c r="C40" s="44"/>
      <c r="D40" s="44"/>
      <c r="E40" s="66" t="s">
        <v>47</v>
      </c>
      <c r="F40" s="98">
        <v>9756.2</v>
      </c>
      <c r="G40" s="111"/>
    </row>
    <row r="41" spans="1:7" ht="12.75" customHeight="1">
      <c r="A41" s="44"/>
      <c r="B41" s="54"/>
      <c r="C41" s="44"/>
      <c r="D41" s="44"/>
      <c r="E41" s="66" t="s">
        <v>46</v>
      </c>
      <c r="F41" s="98">
        <v>4507.13</v>
      </c>
      <c r="G41" s="111"/>
    </row>
    <row r="42" spans="1:7" ht="12.75" customHeight="1">
      <c r="A42" s="44"/>
      <c r="B42" s="54"/>
      <c r="C42" s="44"/>
      <c r="D42" s="44"/>
      <c r="E42" s="66" t="s">
        <v>52</v>
      </c>
      <c r="F42" s="98">
        <v>2319.21</v>
      </c>
      <c r="G42" s="111"/>
    </row>
    <row r="43" spans="1:7" ht="12.75" customHeight="1">
      <c r="A43" s="44"/>
      <c r="B43" s="54"/>
      <c r="C43" s="44"/>
      <c r="D43" s="44"/>
      <c r="E43" s="66" t="s">
        <v>51</v>
      </c>
      <c r="F43" s="98">
        <v>403.41</v>
      </c>
      <c r="G43" s="111"/>
    </row>
    <row r="44" spans="1:7" ht="12.75" customHeight="1">
      <c r="A44" s="44"/>
      <c r="B44" s="54"/>
      <c r="C44" s="44"/>
      <c r="D44" s="44"/>
      <c r="E44" s="66" t="s">
        <v>118</v>
      </c>
      <c r="F44" s="98">
        <v>360</v>
      </c>
      <c r="G44" s="111"/>
    </row>
    <row r="45" spans="1:7" ht="12.75" customHeight="1">
      <c r="A45" s="44"/>
      <c r="B45" s="54"/>
      <c r="C45" s="44"/>
      <c r="D45" s="44"/>
      <c r="E45" s="66" t="s">
        <v>200</v>
      </c>
      <c r="F45" s="98">
        <f>(192155.07+91855.09-4177.79)*4.48/100</f>
        <v>12536.490176000003</v>
      </c>
      <c r="G45" s="111"/>
    </row>
    <row r="46" spans="1:7" ht="12.75" customHeight="1">
      <c r="A46" s="44"/>
      <c r="B46" s="54"/>
      <c r="C46" s="44" t="s">
        <v>20</v>
      </c>
      <c r="D46" s="44"/>
      <c r="E46" s="65"/>
      <c r="F46" s="93">
        <f>SUM(F47:F47)</f>
        <v>256.36800000000005</v>
      </c>
      <c r="G46" s="111"/>
    </row>
    <row r="47" spans="1:7" ht="12.75" customHeight="1">
      <c r="A47" s="44"/>
      <c r="B47" s="54"/>
      <c r="C47" s="44"/>
      <c r="D47" s="44"/>
      <c r="E47" s="66" t="s">
        <v>200</v>
      </c>
      <c r="F47" s="102">
        <f>5722.5*4.48/100</f>
        <v>256.36800000000005</v>
      </c>
      <c r="G47" s="111"/>
    </row>
    <row r="48" spans="1:7" ht="12.75" customHeight="1">
      <c r="A48" s="44"/>
      <c r="B48" s="54"/>
      <c r="C48" s="44" t="s">
        <v>21</v>
      </c>
      <c r="D48" s="44"/>
      <c r="E48" s="65"/>
      <c r="F48" s="97">
        <f>SUM(F49:F53)</f>
        <v>181809.31816</v>
      </c>
      <c r="G48" s="111"/>
    </row>
    <row r="49" spans="1:7" ht="12.75" customHeight="1">
      <c r="A49" s="44"/>
      <c r="B49" s="54"/>
      <c r="D49" s="67" t="s">
        <v>22</v>
      </c>
      <c r="E49" s="68"/>
      <c r="F49" s="98">
        <f>(101274.39+1868.79+4103.45+2057.57+8201.51)+((156598.12+3060+6461.31+3135.35+26557.42+67700)*4.48/100)+141.43</f>
        <v>129452.48655999999</v>
      </c>
      <c r="G49" s="111"/>
    </row>
    <row r="50" spans="1:7" ht="12.75" customHeight="1">
      <c r="A50" s="44"/>
      <c r="B50" s="54"/>
      <c r="D50" s="67" t="s">
        <v>23</v>
      </c>
      <c r="E50" s="68"/>
      <c r="F50" s="98">
        <f>(22525.51+476.82+1047+514.39+2092.62)+((28726.58+768.92+1623.1+783.84+5280.25+12300)*4.48/100)</f>
        <v>28873.164511999996</v>
      </c>
      <c r="G50" s="111"/>
    </row>
    <row r="51" spans="1:7" ht="12.75" customHeight="1">
      <c r="A51" s="44"/>
      <c r="B51" s="54"/>
      <c r="D51" s="67" t="s">
        <v>24</v>
      </c>
      <c r="E51" s="68"/>
      <c r="F51" s="98">
        <f>18462.34+((12334.31+5500)*4.48/100)</f>
        <v>19261.317088</v>
      </c>
      <c r="G51" s="111"/>
    </row>
    <row r="52" spans="1:7" ht="12.75" customHeight="1">
      <c r="A52" s="44"/>
      <c r="B52" s="54"/>
      <c r="D52" s="67" t="s">
        <v>25</v>
      </c>
      <c r="E52" s="68"/>
      <c r="F52" s="98">
        <v>0</v>
      </c>
      <c r="G52" s="111"/>
    </row>
    <row r="53" spans="1:7" ht="12.75" customHeight="1">
      <c r="A53" s="44"/>
      <c r="B53" s="54"/>
      <c r="D53" s="67" t="s">
        <v>130</v>
      </c>
      <c r="E53" s="68"/>
      <c r="F53" s="98">
        <f>50.4+4171.95</f>
        <v>4222.349999999999</v>
      </c>
      <c r="G53" s="111"/>
    </row>
    <row r="54" spans="1:7" ht="12.75" customHeight="1">
      <c r="A54" s="44"/>
      <c r="B54" s="54"/>
      <c r="C54" s="44" t="s">
        <v>27</v>
      </c>
      <c r="D54" s="44"/>
      <c r="E54" s="65"/>
      <c r="F54" s="97">
        <f>SUM(F55:F59)</f>
        <v>801.784208</v>
      </c>
      <c r="G54" s="111"/>
    </row>
    <row r="55" spans="1:7" ht="12.75" customHeight="1">
      <c r="A55" s="44"/>
      <c r="B55" s="54"/>
      <c r="C55" s="44"/>
      <c r="D55" s="67" t="s">
        <v>28</v>
      </c>
      <c r="E55" s="68"/>
      <c r="F55" s="98">
        <f>2448.47*4.48/100</f>
        <v>109.691456</v>
      </c>
      <c r="G55" s="111"/>
    </row>
    <row r="56" spans="1:7" ht="12.75" customHeight="1">
      <c r="A56" s="44"/>
      <c r="B56" s="54"/>
      <c r="D56" s="67" t="s">
        <v>29</v>
      </c>
      <c r="E56" s="69"/>
      <c r="F56" s="98">
        <f>623.09+(1540.24*4.48/100)</f>
        <v>692.092752</v>
      </c>
      <c r="G56" s="111"/>
    </row>
    <row r="57" spans="1:7" ht="12.75" customHeight="1">
      <c r="A57" s="44"/>
      <c r="B57" s="54"/>
      <c r="D57" s="67" t="s">
        <v>31</v>
      </c>
      <c r="E57" s="68"/>
      <c r="F57" s="98">
        <v>0</v>
      </c>
      <c r="G57" s="111"/>
    </row>
    <row r="58" spans="1:7" ht="12.75" customHeight="1">
      <c r="A58" s="44"/>
      <c r="B58" s="54"/>
      <c r="D58" s="67" t="s">
        <v>32</v>
      </c>
      <c r="E58" s="68"/>
      <c r="F58" s="98"/>
      <c r="G58" s="111"/>
    </row>
    <row r="59" spans="1:7" ht="12.75" customHeight="1">
      <c r="A59" s="44"/>
      <c r="B59" s="54"/>
      <c r="D59" s="67"/>
      <c r="E59" s="69" t="s">
        <v>33</v>
      </c>
      <c r="F59" s="98">
        <v>0</v>
      </c>
      <c r="G59" s="111"/>
    </row>
    <row r="60" spans="1:7" ht="12.75" customHeight="1">
      <c r="A60" s="44"/>
      <c r="B60" s="54"/>
      <c r="C60" s="44" t="s">
        <v>34</v>
      </c>
      <c r="D60" s="44"/>
      <c r="E60" s="65"/>
      <c r="F60" s="95"/>
      <c r="G60" s="111"/>
    </row>
    <row r="61" spans="1:7" ht="12.75" customHeight="1">
      <c r="A61" s="44"/>
      <c r="B61" s="54"/>
      <c r="D61" s="44"/>
      <c r="E61" s="70" t="s">
        <v>35</v>
      </c>
      <c r="F61" s="95">
        <v>0</v>
      </c>
      <c r="G61" s="111"/>
    </row>
    <row r="62" spans="1:7" ht="12.75" customHeight="1">
      <c r="A62" s="44"/>
      <c r="B62" s="54"/>
      <c r="C62" s="44" t="s">
        <v>36</v>
      </c>
      <c r="D62" s="44"/>
      <c r="E62" s="65"/>
      <c r="F62" s="95">
        <v>0</v>
      </c>
      <c r="G62" s="111"/>
    </row>
    <row r="63" spans="1:7" ht="12.75" customHeight="1">
      <c r="A63" s="44"/>
      <c r="B63" s="54"/>
      <c r="C63" s="44" t="s">
        <v>37</v>
      </c>
      <c r="D63" s="44"/>
      <c r="E63" s="65"/>
      <c r="F63" s="95">
        <v>0</v>
      </c>
      <c r="G63" s="111"/>
    </row>
    <row r="64" spans="1:7" ht="12.75" customHeight="1">
      <c r="A64" s="44"/>
      <c r="B64" s="54"/>
      <c r="C64" s="44" t="s">
        <v>38</v>
      </c>
      <c r="D64" s="44"/>
      <c r="E64" s="65"/>
      <c r="F64" s="95">
        <f>SUM(F65:F66)</f>
        <v>3619.9780480000004</v>
      </c>
      <c r="G64" s="111"/>
    </row>
    <row r="65" spans="1:7" ht="13.5" customHeight="1">
      <c r="A65" s="44"/>
      <c r="B65" s="54"/>
      <c r="C65" s="44"/>
      <c r="D65" s="44" t="s">
        <v>0</v>
      </c>
      <c r="E65" s="66" t="s">
        <v>57</v>
      </c>
      <c r="F65" s="98">
        <v>3296.32</v>
      </c>
      <c r="G65" s="111"/>
    </row>
    <row r="66" spans="1:7" ht="12.75" customHeight="1">
      <c r="A66" s="44"/>
      <c r="B66" s="54"/>
      <c r="C66" s="44"/>
      <c r="D66" s="44"/>
      <c r="E66" s="66" t="s">
        <v>201</v>
      </c>
      <c r="F66" s="102">
        <f>7224.51*4.48/100</f>
        <v>323.65804800000006</v>
      </c>
      <c r="G66" s="111"/>
    </row>
    <row r="67" spans="1:7" ht="12.75" customHeight="1">
      <c r="A67" s="44"/>
      <c r="B67" s="54"/>
      <c r="C67" s="44"/>
      <c r="D67" s="44"/>
      <c r="E67" s="70"/>
      <c r="F67" s="95" t="s">
        <v>0</v>
      </c>
      <c r="G67" s="111"/>
    </row>
    <row r="68" spans="1:7" ht="12.75" customHeight="1">
      <c r="A68" s="72"/>
      <c r="B68" s="57" t="s">
        <v>39</v>
      </c>
      <c r="C68" s="73"/>
      <c r="D68" s="73"/>
      <c r="E68" s="66"/>
      <c r="F68" s="95" t="s">
        <v>0</v>
      </c>
      <c r="G68" s="106">
        <f>G19+G31</f>
        <v>4577.136592000024</v>
      </c>
    </row>
    <row r="69" spans="1:7" ht="12.75" customHeight="1">
      <c r="A69" s="44"/>
      <c r="B69" s="74" t="s">
        <v>40</v>
      </c>
      <c r="C69" s="44"/>
      <c r="D69" s="44"/>
      <c r="E69" s="70"/>
      <c r="F69" s="95" t="s">
        <v>0</v>
      </c>
      <c r="G69" s="113"/>
    </row>
    <row r="70" spans="2:7" ht="12" customHeight="1">
      <c r="B70" s="76"/>
      <c r="E70" s="65"/>
      <c r="F70" s="95" t="s">
        <v>0</v>
      </c>
      <c r="G70" s="113"/>
    </row>
    <row r="71" spans="2:7" ht="12" customHeight="1">
      <c r="B71" s="57" t="s">
        <v>80</v>
      </c>
      <c r="C71" s="62"/>
      <c r="D71" s="62"/>
      <c r="E71" s="77"/>
      <c r="F71" s="96"/>
      <c r="G71" s="107">
        <f>SUM(F73:F75)</f>
        <v>-804.886656</v>
      </c>
    </row>
    <row r="72" spans="2:7" ht="12">
      <c r="B72" s="76"/>
      <c r="E72" s="65"/>
      <c r="F72" s="95"/>
      <c r="G72" s="113"/>
    </row>
    <row r="73" spans="2:7" ht="12">
      <c r="B73" s="54"/>
      <c r="C73" s="44" t="s">
        <v>77</v>
      </c>
      <c r="D73" s="44"/>
      <c r="E73" s="65"/>
      <c r="F73" s="93">
        <v>0</v>
      </c>
      <c r="G73" s="113"/>
    </row>
    <row r="74" spans="2:7" ht="12">
      <c r="B74" s="76"/>
      <c r="C74" s="44" t="s">
        <v>78</v>
      </c>
      <c r="E74" s="65"/>
      <c r="F74" s="95">
        <f>-22144.01*4.48/100</f>
        <v>-992.051648</v>
      </c>
      <c r="G74" s="113"/>
    </row>
    <row r="75" spans="2:7" ht="12">
      <c r="B75" s="76"/>
      <c r="C75" s="44" t="s">
        <v>79</v>
      </c>
      <c r="E75" s="65"/>
      <c r="F75" s="95">
        <f>4177.79*4.48/100</f>
        <v>187.164992</v>
      </c>
      <c r="G75" s="113"/>
    </row>
    <row r="76" spans="2:7" ht="12">
      <c r="B76" s="76"/>
      <c r="E76" s="65"/>
      <c r="F76" s="95"/>
      <c r="G76" s="113"/>
    </row>
    <row r="77" spans="2:7" ht="12">
      <c r="B77" s="57" t="s">
        <v>81</v>
      </c>
      <c r="C77" s="62"/>
      <c r="D77" s="62"/>
      <c r="E77" s="77"/>
      <c r="F77" s="96">
        <v>0</v>
      </c>
      <c r="G77" s="107">
        <v>0</v>
      </c>
    </row>
    <row r="78" spans="2:7" ht="12">
      <c r="B78" s="76"/>
      <c r="E78" s="65"/>
      <c r="F78" s="95"/>
      <c r="G78" s="113"/>
    </row>
    <row r="79" spans="2:7" ht="12">
      <c r="B79" s="57" t="s">
        <v>76</v>
      </c>
      <c r="C79" s="62"/>
      <c r="D79" s="62"/>
      <c r="E79" s="77"/>
      <c r="F79" s="96"/>
      <c r="G79" s="107">
        <f>SUM(F81:F82)</f>
        <v>236.527872</v>
      </c>
    </row>
    <row r="80" spans="2:7" ht="12">
      <c r="B80" s="76"/>
      <c r="E80" s="65"/>
      <c r="F80" s="95"/>
      <c r="G80" s="113"/>
    </row>
    <row r="81" spans="2:7" ht="12">
      <c r="B81" s="76"/>
      <c r="C81" s="44" t="s">
        <v>82</v>
      </c>
      <c r="E81" s="65"/>
      <c r="F81" s="95">
        <v>0</v>
      </c>
      <c r="G81" s="113"/>
    </row>
    <row r="82" spans="2:7" ht="12">
      <c r="B82" s="76"/>
      <c r="C82" s="44" t="s">
        <v>83</v>
      </c>
      <c r="E82" s="65"/>
      <c r="F82" s="95">
        <f>(4079.64+1200)*4.48/100</f>
        <v>236.527872</v>
      </c>
      <c r="G82" s="113"/>
    </row>
    <row r="83" spans="2:7" ht="12">
      <c r="B83" s="76"/>
      <c r="E83" s="65"/>
      <c r="F83" s="95"/>
      <c r="G83" s="113"/>
    </row>
    <row r="84" spans="2:7" ht="12">
      <c r="B84" s="79" t="s">
        <v>84</v>
      </c>
      <c r="C84" s="63"/>
      <c r="D84" s="63"/>
      <c r="E84" s="77"/>
      <c r="F84" s="95">
        <f>114854.73*4.48/100</f>
        <v>5145.491904</v>
      </c>
      <c r="G84" s="107">
        <f>F84</f>
        <v>5145.491904</v>
      </c>
    </row>
    <row r="85" spans="2:7" ht="12">
      <c r="B85" s="76"/>
      <c r="E85" s="65"/>
      <c r="F85" s="95"/>
      <c r="G85" s="113"/>
    </row>
    <row r="86" spans="2:7" ht="12.75">
      <c r="B86" s="57"/>
      <c r="E86" s="80" t="s">
        <v>85</v>
      </c>
      <c r="F86" s="95"/>
      <c r="G86" s="108">
        <f>G68-G71-G77-G79-G84</f>
        <v>0.003472000023975852</v>
      </c>
    </row>
    <row r="87" spans="2:7" ht="12">
      <c r="B87" s="81"/>
      <c r="C87" s="82"/>
      <c r="D87" s="82"/>
      <c r="E87" s="83"/>
      <c r="F87" s="114"/>
      <c r="G87" s="11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workbookViewId="0" topLeftCell="A67">
      <selection activeCell="F97" sqref="F97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88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42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F20+F27+F28+F29+F31</f>
        <v>294738.15149099997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SUM(F21:F25)</f>
        <v>209382.97999999998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105</v>
      </c>
      <c r="F21" s="94">
        <v>55602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106</v>
      </c>
      <c r="F22" s="94">
        <v>2303</v>
      </c>
      <c r="G22" s="110"/>
    </row>
    <row r="23" spans="1:7" ht="12.75" customHeight="1">
      <c r="A23" s="44"/>
      <c r="B23" s="54"/>
      <c r="C23" s="44"/>
      <c r="D23" s="44" t="s">
        <v>30</v>
      </c>
      <c r="E23" s="45" t="s">
        <v>107</v>
      </c>
      <c r="F23" s="94">
        <v>66210.8</v>
      </c>
      <c r="G23" s="110"/>
    </row>
    <row r="24" spans="1:7" ht="12.75" customHeight="1">
      <c r="A24" s="44"/>
      <c r="B24" s="54"/>
      <c r="C24" s="44"/>
      <c r="D24" s="44" t="s">
        <v>30</v>
      </c>
      <c r="E24" s="45" t="s">
        <v>131</v>
      </c>
      <c r="F24" s="94">
        <v>4318.79</v>
      </c>
      <c r="G24" s="110"/>
    </row>
    <row r="25" spans="1:7" ht="12.75" customHeight="1">
      <c r="A25" s="44"/>
      <c r="B25" s="54"/>
      <c r="C25" s="44"/>
      <c r="D25" s="44" t="s">
        <v>30</v>
      </c>
      <c r="E25" s="45" t="s">
        <v>108</v>
      </c>
      <c r="F25" s="94">
        <v>80948.39</v>
      </c>
      <c r="G25" s="110"/>
    </row>
    <row r="26" spans="1:7" ht="12.75" customHeight="1">
      <c r="A26" s="44"/>
      <c r="B26" s="54"/>
      <c r="C26" s="44" t="s">
        <v>8</v>
      </c>
      <c r="D26" s="44" t="s">
        <v>9</v>
      </c>
      <c r="F26" s="95"/>
      <c r="G26" s="110"/>
    </row>
    <row r="27" spans="1:7" ht="12.75" customHeight="1">
      <c r="A27" s="44"/>
      <c r="B27" s="54"/>
      <c r="C27" s="44"/>
      <c r="D27" s="44" t="s">
        <v>10</v>
      </c>
      <c r="F27" s="95">
        <v>0</v>
      </c>
      <c r="G27" s="110"/>
    </row>
    <row r="28" spans="1:7" ht="12.75" customHeight="1">
      <c r="A28" s="44"/>
      <c r="B28" s="54"/>
      <c r="C28" s="44" t="s">
        <v>11</v>
      </c>
      <c r="D28" s="44" t="s">
        <v>12</v>
      </c>
      <c r="F28" s="95">
        <v>0</v>
      </c>
      <c r="G28" s="110"/>
    </row>
    <row r="29" spans="1:7" ht="12.75" customHeight="1">
      <c r="A29" s="44"/>
      <c r="B29" s="54"/>
      <c r="C29" s="44" t="s">
        <v>13</v>
      </c>
      <c r="D29" s="44"/>
      <c r="F29" s="95">
        <v>0</v>
      </c>
      <c r="G29" s="110"/>
    </row>
    <row r="30" spans="1:7" ht="12.75" customHeight="1">
      <c r="A30" s="44"/>
      <c r="B30" s="54"/>
      <c r="C30" s="44" t="s">
        <v>14</v>
      </c>
      <c r="D30" s="44"/>
      <c r="F30" s="95" t="s">
        <v>0</v>
      </c>
      <c r="G30" s="111"/>
    </row>
    <row r="31" spans="1:7" ht="12.75" customHeight="1">
      <c r="A31" s="44"/>
      <c r="B31" s="54"/>
      <c r="C31" s="44"/>
      <c r="D31" s="44" t="s">
        <v>15</v>
      </c>
      <c r="F31" s="93">
        <f>SUM(F32:F34)</f>
        <v>85355.171491</v>
      </c>
      <c r="G31" s="111"/>
    </row>
    <row r="32" spans="1:7" ht="12.75" customHeight="1">
      <c r="A32" s="44"/>
      <c r="B32" s="54"/>
      <c r="C32" s="44"/>
      <c r="D32" s="60" t="s">
        <v>30</v>
      </c>
      <c r="E32" s="45" t="s">
        <v>54</v>
      </c>
      <c r="F32" s="94">
        <v>73875.22</v>
      </c>
      <c r="G32" s="112"/>
    </row>
    <row r="33" spans="1:7" ht="12.75" customHeight="1">
      <c r="A33" s="44"/>
      <c r="B33" s="54"/>
      <c r="C33" s="44"/>
      <c r="D33" s="60" t="s">
        <v>30</v>
      </c>
      <c r="E33" s="45" t="s">
        <v>55</v>
      </c>
      <c r="F33" s="94">
        <v>933.96</v>
      </c>
      <c r="G33" s="112"/>
    </row>
    <row r="34" spans="1:7" ht="12.75" customHeight="1">
      <c r="A34" s="44"/>
      <c r="B34" s="54"/>
      <c r="C34" s="44"/>
      <c r="D34" s="60" t="s">
        <v>30</v>
      </c>
      <c r="E34" s="45" t="s">
        <v>199</v>
      </c>
      <c r="F34" s="94">
        <f>173168.99*6.09/100</f>
        <v>10545.991490999999</v>
      </c>
      <c r="G34" s="112"/>
    </row>
    <row r="35" spans="1:7" ht="12.75" customHeight="1">
      <c r="A35" s="44"/>
      <c r="B35" s="54"/>
      <c r="C35" s="44"/>
      <c r="D35" s="44"/>
      <c r="E35" s="44"/>
      <c r="F35" s="95"/>
      <c r="G35" s="111"/>
    </row>
    <row r="36" spans="1:7" s="64" customFormat="1" ht="12.75" customHeight="1">
      <c r="A36" s="62"/>
      <c r="B36" s="57" t="s">
        <v>16</v>
      </c>
      <c r="C36" s="62"/>
      <c r="D36" s="62"/>
      <c r="E36" s="63"/>
      <c r="F36" s="96"/>
      <c r="G36" s="105">
        <f>-(F38+F43+F57+F60+F66+F73+F74+F75+F76)</f>
        <v>-369953.86190500006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111"/>
    </row>
    <row r="38" spans="1:7" ht="12.75" customHeight="1">
      <c r="A38" s="44"/>
      <c r="B38" s="54"/>
      <c r="D38" s="44" t="s">
        <v>18</v>
      </c>
      <c r="E38" s="65"/>
      <c r="F38" s="97">
        <f>SUM(F39:F42)</f>
        <v>5611.2469439999995</v>
      </c>
      <c r="G38" s="111"/>
    </row>
    <row r="39" spans="1:7" ht="12.75" customHeight="1">
      <c r="A39" s="44"/>
      <c r="B39" s="54"/>
      <c r="C39" s="44"/>
      <c r="D39" s="44"/>
      <c r="E39" s="66" t="s">
        <v>44</v>
      </c>
      <c r="F39" s="98">
        <v>160.58</v>
      </c>
      <c r="G39" s="111"/>
    </row>
    <row r="40" spans="1:7" ht="12.75" customHeight="1">
      <c r="A40" s="44"/>
      <c r="B40" s="54"/>
      <c r="C40" s="44"/>
      <c r="D40" s="44"/>
      <c r="E40" s="66" t="s">
        <v>182</v>
      </c>
      <c r="F40" s="98">
        <v>432</v>
      </c>
      <c r="G40" s="111"/>
    </row>
    <row r="41" spans="1:7" ht="12.75" customHeight="1">
      <c r="A41" s="44"/>
      <c r="B41" s="54"/>
      <c r="C41" s="44"/>
      <c r="D41" s="44"/>
      <c r="E41" s="66" t="s">
        <v>73</v>
      </c>
      <c r="F41" s="116">
        <v>4330</v>
      </c>
      <c r="G41" s="111"/>
    </row>
    <row r="42" spans="1:7" ht="12.75" customHeight="1">
      <c r="A42" s="44"/>
      <c r="B42" s="54"/>
      <c r="D42" s="44"/>
      <c r="E42" s="65" t="s">
        <v>200</v>
      </c>
      <c r="F42" s="99">
        <f>11308.16*6.09/100</f>
        <v>688.666944</v>
      </c>
      <c r="G42" s="111"/>
    </row>
    <row r="43" spans="1:7" ht="12.75" customHeight="1">
      <c r="A43" s="44"/>
      <c r="B43" s="54"/>
      <c r="C43" s="44" t="s">
        <v>19</v>
      </c>
      <c r="D43" s="44"/>
      <c r="E43" s="65"/>
      <c r="F43" s="97">
        <f>SUM(F44:F56)</f>
        <v>201636.831333</v>
      </c>
      <c r="G43" s="111"/>
    </row>
    <row r="44" spans="1:7" ht="12.75" customHeight="1">
      <c r="A44" s="44"/>
      <c r="B44" s="54"/>
      <c r="C44" s="44"/>
      <c r="D44" s="44"/>
      <c r="E44" s="65" t="s">
        <v>50</v>
      </c>
      <c r="F44" s="97">
        <v>20738</v>
      </c>
      <c r="G44" s="111"/>
    </row>
    <row r="45" spans="1:7" ht="12.75" customHeight="1">
      <c r="A45" s="44"/>
      <c r="B45" s="54"/>
      <c r="C45" s="44"/>
      <c r="D45" s="44"/>
      <c r="E45" s="66" t="s">
        <v>46</v>
      </c>
      <c r="F45" s="98">
        <v>300.48</v>
      </c>
      <c r="G45" s="111"/>
    </row>
    <row r="46" spans="1:7" ht="12.75" customHeight="1">
      <c r="A46" s="44"/>
      <c r="B46" s="54"/>
      <c r="C46" s="44"/>
      <c r="D46" s="44"/>
      <c r="E46" s="66" t="s">
        <v>133</v>
      </c>
      <c r="F46" s="98">
        <v>10762.89</v>
      </c>
      <c r="G46" s="111"/>
    </row>
    <row r="47" spans="1:7" ht="12.75" customHeight="1">
      <c r="A47" s="44"/>
      <c r="B47" s="54"/>
      <c r="C47" s="44"/>
      <c r="D47" s="44"/>
      <c r="E47" s="66" t="s">
        <v>146</v>
      </c>
      <c r="F47" s="98">
        <v>2115</v>
      </c>
      <c r="G47" s="111"/>
    </row>
    <row r="48" spans="1:7" ht="12.75" customHeight="1">
      <c r="A48" s="44"/>
      <c r="B48" s="54"/>
      <c r="C48" s="44"/>
      <c r="D48" s="44"/>
      <c r="E48" s="66" t="s">
        <v>123</v>
      </c>
      <c r="F48" s="98">
        <v>617.08</v>
      </c>
      <c r="G48" s="111"/>
    </row>
    <row r="49" spans="1:7" ht="12.75" customHeight="1">
      <c r="A49" s="44"/>
      <c r="B49" s="54"/>
      <c r="C49" s="44"/>
      <c r="D49" s="44"/>
      <c r="E49" s="66" t="s">
        <v>124</v>
      </c>
      <c r="F49" s="98">
        <v>4853.07</v>
      </c>
      <c r="G49" s="111"/>
    </row>
    <row r="50" spans="1:7" ht="12.75" customHeight="1">
      <c r="A50" s="44"/>
      <c r="B50" s="54"/>
      <c r="C50" s="44"/>
      <c r="D50" s="44"/>
      <c r="E50" s="66" t="s">
        <v>48</v>
      </c>
      <c r="F50" s="98">
        <v>430.91</v>
      </c>
      <c r="G50" s="111"/>
    </row>
    <row r="51" spans="1:7" ht="12.75" customHeight="1">
      <c r="A51" s="44"/>
      <c r="B51" s="54"/>
      <c r="C51" s="44"/>
      <c r="D51" s="44"/>
      <c r="E51" s="66" t="s">
        <v>92</v>
      </c>
      <c r="F51" s="98">
        <v>9315.81</v>
      </c>
      <c r="G51" s="111"/>
    </row>
    <row r="52" spans="1:7" ht="12.75" customHeight="1">
      <c r="A52" s="44"/>
      <c r="B52" s="54"/>
      <c r="C52" s="44"/>
      <c r="D52" s="44"/>
      <c r="E52" s="66" t="s">
        <v>132</v>
      </c>
      <c r="F52" s="98">
        <v>62194.34</v>
      </c>
      <c r="G52" s="111"/>
    </row>
    <row r="53" spans="1:7" ht="12.75" customHeight="1">
      <c r="A53" s="44"/>
      <c r="B53" s="54"/>
      <c r="C53" s="44"/>
      <c r="D53" s="44"/>
      <c r="E53" s="66" t="s">
        <v>161</v>
      </c>
      <c r="F53" s="98">
        <v>18057.28</v>
      </c>
      <c r="G53" s="111"/>
    </row>
    <row r="54" spans="1:7" ht="12.75" customHeight="1">
      <c r="A54" s="44"/>
      <c r="B54" s="54"/>
      <c r="C54" s="44"/>
      <c r="D54" s="44"/>
      <c r="E54" s="66" t="s">
        <v>163</v>
      </c>
      <c r="F54" s="98">
        <v>50434.64</v>
      </c>
      <c r="G54" s="111"/>
    </row>
    <row r="55" spans="1:7" ht="12.75" customHeight="1">
      <c r="A55" s="44"/>
      <c r="B55" s="54"/>
      <c r="C55" s="44"/>
      <c r="D55" s="44"/>
      <c r="E55" s="66" t="s">
        <v>162</v>
      </c>
      <c r="F55" s="98">
        <v>4775.54</v>
      </c>
      <c r="G55" s="111"/>
    </row>
    <row r="56" spans="1:7" ht="12.75" customHeight="1">
      <c r="A56" s="44"/>
      <c r="B56" s="54"/>
      <c r="C56" s="44"/>
      <c r="D56" s="44"/>
      <c r="E56" s="66" t="s">
        <v>200</v>
      </c>
      <c r="F56" s="98">
        <f>(192155.07+91855.09-4177.79)*6.09/100</f>
        <v>17041.791333000005</v>
      </c>
      <c r="G56" s="111"/>
    </row>
    <row r="57" spans="1:7" ht="12.75" customHeight="1">
      <c r="A57" s="44"/>
      <c r="B57" s="54"/>
      <c r="C57" s="44" t="s">
        <v>20</v>
      </c>
      <c r="D57" s="44"/>
      <c r="E57" s="65"/>
      <c r="F57" s="93">
        <f>SUM(F58:F59)</f>
        <v>3728.84025</v>
      </c>
      <c r="G57" s="111"/>
    </row>
    <row r="58" spans="1:7" ht="12.75" customHeight="1">
      <c r="A58" s="44"/>
      <c r="B58" s="54"/>
      <c r="C58" s="44"/>
      <c r="D58" s="44"/>
      <c r="E58" s="66" t="s">
        <v>93</v>
      </c>
      <c r="F58" s="98">
        <v>3380.34</v>
      </c>
      <c r="G58" s="111"/>
    </row>
    <row r="59" spans="1:7" ht="12.75" customHeight="1">
      <c r="A59" s="44"/>
      <c r="B59" s="54"/>
      <c r="C59" s="44"/>
      <c r="D59" s="44"/>
      <c r="E59" s="66" t="s">
        <v>200</v>
      </c>
      <c r="F59" s="98">
        <f>5722.5*6.09/100</f>
        <v>348.50025</v>
      </c>
      <c r="G59" s="111"/>
    </row>
    <row r="60" spans="1:7" ht="12.75" customHeight="1">
      <c r="A60" s="44"/>
      <c r="B60" s="54"/>
      <c r="C60" s="44" t="s">
        <v>21</v>
      </c>
      <c r="D60" s="44"/>
      <c r="E60" s="65"/>
      <c r="F60" s="97">
        <f>SUM(F61:F65)</f>
        <v>150296.48828</v>
      </c>
      <c r="G60" s="111"/>
    </row>
    <row r="61" spans="1:7" ht="12.75" customHeight="1">
      <c r="A61" s="44"/>
      <c r="B61" s="54"/>
      <c r="D61" s="67" t="s">
        <v>22</v>
      </c>
      <c r="E61" s="68"/>
      <c r="F61" s="98">
        <f>(87807.16+1125.64+2317.39+1175.75+5212.58)+((156598.12+3060+6461.31+3135.35+26557.42+67700)*6.09/100)+153.56</f>
        <v>113839.97298</v>
      </c>
      <c r="G61" s="111"/>
    </row>
    <row r="62" spans="1:7" ht="12.75" customHeight="1">
      <c r="A62" s="44"/>
      <c r="B62" s="54"/>
      <c r="D62" s="67" t="s">
        <v>23</v>
      </c>
      <c r="E62" s="68"/>
      <c r="F62" s="98">
        <f>(21589.78+282.66+581.92+293.94+1308.93)+((28726.58+768.92+1623.1+783.84+5280.25+12300)*6.09/100)</f>
        <v>27070.725820999996</v>
      </c>
      <c r="G62" s="111"/>
    </row>
    <row r="63" spans="1:7" ht="12.75" customHeight="1">
      <c r="A63" s="44"/>
      <c r="B63" s="54"/>
      <c r="D63" s="67" t="s">
        <v>24</v>
      </c>
      <c r="E63" s="68"/>
      <c r="F63" s="98">
        <f>6154.11+((12334.31+5500)*6.09/100)</f>
        <v>7240.219478999999</v>
      </c>
      <c r="G63" s="111"/>
    </row>
    <row r="64" spans="1:7" ht="12.75" customHeight="1">
      <c r="A64" s="44"/>
      <c r="B64" s="54"/>
      <c r="D64" s="67" t="s">
        <v>25</v>
      </c>
      <c r="E64" s="68"/>
      <c r="F64" s="98">
        <v>0</v>
      </c>
      <c r="G64" s="111"/>
    </row>
    <row r="65" spans="1:7" ht="12.75" customHeight="1">
      <c r="A65" s="44"/>
      <c r="B65" s="54"/>
      <c r="D65" s="67" t="s">
        <v>130</v>
      </c>
      <c r="E65" s="68"/>
      <c r="F65" s="98">
        <f>754.92+1390.65</f>
        <v>2145.57</v>
      </c>
      <c r="G65" s="111"/>
    </row>
    <row r="66" spans="1:7" ht="12.75" customHeight="1">
      <c r="A66" s="44"/>
      <c r="B66" s="54"/>
      <c r="C66" s="44" t="s">
        <v>27</v>
      </c>
      <c r="D66" s="44"/>
      <c r="E66" s="65"/>
      <c r="F66" s="97">
        <f>SUM(F67:F71)</f>
        <v>6017.892439</v>
      </c>
      <c r="G66" s="111"/>
    </row>
    <row r="67" spans="1:7" ht="12.75" customHeight="1">
      <c r="A67" s="44"/>
      <c r="B67" s="54"/>
      <c r="C67" s="44"/>
      <c r="D67" s="67" t="s">
        <v>28</v>
      </c>
      <c r="E67" s="68"/>
      <c r="F67" s="98">
        <f>2448.47*6.09/100</f>
        <v>149.111823</v>
      </c>
      <c r="G67" s="111"/>
    </row>
    <row r="68" spans="1:7" ht="12.75" customHeight="1">
      <c r="A68" s="44"/>
      <c r="B68" s="54"/>
      <c r="D68" s="67" t="s">
        <v>29</v>
      </c>
      <c r="E68" s="69"/>
      <c r="F68" s="98">
        <f>5774.98+(1540.24*6.09/100)</f>
        <v>5868.780616</v>
      </c>
      <c r="G68" s="111"/>
    </row>
    <row r="69" spans="1:7" ht="12.75" customHeight="1">
      <c r="A69" s="44"/>
      <c r="B69" s="54"/>
      <c r="D69" s="67" t="s">
        <v>31</v>
      </c>
      <c r="E69" s="68"/>
      <c r="F69" s="98">
        <v>0</v>
      </c>
      <c r="G69" s="111"/>
    </row>
    <row r="70" spans="1:7" ht="12.75" customHeight="1">
      <c r="A70" s="44"/>
      <c r="B70" s="54"/>
      <c r="D70" s="67" t="s">
        <v>32</v>
      </c>
      <c r="E70" s="68"/>
      <c r="F70" s="98"/>
      <c r="G70" s="111"/>
    </row>
    <row r="71" spans="1:7" ht="12.75" customHeight="1">
      <c r="A71" s="44"/>
      <c r="B71" s="54"/>
      <c r="D71" s="67"/>
      <c r="E71" s="69" t="s">
        <v>33</v>
      </c>
      <c r="F71" s="98">
        <v>0</v>
      </c>
      <c r="G71" s="111"/>
    </row>
    <row r="72" spans="1:7" ht="12.75" customHeight="1">
      <c r="A72" s="44"/>
      <c r="B72" s="54"/>
      <c r="C72" s="44" t="s">
        <v>34</v>
      </c>
      <c r="D72" s="44"/>
      <c r="E72" s="65"/>
      <c r="F72" s="95"/>
      <c r="G72" s="111"/>
    </row>
    <row r="73" spans="1:7" ht="12.75" customHeight="1">
      <c r="A73" s="44"/>
      <c r="B73" s="54"/>
      <c r="D73" s="44"/>
      <c r="E73" s="70" t="s">
        <v>35</v>
      </c>
      <c r="F73" s="95">
        <v>0</v>
      </c>
      <c r="G73" s="111"/>
    </row>
    <row r="74" spans="1:7" ht="12.75" customHeight="1">
      <c r="A74" s="44"/>
      <c r="B74" s="54"/>
      <c r="C74" s="44" t="s">
        <v>36</v>
      </c>
      <c r="D74" s="44"/>
      <c r="E74" s="65"/>
      <c r="F74" s="95">
        <v>0</v>
      </c>
      <c r="G74" s="111"/>
    </row>
    <row r="75" spans="1:7" ht="12.75" customHeight="1">
      <c r="A75" s="44"/>
      <c r="B75" s="54"/>
      <c r="C75" s="44" t="s">
        <v>37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38</v>
      </c>
      <c r="D76" s="44"/>
      <c r="E76" s="65"/>
      <c r="F76" s="95">
        <f>SUM(F77:F80)</f>
        <v>2662.562659</v>
      </c>
      <c r="G76" s="111"/>
    </row>
    <row r="77" spans="1:7" ht="12.75" customHeight="1">
      <c r="A77" s="44"/>
      <c r="B77" s="54"/>
      <c r="C77" s="44"/>
      <c r="D77" s="44"/>
      <c r="E77" s="71" t="s">
        <v>134</v>
      </c>
      <c r="F77" s="103">
        <v>1496.18</v>
      </c>
      <c r="G77" s="111"/>
    </row>
    <row r="78" spans="1:7" ht="12.75" customHeight="1">
      <c r="A78" s="44"/>
      <c r="B78" s="54"/>
      <c r="C78" s="44"/>
      <c r="D78" s="44"/>
      <c r="E78" s="71" t="s">
        <v>128</v>
      </c>
      <c r="F78" s="103">
        <v>80</v>
      </c>
      <c r="G78" s="111"/>
    </row>
    <row r="79" spans="1:7" ht="12.75" customHeight="1">
      <c r="A79" s="44"/>
      <c r="B79" s="54"/>
      <c r="C79" s="44"/>
      <c r="D79" s="44"/>
      <c r="E79" s="66" t="s">
        <v>94</v>
      </c>
      <c r="F79" s="98">
        <v>646.41</v>
      </c>
      <c r="G79" s="111"/>
    </row>
    <row r="80" spans="1:7" ht="12.75" customHeight="1">
      <c r="A80" s="44"/>
      <c r="B80" s="54"/>
      <c r="C80" s="44"/>
      <c r="D80" s="44"/>
      <c r="E80" s="66" t="s">
        <v>200</v>
      </c>
      <c r="F80" s="102">
        <f>7224.51*6.09/100</f>
        <v>439.97265899999996</v>
      </c>
      <c r="G80" s="111"/>
    </row>
    <row r="81" spans="1:7" ht="12.75" customHeight="1">
      <c r="A81" s="44"/>
      <c r="B81" s="54"/>
      <c r="C81" s="44"/>
      <c r="D81" s="44"/>
      <c r="E81" s="70"/>
      <c r="F81" s="95" t="s">
        <v>0</v>
      </c>
      <c r="G81" s="111"/>
    </row>
    <row r="82" spans="1:7" ht="12.75" customHeight="1">
      <c r="A82" s="72"/>
      <c r="B82" s="57" t="s">
        <v>39</v>
      </c>
      <c r="C82" s="73"/>
      <c r="D82" s="73"/>
      <c r="E82" s="66"/>
      <c r="F82" s="95" t="s">
        <v>0</v>
      </c>
      <c r="G82" s="106">
        <f>G19+G36</f>
        <v>-75215.71041400009</v>
      </c>
    </row>
    <row r="83" spans="1:7" ht="12.75" customHeight="1">
      <c r="A83" s="44"/>
      <c r="B83" s="74" t="s">
        <v>40</v>
      </c>
      <c r="C83" s="44"/>
      <c r="D83" s="44"/>
      <c r="E83" s="70"/>
      <c r="F83" s="95" t="s">
        <v>0</v>
      </c>
      <c r="G83" s="113"/>
    </row>
    <row r="84" spans="2:7" ht="12" customHeight="1">
      <c r="B84" s="76"/>
      <c r="E84" s="65"/>
      <c r="F84" s="95" t="s">
        <v>0</v>
      </c>
      <c r="G84" s="113"/>
    </row>
    <row r="85" spans="2:7" ht="12" customHeight="1">
      <c r="B85" s="57" t="s">
        <v>80</v>
      </c>
      <c r="C85" s="62"/>
      <c r="D85" s="62"/>
      <c r="E85" s="77"/>
      <c r="F85" s="96"/>
      <c r="G85" s="107">
        <f>SUM(F87:F89)</f>
        <v>-1090.1127979999997</v>
      </c>
    </row>
    <row r="86" spans="2:7" ht="12">
      <c r="B86" s="76"/>
      <c r="E86" s="65"/>
      <c r="F86" s="95"/>
      <c r="G86" s="113"/>
    </row>
    <row r="87" spans="2:7" ht="12">
      <c r="B87" s="54"/>
      <c r="C87" s="44" t="s">
        <v>77</v>
      </c>
      <c r="D87" s="44"/>
      <c r="E87" s="65"/>
      <c r="F87" s="93">
        <v>0</v>
      </c>
      <c r="G87" s="113"/>
    </row>
    <row r="88" spans="2:7" ht="12">
      <c r="B88" s="76"/>
      <c r="C88" s="44" t="s">
        <v>78</v>
      </c>
      <c r="E88" s="65"/>
      <c r="F88" s="95">
        <f>-22144.01*6.09/100</f>
        <v>-1348.5702089999997</v>
      </c>
      <c r="G88" s="113"/>
    </row>
    <row r="89" spans="2:7" ht="12">
      <c r="B89" s="76"/>
      <c r="C89" s="44" t="s">
        <v>79</v>
      </c>
      <c r="E89" s="65"/>
      <c r="F89" s="95">
        <f>4.03+(4177.79*6.09/100)</f>
        <v>258.457411</v>
      </c>
      <c r="G89" s="113"/>
    </row>
    <row r="90" spans="2:7" ht="12">
      <c r="B90" s="76"/>
      <c r="E90" s="65"/>
      <c r="F90" s="95"/>
      <c r="G90" s="113"/>
    </row>
    <row r="91" spans="2:7" ht="12">
      <c r="B91" s="57" t="s">
        <v>81</v>
      </c>
      <c r="C91" s="62"/>
      <c r="D91" s="62"/>
      <c r="E91" s="77"/>
      <c r="F91" s="96">
        <v>0</v>
      </c>
      <c r="G91" s="107">
        <v>0</v>
      </c>
    </row>
    <row r="92" spans="2:7" ht="12">
      <c r="B92" s="76"/>
      <c r="E92" s="65"/>
      <c r="F92" s="95"/>
      <c r="G92" s="113"/>
    </row>
    <row r="93" spans="2:7" ht="12">
      <c r="B93" s="57" t="s">
        <v>76</v>
      </c>
      <c r="C93" s="62"/>
      <c r="D93" s="62"/>
      <c r="E93" s="77"/>
      <c r="F93" s="96"/>
      <c r="G93" s="107">
        <f>SUM(F95:F96)</f>
        <v>14527.610075999999</v>
      </c>
    </row>
    <row r="94" spans="2:7" ht="12">
      <c r="B94" s="76"/>
      <c r="E94" s="65"/>
      <c r="F94" s="95"/>
      <c r="G94" s="113"/>
    </row>
    <row r="95" spans="2:7" ht="12">
      <c r="B95" s="76"/>
      <c r="C95" s="44" t="s">
        <v>82</v>
      </c>
      <c r="E95" s="65"/>
      <c r="F95" s="95">
        <v>-22.92</v>
      </c>
      <c r="G95" s="113"/>
    </row>
    <row r="96" spans="2:7" ht="12">
      <c r="B96" s="76"/>
      <c r="C96" s="44" t="s">
        <v>83</v>
      </c>
      <c r="E96" s="65"/>
      <c r="F96" s="95">
        <f>14229+(4079.64+1200)*6.09/100</f>
        <v>14550.530076</v>
      </c>
      <c r="G96" s="113"/>
    </row>
    <row r="97" spans="2:7" ht="12">
      <c r="B97" s="76"/>
      <c r="E97" s="65"/>
      <c r="F97" s="95"/>
      <c r="G97" s="113"/>
    </row>
    <row r="98" spans="2:7" ht="12">
      <c r="B98" s="79" t="s">
        <v>84</v>
      </c>
      <c r="C98" s="63"/>
      <c r="D98" s="63"/>
      <c r="E98" s="77"/>
      <c r="F98" s="95">
        <f>114854.73*6.09/100</f>
        <v>6994.6530569999995</v>
      </c>
      <c r="G98" s="107">
        <f>F98</f>
        <v>6994.6530569999995</v>
      </c>
    </row>
    <row r="99" spans="2:7" ht="12">
      <c r="B99" s="76"/>
      <c r="E99" s="65"/>
      <c r="F99" s="95"/>
      <c r="G99" s="113"/>
    </row>
    <row r="100" spans="2:7" ht="12.75">
      <c r="B100" s="57"/>
      <c r="E100" s="80" t="s">
        <v>85</v>
      </c>
      <c r="F100" s="95"/>
      <c r="G100" s="108">
        <f>G82-G85-G91-G93-G98</f>
        <v>-95647.86074900009</v>
      </c>
    </row>
    <row r="101" spans="2:7" ht="12">
      <c r="B101" s="81"/>
      <c r="C101" s="82"/>
      <c r="D101" s="82"/>
      <c r="E101" s="83"/>
      <c r="F101" s="114"/>
      <c r="G101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55">
      <selection activeCell="F90" sqref="F90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100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8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168194.913114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84975.5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109</v>
      </c>
      <c r="F21" s="94">
        <v>84975.5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83219.41311400001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54</v>
      </c>
      <c r="F28" s="94">
        <v>78030.71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55</v>
      </c>
      <c r="F29" s="94">
        <v>236.07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199</v>
      </c>
      <c r="F30" s="94">
        <f>173168.99*2.86/100</f>
        <v>4952.633113999999</v>
      </c>
      <c r="G30" s="112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-(F34+F41+F49+F51+F57+F64+F65+F66+F67)</f>
        <v>-160355.11587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SUM(F35:F40)</f>
        <v>4041.893376</v>
      </c>
      <c r="G34" s="111"/>
    </row>
    <row r="35" spans="1:7" ht="12.75" customHeight="1">
      <c r="A35" s="44"/>
      <c r="B35" s="54"/>
      <c r="D35" s="44"/>
      <c r="E35" s="65" t="s">
        <v>211</v>
      </c>
      <c r="F35" s="97">
        <v>534.3</v>
      </c>
      <c r="G35" s="111"/>
    </row>
    <row r="36" spans="1:7" ht="12.75" customHeight="1">
      <c r="A36" s="44"/>
      <c r="B36" s="54"/>
      <c r="D36" s="44"/>
      <c r="E36" s="65" t="s">
        <v>164</v>
      </c>
      <c r="F36" s="97">
        <v>671.85</v>
      </c>
      <c r="G36" s="111"/>
    </row>
    <row r="37" spans="1:7" ht="12.75" customHeight="1">
      <c r="A37" s="44"/>
      <c r="B37" s="54"/>
      <c r="D37" s="44"/>
      <c r="E37" s="65" t="s">
        <v>212</v>
      </c>
      <c r="F37" s="97">
        <v>86.5</v>
      </c>
      <c r="G37" s="111"/>
    </row>
    <row r="38" spans="1:7" ht="12.75" customHeight="1">
      <c r="A38" s="44"/>
      <c r="B38" s="54"/>
      <c r="D38" s="44"/>
      <c r="E38" s="65" t="s">
        <v>45</v>
      </c>
      <c r="F38" s="97">
        <v>12</v>
      </c>
      <c r="G38" s="111"/>
    </row>
    <row r="39" spans="1:7" ht="12.75" customHeight="1">
      <c r="A39" s="44"/>
      <c r="B39" s="54"/>
      <c r="C39" s="44"/>
      <c r="D39" s="44"/>
      <c r="E39" s="66" t="s">
        <v>58</v>
      </c>
      <c r="F39" s="98">
        <v>2413.83</v>
      </c>
      <c r="G39" s="111"/>
    </row>
    <row r="40" spans="1:7" ht="12.75" customHeight="1">
      <c r="A40" s="44"/>
      <c r="B40" s="54"/>
      <c r="D40" s="44"/>
      <c r="E40" s="65" t="s">
        <v>200</v>
      </c>
      <c r="F40" s="99">
        <f>11308.16*2.86/100</f>
        <v>323.41337599999997</v>
      </c>
      <c r="G40" s="111"/>
    </row>
    <row r="41" spans="1:7" ht="12.75" customHeight="1">
      <c r="A41" s="44"/>
      <c r="B41" s="54"/>
      <c r="C41" s="44" t="s">
        <v>19</v>
      </c>
      <c r="D41" s="44"/>
      <c r="E41" s="65"/>
      <c r="F41" s="97">
        <f>SUM(F42:F48)</f>
        <v>49613.775782</v>
      </c>
      <c r="G41" s="111"/>
    </row>
    <row r="42" spans="1:7" ht="12.75" customHeight="1">
      <c r="A42" s="44"/>
      <c r="B42" s="54"/>
      <c r="C42" s="44"/>
      <c r="D42" s="44"/>
      <c r="E42" s="66" t="s">
        <v>46</v>
      </c>
      <c r="F42" s="98">
        <v>1502.38</v>
      </c>
      <c r="G42" s="111"/>
    </row>
    <row r="43" spans="1:7" ht="12.75" customHeight="1">
      <c r="A43" s="44"/>
      <c r="B43" s="54"/>
      <c r="C43" s="44"/>
      <c r="D43" s="44"/>
      <c r="E43" s="66" t="s">
        <v>124</v>
      </c>
      <c r="F43" s="98">
        <v>898.72</v>
      </c>
      <c r="G43" s="111"/>
    </row>
    <row r="44" spans="1:7" ht="13.5" customHeight="1">
      <c r="A44" s="44"/>
      <c r="B44" s="54"/>
      <c r="C44" s="44"/>
      <c r="D44" s="44"/>
      <c r="E44" s="66" t="s">
        <v>135</v>
      </c>
      <c r="F44" s="98">
        <v>690.71</v>
      </c>
      <c r="G44" s="111"/>
    </row>
    <row r="45" spans="1:7" ht="13.5" customHeight="1">
      <c r="A45" s="44"/>
      <c r="B45" s="54"/>
      <c r="C45" s="44"/>
      <c r="D45" s="44"/>
      <c r="E45" s="66" t="s">
        <v>92</v>
      </c>
      <c r="F45" s="98">
        <v>12231.05</v>
      </c>
      <c r="G45" s="111"/>
    </row>
    <row r="46" spans="1:7" ht="13.5" customHeight="1">
      <c r="A46" s="44"/>
      <c r="B46" s="54"/>
      <c r="C46" s="44"/>
      <c r="D46" s="44"/>
      <c r="E46" s="66" t="s">
        <v>165</v>
      </c>
      <c r="F46" s="98">
        <v>23999.7</v>
      </c>
      <c r="G46" s="111"/>
    </row>
    <row r="47" spans="1:7" ht="13.5" customHeight="1">
      <c r="A47" s="44"/>
      <c r="B47" s="54"/>
      <c r="C47" s="44"/>
      <c r="D47" s="44"/>
      <c r="E47" s="66" t="s">
        <v>166</v>
      </c>
      <c r="F47" s="98">
        <v>2288.01</v>
      </c>
      <c r="G47" s="111"/>
    </row>
    <row r="48" spans="1:7" ht="12.75" customHeight="1">
      <c r="A48" s="44"/>
      <c r="B48" s="54"/>
      <c r="C48" s="44"/>
      <c r="D48" s="44"/>
      <c r="E48" s="66" t="s">
        <v>200</v>
      </c>
      <c r="F48" s="98">
        <f>(192155.07+91855.09-4177.79)*2.86/100</f>
        <v>8003.205782000001</v>
      </c>
      <c r="G48" s="111"/>
    </row>
    <row r="49" spans="1:7" ht="12.75" customHeight="1">
      <c r="A49" s="44"/>
      <c r="B49" s="54"/>
      <c r="C49" s="44" t="s">
        <v>20</v>
      </c>
      <c r="D49" s="44"/>
      <c r="E49" s="65"/>
      <c r="F49" s="93">
        <f>SUM(F50)</f>
        <v>163.6635</v>
      </c>
      <c r="G49" s="111"/>
    </row>
    <row r="50" spans="1:7" ht="12.75" customHeight="1">
      <c r="A50" s="44"/>
      <c r="B50" s="54"/>
      <c r="C50" s="44"/>
      <c r="D50" s="44"/>
      <c r="E50" s="65" t="s">
        <v>200</v>
      </c>
      <c r="F50" s="102">
        <f>5722.5*2.86/100</f>
        <v>163.6635</v>
      </c>
      <c r="G50" s="111"/>
    </row>
    <row r="51" spans="1:7" ht="12.75" customHeight="1">
      <c r="A51" s="44"/>
      <c r="B51" s="54"/>
      <c r="C51" s="44" t="s">
        <v>21</v>
      </c>
      <c r="D51" s="44"/>
      <c r="E51" s="65"/>
      <c r="F51" s="97">
        <f>SUM(F52:F56)</f>
        <v>105880.97512</v>
      </c>
      <c r="G51" s="111"/>
    </row>
    <row r="52" spans="1:7" ht="12.75" customHeight="1">
      <c r="A52" s="44"/>
      <c r="B52" s="54"/>
      <c r="D52" s="67" t="s">
        <v>22</v>
      </c>
      <c r="E52" s="68"/>
      <c r="F52" s="98">
        <f>(63313.01+969.49+2335.91+1273.73+6118.53)+((156598.12+3060+6461.31+3135.35+26557.42+67700)*2.86/100)+233.11</f>
        <v>81780.22892</v>
      </c>
      <c r="G52" s="111"/>
    </row>
    <row r="53" spans="1:7" ht="12.75" customHeight="1">
      <c r="A53" s="44"/>
      <c r="B53" s="54"/>
      <c r="D53" s="67" t="s">
        <v>23</v>
      </c>
      <c r="E53" s="68"/>
      <c r="F53" s="98">
        <f>(15082.97+247.37+596.01+318.43+1561.14)+((28726.58+768.92+1623.1+783.84+5280.25+12300)*2.86/100)</f>
        <v>19221.124934000003</v>
      </c>
      <c r="G53" s="111"/>
    </row>
    <row r="54" spans="1:7" ht="12.75" customHeight="1">
      <c r="A54" s="44"/>
      <c r="B54" s="54"/>
      <c r="D54" s="67" t="s">
        <v>24</v>
      </c>
      <c r="E54" s="68"/>
      <c r="F54" s="98">
        <f>3692.47+(12334.31*2.86/100)</f>
        <v>4045.231266</v>
      </c>
      <c r="G54" s="111"/>
    </row>
    <row r="55" spans="1:7" ht="12.75" customHeight="1">
      <c r="A55" s="44"/>
      <c r="B55" s="54"/>
      <c r="D55" s="67" t="s">
        <v>25</v>
      </c>
      <c r="E55" s="68"/>
      <c r="F55" s="98">
        <v>0</v>
      </c>
      <c r="G55" s="111"/>
    </row>
    <row r="56" spans="1:7" ht="12.75" customHeight="1">
      <c r="A56" s="44"/>
      <c r="B56" s="54"/>
      <c r="D56" s="67" t="s">
        <v>136</v>
      </c>
      <c r="E56" s="68"/>
      <c r="F56" s="98">
        <v>834.39</v>
      </c>
      <c r="G56" s="111"/>
    </row>
    <row r="57" spans="1:7" ht="12.75" customHeight="1">
      <c r="A57" s="44"/>
      <c r="B57" s="54"/>
      <c r="C57" s="44" t="s">
        <v>27</v>
      </c>
      <c r="D57" s="44"/>
      <c r="E57" s="65"/>
      <c r="F57" s="97">
        <f>SUM(F58:F62)</f>
        <v>448.18710599999997</v>
      </c>
      <c r="G57" s="111"/>
    </row>
    <row r="58" spans="1:7" ht="12.75" customHeight="1">
      <c r="A58" s="44"/>
      <c r="B58" s="54"/>
      <c r="C58" s="44"/>
      <c r="D58" s="67" t="s">
        <v>28</v>
      </c>
      <c r="E58" s="68"/>
      <c r="F58" s="98">
        <f>2448.47*2.86/100</f>
        <v>70.026242</v>
      </c>
      <c r="G58" s="111"/>
    </row>
    <row r="59" spans="1:7" ht="12.75" customHeight="1">
      <c r="A59" s="44"/>
      <c r="B59" s="54"/>
      <c r="D59" s="67" t="s">
        <v>29</v>
      </c>
      <c r="E59" s="69"/>
      <c r="F59" s="98">
        <f>334.11+(1540.24*2.86/100)</f>
        <v>378.160864</v>
      </c>
      <c r="G59" s="111"/>
    </row>
    <row r="60" spans="1:7" ht="12.75" customHeight="1">
      <c r="A60" s="44"/>
      <c r="B60" s="54"/>
      <c r="D60" s="67" t="s">
        <v>31</v>
      </c>
      <c r="E60" s="68"/>
      <c r="F60" s="98">
        <v>0</v>
      </c>
      <c r="G60" s="111"/>
    </row>
    <row r="61" spans="1:7" ht="12.75" customHeight="1">
      <c r="A61" s="44"/>
      <c r="B61" s="54"/>
      <c r="D61" s="67" t="s">
        <v>32</v>
      </c>
      <c r="E61" s="68"/>
      <c r="F61" s="98"/>
      <c r="G61" s="111"/>
    </row>
    <row r="62" spans="1:7" ht="12.75" customHeight="1">
      <c r="A62" s="44"/>
      <c r="B62" s="54"/>
      <c r="D62" s="67"/>
      <c r="E62" s="69" t="s">
        <v>33</v>
      </c>
      <c r="F62" s="98">
        <v>0</v>
      </c>
      <c r="G62" s="111"/>
    </row>
    <row r="63" spans="1:7" ht="12.75" customHeight="1">
      <c r="A63" s="44"/>
      <c r="B63" s="54"/>
      <c r="C63" s="44" t="s">
        <v>34</v>
      </c>
      <c r="D63" s="44"/>
      <c r="E63" s="65"/>
      <c r="F63" s="95"/>
      <c r="G63" s="111"/>
    </row>
    <row r="64" spans="1:7" ht="12.75" customHeight="1">
      <c r="A64" s="44"/>
      <c r="B64" s="54"/>
      <c r="D64" s="44"/>
      <c r="E64" s="70" t="s">
        <v>35</v>
      </c>
      <c r="F64" s="95">
        <v>0</v>
      </c>
      <c r="G64" s="111"/>
    </row>
    <row r="65" spans="1:7" ht="12.75" customHeight="1">
      <c r="A65" s="44"/>
      <c r="B65" s="54"/>
      <c r="C65" s="44" t="s">
        <v>36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37</v>
      </c>
      <c r="D66" s="44"/>
      <c r="E66" s="65"/>
      <c r="F66" s="95">
        <v>0</v>
      </c>
      <c r="G66" s="111"/>
    </row>
    <row r="67" spans="1:7" ht="12.75" customHeight="1">
      <c r="A67" s="44"/>
      <c r="B67" s="54"/>
      <c r="C67" s="44" t="s">
        <v>38</v>
      </c>
      <c r="D67" s="44"/>
      <c r="E67" s="65"/>
      <c r="F67" s="95">
        <f>SUM(F68:F68)</f>
        <v>206.62098600000002</v>
      </c>
      <c r="G67" s="111"/>
    </row>
    <row r="68" spans="1:7" ht="12.75" customHeight="1">
      <c r="A68" s="44"/>
      <c r="B68" s="54"/>
      <c r="C68" s="44"/>
      <c r="D68" s="44"/>
      <c r="E68" s="66" t="s">
        <v>201</v>
      </c>
      <c r="F68" s="102">
        <f>7224.51*2.86/100</f>
        <v>206.62098600000002</v>
      </c>
      <c r="G68" s="111"/>
    </row>
    <row r="69" spans="1:7" ht="12.75" customHeight="1">
      <c r="A69" s="44"/>
      <c r="B69" s="54"/>
      <c r="C69" s="44"/>
      <c r="D69" s="44"/>
      <c r="E69" s="70"/>
      <c r="F69" s="95" t="s">
        <v>0</v>
      </c>
      <c r="G69" s="111"/>
    </row>
    <row r="70" spans="1:7" ht="12.75" customHeight="1">
      <c r="A70" s="72"/>
      <c r="B70" s="57" t="s">
        <v>39</v>
      </c>
      <c r="C70" s="73"/>
      <c r="D70" s="73"/>
      <c r="E70" s="66"/>
      <c r="F70" s="95" t="s">
        <v>0</v>
      </c>
      <c r="G70" s="106">
        <f>G19+G32</f>
        <v>7839.797243999987</v>
      </c>
    </row>
    <row r="71" spans="1:7" ht="12.75" customHeight="1">
      <c r="A71" s="44"/>
      <c r="B71" s="74" t="s">
        <v>40</v>
      </c>
      <c r="C71" s="44"/>
      <c r="D71" s="44"/>
      <c r="E71" s="70"/>
      <c r="F71" s="95" t="s">
        <v>0</v>
      </c>
      <c r="G71" s="113"/>
    </row>
    <row r="72" spans="2:7" ht="12" customHeight="1">
      <c r="B72" s="76"/>
      <c r="E72" s="65"/>
      <c r="F72" s="95" t="s">
        <v>0</v>
      </c>
      <c r="G72" s="113"/>
    </row>
    <row r="73" spans="2:7" ht="12" customHeight="1">
      <c r="B73" s="57" t="s">
        <v>80</v>
      </c>
      <c r="C73" s="62"/>
      <c r="D73" s="62"/>
      <c r="E73" s="77"/>
      <c r="F73" s="96"/>
      <c r="G73" s="107">
        <f>SUM(F75:F77)</f>
        <v>-513.833892</v>
      </c>
    </row>
    <row r="74" spans="2:7" ht="12">
      <c r="B74" s="76"/>
      <c r="E74" s="65"/>
      <c r="F74" s="95"/>
      <c r="G74" s="113"/>
    </row>
    <row r="75" spans="2:7" ht="12">
      <c r="B75" s="54"/>
      <c r="C75" s="44" t="s">
        <v>77</v>
      </c>
      <c r="D75" s="44"/>
      <c r="E75" s="65"/>
      <c r="F75" s="93">
        <v>0</v>
      </c>
      <c r="G75" s="113"/>
    </row>
    <row r="76" spans="2:7" ht="12">
      <c r="B76" s="76"/>
      <c r="C76" s="44" t="s">
        <v>78</v>
      </c>
      <c r="E76" s="65"/>
      <c r="F76" s="95">
        <f>-22144.01*2.86/100</f>
        <v>-633.318686</v>
      </c>
      <c r="G76" s="113"/>
    </row>
    <row r="77" spans="2:7" ht="12">
      <c r="B77" s="76"/>
      <c r="C77" s="44" t="s">
        <v>79</v>
      </c>
      <c r="E77" s="65"/>
      <c r="F77" s="95">
        <f>(4177.79*2.86/100)</f>
        <v>119.48479400000001</v>
      </c>
      <c r="G77" s="113"/>
    </row>
    <row r="78" spans="2:7" ht="12">
      <c r="B78" s="76"/>
      <c r="E78" s="65"/>
      <c r="F78" s="95"/>
      <c r="G78" s="113"/>
    </row>
    <row r="79" spans="2:7" ht="12">
      <c r="B79" s="57" t="s">
        <v>81</v>
      </c>
      <c r="C79" s="62"/>
      <c r="D79" s="62"/>
      <c r="E79" s="77"/>
      <c r="F79" s="96">
        <v>0</v>
      </c>
      <c r="G79" s="107">
        <v>0</v>
      </c>
    </row>
    <row r="80" spans="2:7" ht="12">
      <c r="B80" s="76"/>
      <c r="E80" s="65"/>
      <c r="F80" s="95"/>
      <c r="G80" s="113"/>
    </row>
    <row r="81" spans="2:7" ht="12">
      <c r="B81" s="57" t="s">
        <v>76</v>
      </c>
      <c r="C81" s="62"/>
      <c r="D81" s="62"/>
      <c r="E81" s="77"/>
      <c r="F81" s="96"/>
      <c r="G81" s="107">
        <f>SUM(F83:F84)</f>
        <v>1080.9977039999999</v>
      </c>
    </row>
    <row r="82" spans="2:7" ht="12">
      <c r="B82" s="76"/>
      <c r="E82" s="65"/>
      <c r="F82" s="95"/>
      <c r="G82" s="113"/>
    </row>
    <row r="83" spans="2:7" ht="12">
      <c r="B83" s="76"/>
      <c r="C83" s="44" t="s">
        <v>82</v>
      </c>
      <c r="E83" s="65"/>
      <c r="F83" s="95">
        <v>0</v>
      </c>
      <c r="G83" s="113"/>
    </row>
    <row r="84" spans="2:7" ht="12">
      <c r="B84" s="76"/>
      <c r="C84" s="44" t="s">
        <v>83</v>
      </c>
      <c r="E84" s="65"/>
      <c r="F84" s="95">
        <f>930+(4079.64+1200)*2.86/100</f>
        <v>1080.9977039999999</v>
      </c>
      <c r="G84" s="113"/>
    </row>
    <row r="85" spans="2:7" ht="12">
      <c r="B85" s="76"/>
      <c r="E85" s="65"/>
      <c r="F85" s="95"/>
      <c r="G85" s="113"/>
    </row>
    <row r="86" spans="2:7" ht="12">
      <c r="B86" s="79" t="s">
        <v>84</v>
      </c>
      <c r="C86" s="63"/>
      <c r="D86" s="63"/>
      <c r="E86" s="77"/>
      <c r="F86" s="95">
        <f>114854.73*2.86/100</f>
        <v>3284.845278</v>
      </c>
      <c r="G86" s="107">
        <f>F86</f>
        <v>3284.845278</v>
      </c>
    </row>
    <row r="87" spans="2:7" ht="12">
      <c r="B87" s="76"/>
      <c r="E87" s="65"/>
      <c r="F87" s="95"/>
      <c r="G87" s="113"/>
    </row>
    <row r="88" spans="2:7" ht="12.75">
      <c r="B88" s="57"/>
      <c r="E88" s="80" t="s">
        <v>85</v>
      </c>
      <c r="F88" s="95"/>
      <c r="G88" s="108">
        <f>G70-G73-G79-G81-G86</f>
        <v>3987.788153999988</v>
      </c>
    </row>
    <row r="89" spans="2:7" ht="12">
      <c r="B89" s="81"/>
      <c r="C89" s="82"/>
      <c r="D89" s="82"/>
      <c r="E89" s="83"/>
      <c r="F89" s="114"/>
      <c r="G89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57">
      <selection activeCell="F98" sqref="F98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2" customHeight="1">
      <c r="A4" s="33"/>
      <c r="B4" s="34"/>
      <c r="C4" s="33"/>
      <c r="D4" s="33"/>
      <c r="E4" s="33"/>
      <c r="F4" s="35"/>
      <c r="G4" s="36"/>
    </row>
    <row r="5" spans="1:7" s="37" customFormat="1" ht="23.25" customHeight="1">
      <c r="A5" s="33"/>
      <c r="B5" s="130" t="s">
        <v>169</v>
      </c>
      <c r="C5" s="131"/>
      <c r="D5" s="131"/>
      <c r="E5" s="131"/>
      <c r="F5" s="131"/>
      <c r="G5" s="132"/>
    </row>
    <row r="6" spans="1:7" s="37" customFormat="1" ht="23.25">
      <c r="A6" s="33"/>
      <c r="B6" s="123" t="s">
        <v>168</v>
      </c>
      <c r="C6" s="127"/>
      <c r="D6" s="127"/>
      <c r="E6" s="127"/>
      <c r="F6" s="127"/>
      <c r="G6" s="133"/>
    </row>
    <row r="7" spans="1:7" s="37" customFormat="1" ht="23.25" customHeight="1">
      <c r="A7" s="33"/>
      <c r="B7" s="130" t="s">
        <v>170</v>
      </c>
      <c r="C7" s="134"/>
      <c r="D7" s="134"/>
      <c r="E7" s="134"/>
      <c r="F7" s="134"/>
      <c r="G7" s="135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 hidden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 hidden="1">
      <c r="A12" s="44"/>
      <c r="B12" s="44"/>
      <c r="C12" s="44"/>
      <c r="D12" s="44"/>
      <c r="F12" s="46"/>
      <c r="G12" s="47"/>
    </row>
    <row r="13" spans="1:7" ht="12.75" customHeight="1" hidden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123073.391578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15937.67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213</v>
      </c>
      <c r="F21" s="94">
        <v>15937.67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107135.721578</v>
      </c>
      <c r="G27" s="111"/>
    </row>
    <row r="28" spans="1:7" ht="12.75" customHeight="1">
      <c r="A28" s="44"/>
      <c r="B28" s="54"/>
      <c r="C28" s="44"/>
      <c r="D28" s="44"/>
      <c r="E28" s="45" t="s">
        <v>171</v>
      </c>
      <c r="F28" s="117">
        <v>51645.69</v>
      </c>
      <c r="G28" s="111"/>
    </row>
    <row r="29" spans="1:7" ht="12.75" customHeight="1">
      <c r="A29" s="44"/>
      <c r="B29" s="54"/>
      <c r="C29" s="44"/>
      <c r="D29" s="44"/>
      <c r="E29" s="45" t="s">
        <v>214</v>
      </c>
      <c r="F29" s="117">
        <v>51645.68</v>
      </c>
      <c r="G29" s="111"/>
    </row>
    <row r="30" spans="1:7" ht="12.75" customHeight="1">
      <c r="A30" s="44"/>
      <c r="B30" s="54"/>
      <c r="C30" s="44"/>
      <c r="D30" s="44"/>
      <c r="E30" s="45" t="s">
        <v>202</v>
      </c>
      <c r="F30" s="117">
        <f>173168.99*2.22/100</f>
        <v>3844.351578</v>
      </c>
      <c r="G30" s="111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-(F34+F40+F54+F56+F62+F69+F70+F71+F72)</f>
        <v>-143975.83569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SUM(F35:F39)</f>
        <v>16486.291152</v>
      </c>
      <c r="G34" s="111"/>
    </row>
    <row r="35" spans="1:7" ht="12.75" customHeight="1">
      <c r="A35" s="44"/>
      <c r="B35" s="54"/>
      <c r="D35" s="44"/>
      <c r="E35" s="65" t="s">
        <v>44</v>
      </c>
      <c r="F35" s="97">
        <v>272.81</v>
      </c>
      <c r="G35" s="111"/>
    </row>
    <row r="36" spans="1:7" ht="12.75" customHeight="1">
      <c r="A36" s="44"/>
      <c r="B36" s="54"/>
      <c r="D36" s="44"/>
      <c r="E36" s="65" t="s">
        <v>88</v>
      </c>
      <c r="F36" s="98">
        <v>360.4</v>
      </c>
      <c r="G36" s="111"/>
    </row>
    <row r="37" spans="1:7" ht="12.75" customHeight="1">
      <c r="A37" s="44"/>
      <c r="B37" s="54"/>
      <c r="D37" s="44"/>
      <c r="E37" s="66" t="s">
        <v>188</v>
      </c>
      <c r="F37" s="98">
        <v>337.4</v>
      </c>
      <c r="G37" s="111"/>
    </row>
    <row r="38" spans="1:7" ht="12.75" customHeight="1">
      <c r="A38" s="44"/>
      <c r="B38" s="54"/>
      <c r="C38" s="44"/>
      <c r="D38" s="44"/>
      <c r="E38" s="66" t="s">
        <v>58</v>
      </c>
      <c r="F38" s="98">
        <v>15264.64</v>
      </c>
      <c r="G38" s="111"/>
    </row>
    <row r="39" spans="1:7" ht="12.75" customHeight="1">
      <c r="A39" s="44"/>
      <c r="B39" s="54"/>
      <c r="D39" s="44"/>
      <c r="E39" s="65" t="s">
        <v>203</v>
      </c>
      <c r="F39" s="99">
        <f>11308.16*2.22/100</f>
        <v>251.041152</v>
      </c>
      <c r="G39" s="111"/>
    </row>
    <row r="40" spans="1:7" ht="12.75" customHeight="1">
      <c r="A40" s="44"/>
      <c r="B40" s="54"/>
      <c r="C40" s="44" t="s">
        <v>19</v>
      </c>
      <c r="D40" s="44"/>
      <c r="E40" s="65"/>
      <c r="F40" s="97">
        <f>SUM(F41:F53)</f>
        <v>59683.028614</v>
      </c>
      <c r="G40" s="111"/>
    </row>
    <row r="41" spans="1:7" ht="12.75" customHeight="1">
      <c r="A41" s="44"/>
      <c r="B41" s="54"/>
      <c r="C41" s="44"/>
      <c r="D41" s="44"/>
      <c r="E41" s="66" t="s">
        <v>47</v>
      </c>
      <c r="F41" s="98">
        <v>3036.99</v>
      </c>
      <c r="G41" s="111"/>
    </row>
    <row r="42" spans="1:7" ht="12.75" customHeight="1">
      <c r="A42" s="44"/>
      <c r="B42" s="54"/>
      <c r="C42" s="44"/>
      <c r="D42" s="44"/>
      <c r="E42" s="66" t="s">
        <v>46</v>
      </c>
      <c r="F42" s="98">
        <v>807.14</v>
      </c>
      <c r="G42" s="111"/>
    </row>
    <row r="43" spans="1:7" ht="12.75" customHeight="1">
      <c r="A43" s="44"/>
      <c r="B43" s="54"/>
      <c r="C43" s="44"/>
      <c r="D43" s="44"/>
      <c r="E43" s="66" t="s">
        <v>52</v>
      </c>
      <c r="F43" s="98">
        <v>1528.93</v>
      </c>
      <c r="G43" s="111"/>
    </row>
    <row r="44" spans="1:7" ht="13.5" customHeight="1">
      <c r="A44" s="44"/>
      <c r="B44" s="54"/>
      <c r="C44" s="44"/>
      <c r="D44" s="44"/>
      <c r="E44" s="66" t="s">
        <v>51</v>
      </c>
      <c r="F44" s="98">
        <v>196.57</v>
      </c>
      <c r="G44" s="111"/>
    </row>
    <row r="45" spans="1:7" ht="13.5" customHeight="1">
      <c r="A45" s="44"/>
      <c r="B45" s="54"/>
      <c r="C45" s="44"/>
      <c r="D45" s="44"/>
      <c r="E45" s="66" t="s">
        <v>48</v>
      </c>
      <c r="F45" s="98">
        <v>1</v>
      </c>
      <c r="G45" s="111"/>
    </row>
    <row r="46" spans="1:7" ht="13.5" customHeight="1">
      <c r="A46" s="44"/>
      <c r="B46" s="54"/>
      <c r="C46" s="44"/>
      <c r="D46" s="44"/>
      <c r="E46" s="66" t="s">
        <v>125</v>
      </c>
      <c r="F46" s="98">
        <v>61</v>
      </c>
      <c r="G46" s="111"/>
    </row>
    <row r="47" spans="1:7" ht="13.5" customHeight="1">
      <c r="A47" s="44"/>
      <c r="B47" s="54"/>
      <c r="C47" s="44"/>
      <c r="D47" s="44"/>
      <c r="E47" s="66" t="s">
        <v>118</v>
      </c>
      <c r="F47" s="98">
        <v>152.5</v>
      </c>
      <c r="G47" s="111"/>
    </row>
    <row r="48" spans="1:7" ht="12.75" customHeight="1">
      <c r="A48" s="44"/>
      <c r="B48" s="54"/>
      <c r="C48" s="44"/>
      <c r="D48" s="44"/>
      <c r="E48" s="66" t="s">
        <v>89</v>
      </c>
      <c r="F48" s="98">
        <v>1163.46</v>
      </c>
      <c r="G48" s="111"/>
    </row>
    <row r="49" spans="1:7" ht="12.75" customHeight="1">
      <c r="A49" s="44"/>
      <c r="B49" s="54"/>
      <c r="C49" s="44"/>
      <c r="D49" s="44"/>
      <c r="E49" s="66" t="s">
        <v>49</v>
      </c>
      <c r="F49" s="98">
        <v>1900</v>
      </c>
      <c r="G49" s="111"/>
    </row>
    <row r="50" spans="1:7" ht="12.75" customHeight="1">
      <c r="A50" s="44"/>
      <c r="B50" s="54"/>
      <c r="C50" s="44"/>
      <c r="D50" s="44"/>
      <c r="E50" s="66" t="s">
        <v>157</v>
      </c>
      <c r="F50" s="98">
        <v>185.92</v>
      </c>
      <c r="G50" s="111"/>
    </row>
    <row r="51" spans="1:7" ht="12.75" customHeight="1">
      <c r="A51" s="44"/>
      <c r="B51" s="54"/>
      <c r="C51" s="44"/>
      <c r="D51" s="44"/>
      <c r="E51" s="66" t="s">
        <v>159</v>
      </c>
      <c r="F51" s="98">
        <v>41944.17</v>
      </c>
      <c r="G51" s="111"/>
    </row>
    <row r="52" spans="1:7" ht="12.75" customHeight="1">
      <c r="A52" s="44"/>
      <c r="B52" s="54"/>
      <c r="C52" s="44"/>
      <c r="D52" s="44"/>
      <c r="E52" s="66" t="s">
        <v>160</v>
      </c>
      <c r="F52" s="98">
        <v>2493.07</v>
      </c>
      <c r="G52" s="111"/>
    </row>
    <row r="53" spans="1:7" ht="12.75" customHeight="1">
      <c r="A53" s="44"/>
      <c r="B53" s="54"/>
      <c r="C53" s="44"/>
      <c r="D53" s="44"/>
      <c r="E53" s="66" t="s">
        <v>201</v>
      </c>
      <c r="F53" s="98">
        <f>(192155.07+91855.09-4177.79)*2.22/100</f>
        <v>6212.278614000002</v>
      </c>
      <c r="G53" s="111"/>
    </row>
    <row r="54" spans="1:7" ht="12.75" customHeight="1">
      <c r="A54" s="44"/>
      <c r="B54" s="54"/>
      <c r="C54" s="44" t="s">
        <v>20</v>
      </c>
      <c r="D54" s="44"/>
      <c r="E54" s="65"/>
      <c r="F54" s="93">
        <f>SUM(F55)</f>
        <v>127.0395</v>
      </c>
      <c r="G54" s="111"/>
    </row>
    <row r="55" spans="1:7" ht="12.75" customHeight="1">
      <c r="A55" s="44"/>
      <c r="B55" s="54"/>
      <c r="C55" s="44"/>
      <c r="D55" s="44"/>
      <c r="E55" s="65" t="s">
        <v>200</v>
      </c>
      <c r="F55" s="102">
        <f>5722.5*2.22/100</f>
        <v>127.0395</v>
      </c>
      <c r="G55" s="111"/>
    </row>
    <row r="56" spans="1:7" ht="12.75" customHeight="1">
      <c r="A56" s="44"/>
      <c r="B56" s="54"/>
      <c r="C56" s="44" t="s">
        <v>21</v>
      </c>
      <c r="D56" s="44"/>
      <c r="E56" s="65"/>
      <c r="F56" s="97">
        <f>SUM(F57:F61)</f>
        <v>58499.128240000005</v>
      </c>
      <c r="G56" s="111"/>
    </row>
    <row r="57" spans="1:7" ht="12.75" customHeight="1">
      <c r="A57" s="44"/>
      <c r="B57" s="54"/>
      <c r="D57" s="67" t="s">
        <v>22</v>
      </c>
      <c r="E57" s="68"/>
      <c r="F57" s="98">
        <f>(32735.13+491.93+1061.37+587.87+3419.92)+((156598.12+3060+6461.31+3135.35+26557.42+67700)*2.22/100)+244.25</f>
        <v>44390.44084</v>
      </c>
      <c r="G57" s="111"/>
    </row>
    <row r="58" spans="1:7" ht="12.75" customHeight="1">
      <c r="A58" s="44"/>
      <c r="B58" s="54"/>
      <c r="D58" s="67" t="s">
        <v>23</v>
      </c>
      <c r="E58" s="68"/>
      <c r="F58" s="98">
        <f>(8345.37+122.58+264.47+146.98+839.04)+((28726.58+768.92+1623.1+783.84+5280.25+12300)*2.22/100)</f>
        <v>10816.955718</v>
      </c>
      <c r="G58" s="111"/>
    </row>
    <row r="59" spans="1:7" ht="12.75" customHeight="1">
      <c r="A59" s="44"/>
      <c r="B59" s="54"/>
      <c r="D59" s="67" t="s">
        <v>24</v>
      </c>
      <c r="E59" s="68"/>
      <c r="F59" s="98">
        <f>2461.65+(12334.31*2.22/100)</f>
        <v>2735.4716820000003</v>
      </c>
      <c r="G59" s="111"/>
    </row>
    <row r="60" spans="1:7" ht="12.75" customHeight="1">
      <c r="A60" s="44"/>
      <c r="B60" s="54"/>
      <c r="D60" s="67" t="s">
        <v>25</v>
      </c>
      <c r="E60" s="68"/>
      <c r="F60" s="98">
        <v>0</v>
      </c>
      <c r="G60" s="111"/>
    </row>
    <row r="61" spans="1:7" ht="12.75" customHeight="1">
      <c r="A61" s="44"/>
      <c r="B61" s="54"/>
      <c r="D61" s="67" t="s">
        <v>130</v>
      </c>
      <c r="E61" s="68"/>
      <c r="F61" s="98">
        <v>556.26</v>
      </c>
      <c r="G61" s="111"/>
    </row>
    <row r="62" spans="1:7" ht="12.75" customHeight="1">
      <c r="A62" s="44"/>
      <c r="B62" s="54"/>
      <c r="C62" s="44" t="s">
        <v>27</v>
      </c>
      <c r="D62" s="44"/>
      <c r="E62" s="65"/>
      <c r="F62" s="97">
        <f>SUM(F63:F67)</f>
        <v>6487.564062</v>
      </c>
      <c r="G62" s="111"/>
    </row>
    <row r="63" spans="1:7" ht="12.75" customHeight="1">
      <c r="A63" s="44"/>
      <c r="B63" s="54"/>
      <c r="C63" s="44"/>
      <c r="D63" s="67" t="s">
        <v>28</v>
      </c>
      <c r="E63" s="68"/>
      <c r="F63" s="98">
        <f>2448.47*2.22/100</f>
        <v>54.356034</v>
      </c>
      <c r="G63" s="111"/>
    </row>
    <row r="64" spans="1:7" ht="12.75" customHeight="1">
      <c r="A64" s="44"/>
      <c r="B64" s="54"/>
      <c r="D64" s="67" t="s">
        <v>29</v>
      </c>
      <c r="E64" s="69"/>
      <c r="F64" s="98">
        <f>6387.73+(1540.24*2.22/100)</f>
        <v>6421.923328</v>
      </c>
      <c r="G64" s="111"/>
    </row>
    <row r="65" spans="1:7" ht="12.75" customHeight="1">
      <c r="A65" s="44"/>
      <c r="B65" s="54"/>
      <c r="D65" s="67" t="s">
        <v>31</v>
      </c>
      <c r="E65" s="68"/>
      <c r="F65" s="98">
        <v>0</v>
      </c>
      <c r="G65" s="111"/>
    </row>
    <row r="66" spans="1:7" ht="12.75" customHeight="1">
      <c r="A66" s="44"/>
      <c r="B66" s="54"/>
      <c r="D66" s="67" t="s">
        <v>32</v>
      </c>
      <c r="E66" s="68"/>
      <c r="F66" s="98"/>
      <c r="G66" s="111"/>
    </row>
    <row r="67" spans="1:7" ht="12.75" customHeight="1">
      <c r="A67" s="44"/>
      <c r="B67" s="54"/>
      <c r="D67" s="67"/>
      <c r="E67" s="69" t="s">
        <v>33</v>
      </c>
      <c r="F67" s="98">
        <f>806.05*1.4/100</f>
        <v>11.284699999999997</v>
      </c>
      <c r="G67" s="111"/>
    </row>
    <row r="68" spans="1:7" ht="12.75" customHeight="1">
      <c r="A68" s="44"/>
      <c r="B68" s="54"/>
      <c r="C68" s="44" t="s">
        <v>34</v>
      </c>
      <c r="D68" s="44"/>
      <c r="E68" s="65"/>
      <c r="F68" s="95"/>
      <c r="G68" s="111"/>
    </row>
    <row r="69" spans="1:7" ht="12.75" customHeight="1">
      <c r="A69" s="44"/>
      <c r="B69" s="54"/>
      <c r="D69" s="44"/>
      <c r="E69" s="70" t="s">
        <v>35</v>
      </c>
      <c r="F69" s="95">
        <v>0</v>
      </c>
      <c r="G69" s="111"/>
    </row>
    <row r="70" spans="1:7" ht="12.75" customHeight="1">
      <c r="A70" s="44"/>
      <c r="B70" s="54"/>
      <c r="C70" s="44" t="s">
        <v>36</v>
      </c>
      <c r="D70" s="44"/>
      <c r="E70" s="65"/>
      <c r="F70" s="95">
        <v>0</v>
      </c>
      <c r="G70" s="111"/>
    </row>
    <row r="71" spans="1:7" ht="12.75" customHeight="1">
      <c r="A71" s="44"/>
      <c r="B71" s="54"/>
      <c r="C71" s="44" t="s">
        <v>37</v>
      </c>
      <c r="D71" s="44"/>
      <c r="E71" s="65"/>
      <c r="F71" s="95">
        <v>0</v>
      </c>
      <c r="G71" s="111"/>
    </row>
    <row r="72" spans="1:7" ht="12.75" customHeight="1">
      <c r="A72" s="44"/>
      <c r="B72" s="54"/>
      <c r="C72" s="44" t="s">
        <v>38</v>
      </c>
      <c r="D72" s="44"/>
      <c r="E72" s="65"/>
      <c r="F72" s="95">
        <f>SUM(F73:F77)</f>
        <v>2692.7841219999996</v>
      </c>
      <c r="G72" s="111"/>
    </row>
    <row r="73" spans="1:7" ht="12.75" customHeight="1">
      <c r="A73" s="44"/>
      <c r="B73" s="54"/>
      <c r="C73" s="44"/>
      <c r="D73" s="44"/>
      <c r="E73" s="71" t="s">
        <v>215</v>
      </c>
      <c r="F73" s="98">
        <v>200</v>
      </c>
      <c r="G73" s="111"/>
    </row>
    <row r="74" spans="1:7" ht="12.75" customHeight="1">
      <c r="A74" s="44"/>
      <c r="B74" s="54"/>
      <c r="C74" s="44"/>
      <c r="D74" s="44"/>
      <c r="E74" s="71" t="s">
        <v>143</v>
      </c>
      <c r="F74" s="98">
        <v>2154.35</v>
      </c>
      <c r="G74" s="111"/>
    </row>
    <row r="75" spans="1:7" ht="12.75" customHeight="1">
      <c r="A75" s="44"/>
      <c r="B75" s="54"/>
      <c r="C75" s="44"/>
      <c r="D75" s="44"/>
      <c r="E75" s="66" t="s">
        <v>172</v>
      </c>
      <c r="F75" s="98">
        <v>173.16</v>
      </c>
      <c r="G75" s="111"/>
    </row>
    <row r="76" spans="1:7" ht="12.75" customHeight="1">
      <c r="A76" s="44"/>
      <c r="B76" s="54"/>
      <c r="C76" s="44"/>
      <c r="D76" s="44"/>
      <c r="E76" s="66" t="s">
        <v>129</v>
      </c>
      <c r="F76" s="116">
        <v>4.89</v>
      </c>
      <c r="G76" s="111"/>
    </row>
    <row r="77" spans="1:7" ht="12.75" customHeight="1">
      <c r="A77" s="44"/>
      <c r="B77" s="54"/>
      <c r="C77" s="44"/>
      <c r="D77" s="44"/>
      <c r="E77" s="66" t="s">
        <v>200</v>
      </c>
      <c r="F77" s="102">
        <f>7224.51*2.22/100</f>
        <v>160.38412200000002</v>
      </c>
      <c r="G77" s="111"/>
    </row>
    <row r="78" spans="1:7" ht="12.75" customHeight="1">
      <c r="A78" s="44"/>
      <c r="B78" s="54"/>
      <c r="C78" s="44"/>
      <c r="D78" s="44"/>
      <c r="E78" s="70"/>
      <c r="F78" s="95" t="s">
        <v>0</v>
      </c>
      <c r="G78" s="111"/>
    </row>
    <row r="79" spans="1:7" ht="12.75" customHeight="1">
      <c r="A79" s="72"/>
      <c r="B79" s="57" t="s">
        <v>39</v>
      </c>
      <c r="C79" s="73"/>
      <c r="D79" s="73"/>
      <c r="E79" s="66"/>
      <c r="F79" s="95" t="s">
        <v>0</v>
      </c>
      <c r="G79" s="106">
        <f>G19+G32</f>
        <v>-20902.444112000012</v>
      </c>
    </row>
    <row r="80" spans="1:7" ht="12.75" customHeight="1">
      <c r="A80" s="44"/>
      <c r="B80" s="74" t="s">
        <v>40</v>
      </c>
      <c r="C80" s="44"/>
      <c r="D80" s="44"/>
      <c r="E80" s="70"/>
      <c r="F80" s="95" t="s">
        <v>0</v>
      </c>
      <c r="G80" s="113"/>
    </row>
    <row r="81" spans="2:7" ht="12" customHeight="1">
      <c r="B81" s="76"/>
      <c r="E81" s="65"/>
      <c r="F81" s="95" t="s">
        <v>0</v>
      </c>
      <c r="G81" s="113"/>
    </row>
    <row r="82" spans="2:7" ht="12" customHeight="1">
      <c r="B82" s="57" t="s">
        <v>80</v>
      </c>
      <c r="C82" s="62"/>
      <c r="D82" s="62"/>
      <c r="E82" s="77"/>
      <c r="F82" s="96"/>
      <c r="G82" s="107">
        <f>SUM(F84:F86)</f>
        <v>-398.850084</v>
      </c>
    </row>
    <row r="83" spans="2:7" ht="12">
      <c r="B83" s="76"/>
      <c r="E83" s="65"/>
      <c r="F83" s="95"/>
      <c r="G83" s="113"/>
    </row>
    <row r="84" spans="2:7" ht="12">
      <c r="B84" s="54"/>
      <c r="C84" s="44" t="s">
        <v>77</v>
      </c>
      <c r="D84" s="44"/>
      <c r="E84" s="65"/>
      <c r="F84" s="93">
        <v>0</v>
      </c>
      <c r="G84" s="113"/>
    </row>
    <row r="85" spans="2:7" ht="12">
      <c r="B85" s="76"/>
      <c r="C85" s="44" t="s">
        <v>78</v>
      </c>
      <c r="E85" s="65"/>
      <c r="F85" s="95">
        <f>-22144.01*2.22/100</f>
        <v>-491.597022</v>
      </c>
      <c r="G85" s="113"/>
    </row>
    <row r="86" spans="2:7" ht="12">
      <c r="B86" s="76"/>
      <c r="C86" s="44" t="s">
        <v>79</v>
      </c>
      <c r="E86" s="65"/>
      <c r="F86" s="95">
        <f>(4177.79*2.22/100)</f>
        <v>92.74693800000001</v>
      </c>
      <c r="G86" s="113"/>
    </row>
    <row r="87" spans="2:7" ht="12">
      <c r="B87" s="76"/>
      <c r="E87" s="65"/>
      <c r="F87" s="95"/>
      <c r="G87" s="113"/>
    </row>
    <row r="88" spans="2:7" ht="12">
      <c r="B88" s="57" t="s">
        <v>81</v>
      </c>
      <c r="C88" s="62"/>
      <c r="D88" s="62"/>
      <c r="E88" s="77"/>
      <c r="F88" s="96">
        <v>0</v>
      </c>
      <c r="G88" s="107">
        <v>0</v>
      </c>
    </row>
    <row r="89" spans="2:7" ht="12">
      <c r="B89" s="76"/>
      <c r="E89" s="65"/>
      <c r="F89" s="95"/>
      <c r="G89" s="113"/>
    </row>
    <row r="90" spans="2:7" ht="12">
      <c r="B90" s="57" t="s">
        <v>76</v>
      </c>
      <c r="C90" s="62"/>
      <c r="D90" s="62"/>
      <c r="E90" s="77"/>
      <c r="F90" s="96"/>
      <c r="G90" s="107">
        <f>SUM(F92:F93)</f>
        <v>1.5600000000000058</v>
      </c>
    </row>
    <row r="91" spans="2:7" ht="12">
      <c r="B91" s="76"/>
      <c r="E91" s="65"/>
      <c r="F91" s="95"/>
      <c r="G91" s="113"/>
    </row>
    <row r="92" spans="2:7" ht="12">
      <c r="B92" s="76"/>
      <c r="C92" s="44" t="s">
        <v>82</v>
      </c>
      <c r="E92" s="65"/>
      <c r="F92" s="95">
        <v>-25.08</v>
      </c>
      <c r="G92" s="113"/>
    </row>
    <row r="93" spans="2:7" ht="12">
      <c r="B93" s="76"/>
      <c r="C93" s="44" t="s">
        <v>83</v>
      </c>
      <c r="E93" s="65"/>
      <c r="F93" s="95">
        <f>1200*2.22/100</f>
        <v>26.640000000000004</v>
      </c>
      <c r="G93" s="113"/>
    </row>
    <row r="94" spans="2:7" ht="12">
      <c r="B94" s="76"/>
      <c r="E94" s="65"/>
      <c r="F94" s="95"/>
      <c r="G94" s="113"/>
    </row>
    <row r="95" spans="2:7" ht="12">
      <c r="B95" s="79" t="s">
        <v>84</v>
      </c>
      <c r="C95" s="63"/>
      <c r="D95" s="63"/>
      <c r="E95" s="77"/>
      <c r="F95" s="95">
        <f>114854.73*2.22/100</f>
        <v>2549.775006</v>
      </c>
      <c r="G95" s="107">
        <f>F95</f>
        <v>2549.775006</v>
      </c>
    </row>
    <row r="96" spans="2:7" ht="12">
      <c r="B96" s="76"/>
      <c r="E96" s="65"/>
      <c r="F96" s="95"/>
      <c r="G96" s="113"/>
    </row>
    <row r="97" spans="2:7" ht="12.75">
      <c r="B97" s="57"/>
      <c r="E97" s="80" t="s">
        <v>85</v>
      </c>
      <c r="F97" s="95"/>
      <c r="G97" s="108">
        <f>G79-G82-G88-G90-G95</f>
        <v>-23054.92903400001</v>
      </c>
    </row>
    <row r="98" spans="2:7" ht="12">
      <c r="B98" s="81"/>
      <c r="C98" s="82"/>
      <c r="D98" s="82"/>
      <c r="E98" s="83"/>
      <c r="F98" s="84"/>
      <c r="G98" s="85"/>
    </row>
  </sheetData>
  <mergeCells count="6">
    <mergeCell ref="B13:G13"/>
    <mergeCell ref="F16:G16"/>
    <mergeCell ref="B5:G5"/>
    <mergeCell ref="B6:G6"/>
    <mergeCell ref="B7:G7"/>
    <mergeCell ref="B11:G11"/>
  </mergeCells>
  <printOptions/>
  <pageMargins left="0.75" right="0.75" top="1" bottom="1" header="0.5" footer="0.5"/>
  <pageSetup horizontalDpi="300" verticalDpi="300" orientation="portrait" paperSize="9" scale="90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60">
      <selection activeCell="G82" sqref="G8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138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1.2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43058.535263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42417.81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139</v>
      </c>
      <c r="F21" s="94">
        <v>42417.81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SUM(F28:F28)</f>
        <v>640.7252629999999</v>
      </c>
      <c r="G27" s="111"/>
    </row>
    <row r="28" spans="1:7" ht="12.75" customHeight="1">
      <c r="A28" s="44"/>
      <c r="B28" s="54"/>
      <c r="C28" s="44"/>
      <c r="D28" s="44"/>
      <c r="E28" s="45" t="s">
        <v>202</v>
      </c>
      <c r="F28" s="93">
        <f>173168.99*0.37/100</f>
        <v>640.7252629999999</v>
      </c>
      <c r="G28" s="111"/>
    </row>
    <row r="29" spans="1:7" ht="12.75" customHeight="1">
      <c r="A29" s="44"/>
      <c r="B29" s="54"/>
      <c r="C29" s="44"/>
      <c r="D29" s="44"/>
      <c r="E29" s="44"/>
      <c r="F29" s="95"/>
      <c r="G29" s="111"/>
    </row>
    <row r="30" spans="1:7" s="64" customFormat="1" ht="12.75" customHeight="1">
      <c r="A30" s="62"/>
      <c r="B30" s="57" t="s">
        <v>16</v>
      </c>
      <c r="C30" s="62"/>
      <c r="D30" s="62"/>
      <c r="E30" s="63"/>
      <c r="F30" s="96"/>
      <c r="G30" s="105">
        <f>-(F32+F34+F41+F43+F49+F56+F57+F58+F59)</f>
        <v>-29780.543217999995</v>
      </c>
    </row>
    <row r="31" spans="1:7" ht="12.75" customHeight="1">
      <c r="A31" s="44"/>
      <c r="B31" s="54"/>
      <c r="C31" s="44" t="s">
        <v>17</v>
      </c>
      <c r="D31" s="44"/>
      <c r="F31" s="95" t="s">
        <v>0</v>
      </c>
      <c r="G31" s="111"/>
    </row>
    <row r="32" spans="1:7" ht="12.75" customHeight="1">
      <c r="A32" s="44"/>
      <c r="B32" s="54"/>
      <c r="D32" s="44" t="s">
        <v>18</v>
      </c>
      <c r="E32" s="65"/>
      <c r="F32" s="97">
        <f>SUM(F33:F33)</f>
        <v>41.840191999999995</v>
      </c>
      <c r="G32" s="111"/>
    </row>
    <row r="33" spans="1:7" ht="12.75" customHeight="1">
      <c r="A33" s="44"/>
      <c r="B33" s="54"/>
      <c r="D33" s="44"/>
      <c r="E33" s="65" t="s">
        <v>200</v>
      </c>
      <c r="F33" s="99">
        <f>11308.16*0.37/100</f>
        <v>41.840191999999995</v>
      </c>
      <c r="G33" s="111"/>
    </row>
    <row r="34" spans="1:7" ht="12.75" customHeight="1">
      <c r="A34" s="44"/>
      <c r="B34" s="54"/>
      <c r="C34" s="44" t="s">
        <v>19</v>
      </c>
      <c r="D34" s="44"/>
      <c r="E34" s="65"/>
      <c r="F34" s="97">
        <f>SUM(F35:F40)</f>
        <v>15259.819768999998</v>
      </c>
      <c r="G34" s="111"/>
    </row>
    <row r="35" spans="1:7" ht="12.75" customHeight="1">
      <c r="A35" s="44"/>
      <c r="B35" s="54"/>
      <c r="C35" s="44"/>
      <c r="D35" s="44"/>
      <c r="E35" s="66" t="s">
        <v>47</v>
      </c>
      <c r="F35" s="98">
        <v>1782.89</v>
      </c>
      <c r="G35" s="111"/>
    </row>
    <row r="36" spans="1:7" ht="12.75" customHeight="1">
      <c r="A36" s="44"/>
      <c r="B36" s="54"/>
      <c r="C36" s="44"/>
      <c r="D36" s="44"/>
      <c r="E36" s="66" t="s">
        <v>173</v>
      </c>
      <c r="F36" s="98">
        <v>1941.48</v>
      </c>
      <c r="G36" s="111"/>
    </row>
    <row r="37" spans="1:7" ht="12.75" customHeight="1">
      <c r="A37" s="44"/>
      <c r="B37" s="54"/>
      <c r="C37" s="44"/>
      <c r="D37" s="44"/>
      <c r="E37" s="66" t="s">
        <v>51</v>
      </c>
      <c r="F37" s="98">
        <v>500.07</v>
      </c>
      <c r="G37" s="111"/>
    </row>
    <row r="38" spans="1:7" ht="12.75" customHeight="1">
      <c r="A38" s="44"/>
      <c r="B38" s="54"/>
      <c r="C38" s="44"/>
      <c r="D38" s="44"/>
      <c r="E38" s="66" t="s">
        <v>159</v>
      </c>
      <c r="F38" s="98">
        <v>8000</v>
      </c>
      <c r="G38" s="111"/>
    </row>
    <row r="39" spans="1:7" ht="12.75" customHeight="1">
      <c r="A39" s="44"/>
      <c r="B39" s="54"/>
      <c r="C39" s="44"/>
      <c r="D39" s="44"/>
      <c r="E39" s="66" t="s">
        <v>174</v>
      </c>
      <c r="F39" s="98">
        <v>2000</v>
      </c>
      <c r="G39" s="111"/>
    </row>
    <row r="40" spans="1:7" ht="12.75" customHeight="1">
      <c r="A40" s="44"/>
      <c r="B40" s="54"/>
      <c r="C40" s="44"/>
      <c r="D40" s="44"/>
      <c r="E40" s="66" t="s">
        <v>201</v>
      </c>
      <c r="F40" s="98">
        <f>(192155.07+91855.09-4177.79)*0.37/100</f>
        <v>1035.3797690000001</v>
      </c>
      <c r="G40" s="111"/>
    </row>
    <row r="41" spans="1:7" ht="12.75" customHeight="1">
      <c r="A41" s="44"/>
      <c r="B41" s="54"/>
      <c r="C41" s="44" t="s">
        <v>20</v>
      </c>
      <c r="D41" s="44"/>
      <c r="E41" s="65"/>
      <c r="F41" s="93">
        <f>SUM(F42)</f>
        <v>21.17325</v>
      </c>
      <c r="G41" s="111"/>
    </row>
    <row r="42" spans="1:7" ht="12.75" customHeight="1">
      <c r="A42" s="44"/>
      <c r="B42" s="54"/>
      <c r="C42" s="44"/>
      <c r="D42" s="44"/>
      <c r="E42" s="65" t="s">
        <v>200</v>
      </c>
      <c r="F42" s="102">
        <f>5722.5*0.37/100</f>
        <v>21.17325</v>
      </c>
      <c r="G42" s="111"/>
    </row>
    <row r="43" spans="1:7" ht="12.75" customHeight="1">
      <c r="A43" s="44"/>
      <c r="B43" s="54"/>
      <c r="C43" s="44" t="s">
        <v>21</v>
      </c>
      <c r="D43" s="44"/>
      <c r="E43" s="65"/>
      <c r="F43" s="97">
        <f>SUM(F44:F48)</f>
        <v>6273.231092999999</v>
      </c>
      <c r="G43" s="111"/>
    </row>
    <row r="44" spans="1:7" ht="12.75" customHeight="1">
      <c r="A44" s="44"/>
      <c r="B44" s="54"/>
      <c r="D44" s="67" t="s">
        <v>22</v>
      </c>
      <c r="E44" s="68"/>
      <c r="F44" s="98">
        <f>4000+((156598.12+3060+6461.31+3135.35+26557.42+67700)*0.37/100)-902.15+115.15</f>
        <v>4187.99514</v>
      </c>
      <c r="G44" s="111"/>
    </row>
    <row r="45" spans="1:7" ht="12.75" customHeight="1">
      <c r="A45" s="44"/>
      <c r="B45" s="54"/>
      <c r="D45" s="67" t="s">
        <v>23</v>
      </c>
      <c r="E45" s="68"/>
      <c r="F45" s="98">
        <f>1000+((28726.58+768.92+1623.1+783.84+5280.25+12300)*0.37/100)</f>
        <v>1183.085953</v>
      </c>
      <c r="G45" s="111"/>
    </row>
    <row r="46" spans="1:7" ht="12.75" customHeight="1">
      <c r="A46" s="44"/>
      <c r="B46" s="54"/>
      <c r="D46" s="67" t="s">
        <v>24</v>
      </c>
      <c r="E46" s="68"/>
      <c r="F46" s="98">
        <v>902.15</v>
      </c>
      <c r="G46" s="111"/>
    </row>
    <row r="47" spans="1:7" ht="12.75" customHeight="1">
      <c r="A47" s="44"/>
      <c r="B47" s="54"/>
      <c r="D47" s="67" t="s">
        <v>25</v>
      </c>
      <c r="E47" s="68"/>
      <c r="F47" s="98">
        <v>0</v>
      </c>
      <c r="G47" s="111"/>
    </row>
    <row r="48" spans="1:7" ht="12.75" customHeight="1">
      <c r="A48" s="44"/>
      <c r="B48" s="54"/>
      <c r="D48" s="67" t="s">
        <v>130</v>
      </c>
      <c r="E48" s="68"/>
      <c r="F48" s="98">
        <v>0</v>
      </c>
      <c r="G48" s="111"/>
    </row>
    <row r="49" spans="1:7" ht="12.75" customHeight="1">
      <c r="A49" s="44"/>
      <c r="B49" s="54"/>
      <c r="C49" s="44" t="s">
        <v>27</v>
      </c>
      <c r="D49" s="44"/>
      <c r="E49" s="65"/>
      <c r="F49" s="97">
        <f>SUM(F50:F54)</f>
        <v>8143.498227</v>
      </c>
      <c r="G49" s="111"/>
    </row>
    <row r="50" spans="1:7" ht="12.75" customHeight="1">
      <c r="A50" s="44"/>
      <c r="B50" s="54"/>
      <c r="C50" s="44"/>
      <c r="D50" s="67" t="s">
        <v>28</v>
      </c>
      <c r="E50" s="68"/>
      <c r="F50" s="98">
        <f>2448.47*0.37/100</f>
        <v>9.059339</v>
      </c>
      <c r="G50" s="111"/>
    </row>
    <row r="51" spans="1:7" ht="12.75" customHeight="1">
      <c r="A51" s="44"/>
      <c r="B51" s="54"/>
      <c r="D51" s="67" t="s">
        <v>29</v>
      </c>
      <c r="E51" s="69"/>
      <c r="F51" s="98">
        <f>8128.74+(1540.24*0.37/100)</f>
        <v>8134.438888</v>
      </c>
      <c r="G51" s="111"/>
    </row>
    <row r="52" spans="1:7" ht="12.75" customHeight="1">
      <c r="A52" s="44"/>
      <c r="B52" s="54"/>
      <c r="D52" s="67" t="s">
        <v>31</v>
      </c>
      <c r="E52" s="68"/>
      <c r="F52" s="98">
        <v>0</v>
      </c>
      <c r="G52" s="111"/>
    </row>
    <row r="53" spans="1:7" ht="12.75" customHeight="1">
      <c r="A53" s="44"/>
      <c r="B53" s="54"/>
      <c r="D53" s="67" t="s">
        <v>32</v>
      </c>
      <c r="E53" s="68"/>
      <c r="F53" s="98"/>
      <c r="G53" s="111"/>
    </row>
    <row r="54" spans="1:7" ht="12.75" customHeight="1">
      <c r="A54" s="44"/>
      <c r="B54" s="54"/>
      <c r="D54" s="67"/>
      <c r="E54" s="69" t="s">
        <v>33</v>
      </c>
      <c r="F54" s="98">
        <v>0</v>
      </c>
      <c r="G54" s="111"/>
    </row>
    <row r="55" spans="1:7" ht="12.75" customHeight="1">
      <c r="A55" s="44"/>
      <c r="B55" s="54"/>
      <c r="C55" s="44" t="s">
        <v>34</v>
      </c>
      <c r="D55" s="44"/>
      <c r="E55" s="65"/>
      <c r="F55" s="95"/>
      <c r="G55" s="111"/>
    </row>
    <row r="56" spans="1:7" ht="12.75" customHeight="1">
      <c r="A56" s="44"/>
      <c r="B56" s="54"/>
      <c r="D56" s="44"/>
      <c r="E56" s="70" t="s">
        <v>35</v>
      </c>
      <c r="F56" s="95">
        <v>0</v>
      </c>
      <c r="G56" s="111"/>
    </row>
    <row r="57" spans="1:7" ht="12.75" customHeight="1">
      <c r="A57" s="44"/>
      <c r="B57" s="54"/>
      <c r="C57" s="44" t="s">
        <v>36</v>
      </c>
      <c r="D57" s="44"/>
      <c r="E57" s="65"/>
      <c r="F57" s="95">
        <v>0</v>
      </c>
      <c r="G57" s="111"/>
    </row>
    <row r="58" spans="1:7" ht="12.75" customHeight="1">
      <c r="A58" s="44"/>
      <c r="B58" s="54"/>
      <c r="C58" s="44" t="s">
        <v>37</v>
      </c>
      <c r="D58" s="44"/>
      <c r="E58" s="65"/>
      <c r="F58" s="95">
        <v>0</v>
      </c>
      <c r="G58" s="111"/>
    </row>
    <row r="59" spans="1:7" ht="12.75" customHeight="1">
      <c r="A59" s="44"/>
      <c r="B59" s="54"/>
      <c r="C59" s="44" t="s">
        <v>38</v>
      </c>
      <c r="D59" s="44"/>
      <c r="E59" s="65"/>
      <c r="F59" s="95">
        <f>SUM(F60:F62)</f>
        <v>40.980687</v>
      </c>
      <c r="G59" s="111"/>
    </row>
    <row r="60" spans="1:7" ht="12.75" customHeight="1">
      <c r="A60" s="44"/>
      <c r="B60" s="54"/>
      <c r="C60" s="44"/>
      <c r="D60" s="44"/>
      <c r="E60" s="66" t="s">
        <v>216</v>
      </c>
      <c r="F60" s="103">
        <v>11.62</v>
      </c>
      <c r="G60" s="111"/>
    </row>
    <row r="61" spans="1:7" ht="12.75" customHeight="1">
      <c r="A61" s="44"/>
      <c r="B61" s="54"/>
      <c r="C61" s="44"/>
      <c r="D61" s="44"/>
      <c r="E61" s="66" t="s">
        <v>217</v>
      </c>
      <c r="F61" s="103">
        <v>2.63</v>
      </c>
      <c r="G61" s="111"/>
    </row>
    <row r="62" spans="1:7" ht="12.75" customHeight="1">
      <c r="A62" s="44"/>
      <c r="B62" s="54"/>
      <c r="C62" s="44"/>
      <c r="D62" s="44"/>
      <c r="E62" s="66" t="s">
        <v>201</v>
      </c>
      <c r="F62" s="102">
        <f>7224.51*0.37/100</f>
        <v>26.730687000000003</v>
      </c>
      <c r="G62" s="111"/>
    </row>
    <row r="63" spans="1:7" ht="12.75" customHeight="1">
      <c r="A63" s="44"/>
      <c r="B63" s="54"/>
      <c r="C63" s="44"/>
      <c r="D63" s="44"/>
      <c r="E63" s="70"/>
      <c r="F63" s="95" t="s">
        <v>0</v>
      </c>
      <c r="G63" s="111"/>
    </row>
    <row r="64" spans="1:7" ht="12.75" customHeight="1">
      <c r="A64" s="72"/>
      <c r="B64" s="57" t="s">
        <v>39</v>
      </c>
      <c r="C64" s="73"/>
      <c r="D64" s="73"/>
      <c r="E64" s="66"/>
      <c r="F64" s="95" t="s">
        <v>0</v>
      </c>
      <c r="G64" s="106">
        <f>G19+G30</f>
        <v>13277.992045000003</v>
      </c>
    </row>
    <row r="65" spans="1:7" ht="12.75" customHeight="1">
      <c r="A65" s="44"/>
      <c r="B65" s="74" t="s">
        <v>40</v>
      </c>
      <c r="C65" s="44"/>
      <c r="D65" s="44"/>
      <c r="E65" s="70"/>
      <c r="F65" s="95" t="s">
        <v>0</v>
      </c>
      <c r="G65" s="113"/>
    </row>
    <row r="66" spans="2:7" ht="12" customHeight="1">
      <c r="B66" s="76"/>
      <c r="E66" s="65"/>
      <c r="F66" s="95" t="s">
        <v>0</v>
      </c>
      <c r="G66" s="113"/>
    </row>
    <row r="67" spans="2:7" ht="12" customHeight="1">
      <c r="B67" s="57" t="s">
        <v>80</v>
      </c>
      <c r="C67" s="62"/>
      <c r="D67" s="62"/>
      <c r="E67" s="77"/>
      <c r="F67" s="96"/>
      <c r="G67" s="107">
        <f>SUM(F69:F71)</f>
        <v>-66.475014</v>
      </c>
    </row>
    <row r="68" spans="2:7" ht="12">
      <c r="B68" s="76"/>
      <c r="E68" s="65"/>
      <c r="F68" s="95"/>
      <c r="G68" s="113"/>
    </row>
    <row r="69" spans="2:7" ht="12">
      <c r="B69" s="54"/>
      <c r="C69" s="44" t="s">
        <v>77</v>
      </c>
      <c r="D69" s="44"/>
      <c r="E69" s="65"/>
      <c r="F69" s="93">
        <v>0</v>
      </c>
      <c r="G69" s="113"/>
    </row>
    <row r="70" spans="2:7" ht="12">
      <c r="B70" s="76"/>
      <c r="C70" s="44" t="s">
        <v>78</v>
      </c>
      <c r="E70" s="65"/>
      <c r="F70" s="95">
        <f>-22144.01*0.37/100</f>
        <v>-81.932837</v>
      </c>
      <c r="G70" s="113"/>
    </row>
    <row r="71" spans="2:7" ht="12">
      <c r="B71" s="76"/>
      <c r="C71" s="44" t="s">
        <v>79</v>
      </c>
      <c r="E71" s="65"/>
      <c r="F71" s="95">
        <f>(4177.79*0.37/100)</f>
        <v>15.457823000000001</v>
      </c>
      <c r="G71" s="113"/>
    </row>
    <row r="72" spans="2:7" ht="12">
      <c r="B72" s="76"/>
      <c r="E72" s="65"/>
      <c r="F72" s="95"/>
      <c r="G72" s="113"/>
    </row>
    <row r="73" spans="2:7" ht="12">
      <c r="B73" s="57" t="s">
        <v>81</v>
      </c>
      <c r="C73" s="62"/>
      <c r="D73" s="62"/>
      <c r="E73" s="77"/>
      <c r="F73" s="96">
        <v>0</v>
      </c>
      <c r="G73" s="107">
        <v>0</v>
      </c>
    </row>
    <row r="74" spans="2:7" ht="12">
      <c r="B74" s="76"/>
      <c r="E74" s="65"/>
      <c r="F74" s="95"/>
      <c r="G74" s="113"/>
    </row>
    <row r="75" spans="2:7" ht="12">
      <c r="B75" s="57" t="s">
        <v>76</v>
      </c>
      <c r="C75" s="62"/>
      <c r="D75" s="62"/>
      <c r="E75" s="77"/>
      <c r="F75" s="96"/>
      <c r="G75" s="107">
        <f>SUM(F77:F78)</f>
        <v>-564.4899999999999</v>
      </c>
    </row>
    <row r="76" spans="2:7" ht="12">
      <c r="B76" s="76"/>
      <c r="E76" s="65"/>
      <c r="F76" s="95"/>
      <c r="G76" s="113"/>
    </row>
    <row r="77" spans="2:7" ht="12">
      <c r="B77" s="76"/>
      <c r="C77" s="44" t="s">
        <v>82</v>
      </c>
      <c r="E77" s="65"/>
      <c r="F77" s="95">
        <v>-568.93</v>
      </c>
      <c r="G77" s="113"/>
    </row>
    <row r="78" spans="2:7" ht="12">
      <c r="B78" s="76"/>
      <c r="C78" s="44" t="s">
        <v>83</v>
      </c>
      <c r="E78" s="65"/>
      <c r="F78" s="95">
        <f>1200*0.37/100</f>
        <v>4.44</v>
      </c>
      <c r="G78" s="113"/>
    </row>
    <row r="79" spans="2:7" ht="12">
      <c r="B79" s="76"/>
      <c r="E79" s="65"/>
      <c r="F79" s="95"/>
      <c r="G79" s="113"/>
    </row>
    <row r="80" spans="2:7" ht="12">
      <c r="B80" s="79" t="s">
        <v>84</v>
      </c>
      <c r="C80" s="63"/>
      <c r="D80" s="63"/>
      <c r="E80" s="77"/>
      <c r="F80" s="95">
        <f>114854.73*0.37/100</f>
        <v>424.962501</v>
      </c>
      <c r="G80" s="107">
        <f>F80</f>
        <v>424.962501</v>
      </c>
    </row>
    <row r="81" spans="2:7" ht="12">
      <c r="B81" s="76"/>
      <c r="E81" s="65"/>
      <c r="F81" s="95"/>
      <c r="G81" s="113"/>
    </row>
    <row r="82" spans="2:7" ht="12.75">
      <c r="B82" s="57"/>
      <c r="E82" s="80" t="s">
        <v>85</v>
      </c>
      <c r="F82" s="95"/>
      <c r="G82" s="108">
        <f>G64-G67-G73-G75-G80</f>
        <v>13483.994558000002</v>
      </c>
    </row>
    <row r="83" spans="2:7" ht="12">
      <c r="B83" s="81"/>
      <c r="C83" s="82"/>
      <c r="D83" s="82"/>
      <c r="E83" s="83"/>
      <c r="F83" s="114"/>
      <c r="G83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61">
      <selection activeCell="F89" sqref="F89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167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13254.638293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13087.1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175</v>
      </c>
      <c r="F21" s="94">
        <v>13087.1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SUM(F28:F29)</f>
        <v>167.538293</v>
      </c>
      <c r="G27" s="111"/>
    </row>
    <row r="28" spans="1:7" ht="12.75" customHeight="1">
      <c r="A28" s="44"/>
      <c r="B28" s="54"/>
      <c r="C28" s="44"/>
      <c r="D28" s="44" t="s">
        <v>30</v>
      </c>
      <c r="E28" s="45" t="s">
        <v>218</v>
      </c>
      <c r="F28" s="93">
        <v>46.32</v>
      </c>
      <c r="G28" s="111"/>
    </row>
    <row r="29" spans="1:7" ht="12.75" customHeight="1">
      <c r="A29" s="44"/>
      <c r="B29" s="54"/>
      <c r="C29" s="44"/>
      <c r="D29" s="44" t="s">
        <v>30</v>
      </c>
      <c r="E29" s="45" t="s">
        <v>199</v>
      </c>
      <c r="F29" s="93">
        <f>173168.99*0.07/100</f>
        <v>121.21829300000002</v>
      </c>
      <c r="G29" s="111"/>
    </row>
    <row r="30" spans="1:7" ht="12.75" customHeight="1">
      <c r="A30" s="44"/>
      <c r="B30" s="54"/>
      <c r="C30" s="44"/>
      <c r="D30" s="44"/>
      <c r="F30" s="93"/>
      <c r="G30" s="111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-(F34+F36+F41+F45+F51+F58+F59+F60+F61)</f>
        <v>-13337.573815000002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SUM(F35:F35)</f>
        <v>7.915712000000001</v>
      </c>
      <c r="G34" s="111"/>
    </row>
    <row r="35" spans="1:7" ht="12.75" customHeight="1">
      <c r="A35" s="44"/>
      <c r="B35" s="54"/>
      <c r="D35" s="44"/>
      <c r="E35" s="65" t="s">
        <v>200</v>
      </c>
      <c r="F35" s="99">
        <f>11308.16*0.07/100</f>
        <v>7.915712000000001</v>
      </c>
      <c r="G35" s="111"/>
    </row>
    <row r="36" spans="1:7" ht="12.75" customHeight="1">
      <c r="A36" s="44"/>
      <c r="B36" s="54"/>
      <c r="C36" s="44" t="s">
        <v>19</v>
      </c>
      <c r="D36" s="44"/>
      <c r="E36" s="65"/>
      <c r="F36" s="97">
        <f>SUM(F37:F40)</f>
        <v>1783.942659</v>
      </c>
      <c r="G36" s="111"/>
    </row>
    <row r="37" spans="1:7" ht="12.75" customHeight="1">
      <c r="A37" s="44"/>
      <c r="B37" s="54"/>
      <c r="C37" s="44"/>
      <c r="D37" s="44"/>
      <c r="E37" s="66" t="s">
        <v>47</v>
      </c>
      <c r="F37" s="98">
        <v>1086.79</v>
      </c>
      <c r="G37" s="111"/>
    </row>
    <row r="38" spans="1:7" ht="12.75" customHeight="1">
      <c r="A38" s="44"/>
      <c r="B38" s="54"/>
      <c r="C38" s="44"/>
      <c r="D38" s="44"/>
      <c r="E38" s="66" t="s">
        <v>46</v>
      </c>
      <c r="F38" s="116">
        <v>490.27</v>
      </c>
      <c r="G38" s="111"/>
    </row>
    <row r="39" spans="1:7" ht="12.75" customHeight="1">
      <c r="A39" s="44"/>
      <c r="B39" s="54"/>
      <c r="C39" s="44"/>
      <c r="D39" s="44"/>
      <c r="E39" s="66" t="s">
        <v>48</v>
      </c>
      <c r="F39" s="116">
        <v>11</v>
      </c>
      <c r="G39" s="111"/>
    </row>
    <row r="40" spans="1:7" ht="12.75" customHeight="1">
      <c r="A40" s="44"/>
      <c r="B40" s="54"/>
      <c r="C40" s="44"/>
      <c r="D40" s="44"/>
      <c r="E40" s="66" t="s">
        <v>200</v>
      </c>
      <c r="F40" s="116">
        <f>((192155.07+91855.09-4177.79)*0.07/100)</f>
        <v>195.88265900000005</v>
      </c>
      <c r="G40" s="111"/>
    </row>
    <row r="41" spans="1:7" ht="12.75" customHeight="1">
      <c r="A41" s="44"/>
      <c r="B41" s="54"/>
      <c r="C41" s="44" t="s">
        <v>20</v>
      </c>
      <c r="D41" s="44"/>
      <c r="E41" s="65"/>
      <c r="F41" s="93">
        <f>SUM(F42:F44)</f>
        <v>10769.30575</v>
      </c>
      <c r="G41" s="111"/>
    </row>
    <row r="42" spans="1:7" ht="12.75" customHeight="1">
      <c r="A42" s="44"/>
      <c r="B42" s="54"/>
      <c r="C42" s="44"/>
      <c r="D42" s="44" t="s">
        <v>176</v>
      </c>
      <c r="E42" s="65"/>
      <c r="F42" s="102">
        <v>8768.48</v>
      </c>
      <c r="G42" s="111"/>
    </row>
    <row r="43" spans="1:7" ht="12.75" customHeight="1">
      <c r="A43" s="44"/>
      <c r="B43" s="54"/>
      <c r="C43" s="44"/>
      <c r="D43" s="44" t="s">
        <v>219</v>
      </c>
      <c r="E43" s="65"/>
      <c r="F43" s="102">
        <v>1996.82</v>
      </c>
      <c r="G43" s="111"/>
    </row>
    <row r="44" spans="1:7" ht="12.75" customHeight="1">
      <c r="A44" s="44"/>
      <c r="B44" s="54"/>
      <c r="C44" s="44"/>
      <c r="D44" s="44" t="s">
        <v>200</v>
      </c>
      <c r="E44" s="65"/>
      <c r="F44" s="102">
        <f>5722.5*0.07/100</f>
        <v>4.005750000000001</v>
      </c>
      <c r="G44" s="111"/>
    </row>
    <row r="45" spans="1:7" ht="12.75" customHeight="1">
      <c r="A45" s="44"/>
      <c r="B45" s="54"/>
      <c r="C45" s="44" t="s">
        <v>21</v>
      </c>
      <c r="D45" s="44"/>
      <c r="E45" s="65"/>
      <c r="F45" s="97">
        <f>SUM(F46:F50)</f>
        <v>225.36044000000004</v>
      </c>
      <c r="G45" s="111"/>
    </row>
    <row r="46" spans="1:7" ht="12.75" customHeight="1">
      <c r="A46" s="44"/>
      <c r="B46" s="54"/>
      <c r="D46" s="67" t="s">
        <v>22</v>
      </c>
      <c r="E46" s="68"/>
      <c r="F46" s="98">
        <f>((156598.12+3060+6461.31+3135.35+26557.42+67700)*0.07/100)-2.37</f>
        <v>182.08854000000002</v>
      </c>
      <c r="G46" s="111"/>
    </row>
    <row r="47" spans="1:7" ht="12.75" customHeight="1">
      <c r="A47" s="44"/>
      <c r="B47" s="54"/>
      <c r="D47" s="67" t="s">
        <v>23</v>
      </c>
      <c r="E47" s="68"/>
      <c r="F47" s="98">
        <f>(28726.58+768.92+1623.1+783.84+5280.25+12300)*0.07/100</f>
        <v>34.63788300000001</v>
      </c>
      <c r="G47" s="111"/>
    </row>
    <row r="48" spans="1:7" ht="12.75" customHeight="1">
      <c r="A48" s="44"/>
      <c r="B48" s="54"/>
      <c r="D48" s="67" t="s">
        <v>24</v>
      </c>
      <c r="E48" s="68"/>
      <c r="F48" s="98">
        <f>12334.31*0.07/100</f>
        <v>8.634017</v>
      </c>
      <c r="G48" s="111"/>
    </row>
    <row r="49" spans="1:7" ht="12.75" customHeight="1">
      <c r="A49" s="44"/>
      <c r="B49" s="54"/>
      <c r="D49" s="67" t="s">
        <v>25</v>
      </c>
      <c r="E49" s="68"/>
      <c r="F49" s="98">
        <v>0</v>
      </c>
      <c r="G49" s="111"/>
    </row>
    <row r="50" spans="1:7" ht="12.75" customHeight="1">
      <c r="A50" s="44"/>
      <c r="B50" s="54"/>
      <c r="D50" s="67" t="s">
        <v>136</v>
      </c>
      <c r="E50" s="68"/>
      <c r="F50" s="98">
        <v>0</v>
      </c>
      <c r="G50" s="111"/>
    </row>
    <row r="51" spans="1:7" ht="12.75" customHeight="1">
      <c r="A51" s="44"/>
      <c r="B51" s="54"/>
      <c r="C51" s="44" t="s">
        <v>27</v>
      </c>
      <c r="D51" s="44"/>
      <c r="E51" s="65"/>
      <c r="F51" s="97">
        <f>SUM(F52:F56)</f>
        <v>32.012097</v>
      </c>
      <c r="G51" s="111"/>
    </row>
    <row r="52" spans="1:7" ht="12.75" customHeight="1">
      <c r="A52" s="44"/>
      <c r="B52" s="54"/>
      <c r="C52" s="44"/>
      <c r="D52" s="67" t="s">
        <v>28</v>
      </c>
      <c r="E52" s="68"/>
      <c r="F52" s="98">
        <f>2448.47*0.07/100</f>
        <v>1.713929</v>
      </c>
      <c r="G52" s="111"/>
    </row>
    <row r="53" spans="1:7" ht="12.75" customHeight="1">
      <c r="A53" s="44"/>
      <c r="B53" s="54"/>
      <c r="D53" s="67" t="s">
        <v>29</v>
      </c>
      <c r="E53" s="69"/>
      <c r="F53" s="98">
        <f>29.22+(1540.24*0.07/100)</f>
        <v>30.298168</v>
      </c>
      <c r="G53" s="111"/>
    </row>
    <row r="54" spans="1:7" ht="12.75" customHeight="1">
      <c r="A54" s="44"/>
      <c r="B54" s="54"/>
      <c r="D54" s="67" t="s">
        <v>31</v>
      </c>
      <c r="E54" s="68"/>
      <c r="F54" s="98">
        <v>0</v>
      </c>
      <c r="G54" s="111"/>
    </row>
    <row r="55" spans="1:7" ht="12.75" customHeight="1">
      <c r="A55" s="44"/>
      <c r="B55" s="54"/>
      <c r="D55" s="67" t="s">
        <v>32</v>
      </c>
      <c r="E55" s="68"/>
      <c r="F55" s="98"/>
      <c r="G55" s="111"/>
    </row>
    <row r="56" spans="1:7" ht="12.75" customHeight="1">
      <c r="A56" s="44"/>
      <c r="B56" s="54"/>
      <c r="D56" s="67"/>
      <c r="E56" s="69" t="s">
        <v>33</v>
      </c>
      <c r="F56" s="98">
        <v>0</v>
      </c>
      <c r="G56" s="111"/>
    </row>
    <row r="57" spans="1:7" ht="12.75" customHeight="1">
      <c r="A57" s="44"/>
      <c r="B57" s="54"/>
      <c r="C57" s="44" t="s">
        <v>34</v>
      </c>
      <c r="D57" s="44"/>
      <c r="E57" s="65"/>
      <c r="F57" s="95"/>
      <c r="G57" s="111"/>
    </row>
    <row r="58" spans="1:7" ht="12.75" customHeight="1">
      <c r="A58" s="44"/>
      <c r="B58" s="54"/>
      <c r="D58" s="44"/>
      <c r="E58" s="70" t="s">
        <v>35</v>
      </c>
      <c r="F58" s="95">
        <v>0</v>
      </c>
      <c r="G58" s="111"/>
    </row>
    <row r="59" spans="1:7" ht="12.75" customHeight="1">
      <c r="A59" s="44"/>
      <c r="B59" s="54"/>
      <c r="C59" s="44" t="s">
        <v>36</v>
      </c>
      <c r="D59" s="44"/>
      <c r="E59" s="65"/>
      <c r="F59" s="95">
        <v>0</v>
      </c>
      <c r="G59" s="111"/>
    </row>
    <row r="60" spans="1:7" ht="12.75" customHeight="1">
      <c r="A60" s="44"/>
      <c r="B60" s="54"/>
      <c r="C60" s="44" t="s">
        <v>37</v>
      </c>
      <c r="D60" s="44"/>
      <c r="E60" s="65"/>
      <c r="F60" s="95">
        <v>0</v>
      </c>
      <c r="G60" s="111"/>
    </row>
    <row r="61" spans="1:7" ht="12.75" customHeight="1">
      <c r="A61" s="44"/>
      <c r="B61" s="54"/>
      <c r="C61" s="44" t="s">
        <v>38</v>
      </c>
      <c r="D61" s="44"/>
      <c r="E61" s="65"/>
      <c r="F61" s="95">
        <f>SUM(F62:F67)</f>
        <v>519.037157</v>
      </c>
      <c r="G61" s="111"/>
    </row>
    <row r="62" spans="1:7" ht="12.75" customHeight="1">
      <c r="A62" s="44"/>
      <c r="B62" s="54"/>
      <c r="C62" s="44"/>
      <c r="D62" s="44"/>
      <c r="E62" s="65" t="s">
        <v>127</v>
      </c>
      <c r="F62" s="95">
        <v>61.98</v>
      </c>
      <c r="G62" s="111"/>
    </row>
    <row r="63" spans="1:7" ht="12.75" customHeight="1">
      <c r="A63" s="44"/>
      <c r="B63" s="54"/>
      <c r="C63" s="44"/>
      <c r="D63" s="44"/>
      <c r="E63" s="65" t="s">
        <v>220</v>
      </c>
      <c r="F63" s="95">
        <v>68.38</v>
      </c>
      <c r="G63" s="111"/>
    </row>
    <row r="64" spans="1:7" ht="12.75" customHeight="1">
      <c r="A64" s="44"/>
      <c r="B64" s="54"/>
      <c r="C64" s="44"/>
      <c r="D64" s="44"/>
      <c r="E64" s="65" t="s">
        <v>221</v>
      </c>
      <c r="F64" s="95">
        <v>301</v>
      </c>
      <c r="G64" s="111"/>
    </row>
    <row r="65" spans="1:7" ht="12.75" customHeight="1">
      <c r="A65" s="44"/>
      <c r="B65" s="54"/>
      <c r="C65" s="44"/>
      <c r="D65" s="44"/>
      <c r="E65" s="65" t="s">
        <v>143</v>
      </c>
      <c r="F65" s="95">
        <v>81.78</v>
      </c>
      <c r="G65" s="111"/>
    </row>
    <row r="66" spans="1:7" ht="12.75" customHeight="1">
      <c r="A66" s="44"/>
      <c r="B66" s="54"/>
      <c r="C66" s="44"/>
      <c r="D66" s="44"/>
      <c r="E66" s="65" t="s">
        <v>129</v>
      </c>
      <c r="F66" s="95">
        <v>0.84</v>
      </c>
      <c r="G66" s="111"/>
    </row>
    <row r="67" spans="1:7" ht="12.75" customHeight="1">
      <c r="A67" s="44"/>
      <c r="B67" s="54"/>
      <c r="C67" s="44"/>
      <c r="D67" s="44"/>
      <c r="E67" s="65" t="s">
        <v>200</v>
      </c>
      <c r="F67" s="95">
        <f>7224.51*0.07/100</f>
        <v>5.057157000000001</v>
      </c>
      <c r="G67" s="111"/>
    </row>
    <row r="68" spans="1:7" ht="12.75" customHeight="1">
      <c r="A68" s="44"/>
      <c r="B68" s="54"/>
      <c r="C68" s="44"/>
      <c r="D68" s="44"/>
      <c r="E68" s="70"/>
      <c r="F68" s="95" t="s">
        <v>0</v>
      </c>
      <c r="G68" s="111"/>
    </row>
    <row r="69" spans="1:7" ht="12.75" customHeight="1">
      <c r="A69" s="72"/>
      <c r="B69" s="57" t="s">
        <v>39</v>
      </c>
      <c r="C69" s="73"/>
      <c r="D69" s="73"/>
      <c r="E69" s="66"/>
      <c r="F69" s="95" t="s">
        <v>0</v>
      </c>
      <c r="G69" s="106">
        <f>G19+G32</f>
        <v>-82.93552200000158</v>
      </c>
    </row>
    <row r="70" spans="1:7" ht="12.75" customHeight="1">
      <c r="A70" s="44"/>
      <c r="B70" s="74" t="s">
        <v>40</v>
      </c>
      <c r="C70" s="44"/>
      <c r="D70" s="44"/>
      <c r="E70" s="70"/>
      <c r="F70" s="95" t="s">
        <v>0</v>
      </c>
      <c r="G70" s="113"/>
    </row>
    <row r="71" spans="2:7" ht="12" customHeight="1">
      <c r="B71" s="76"/>
      <c r="E71" s="65"/>
      <c r="F71" s="95" t="s">
        <v>0</v>
      </c>
      <c r="G71" s="113"/>
    </row>
    <row r="72" spans="2:7" ht="12" customHeight="1">
      <c r="B72" s="57" t="s">
        <v>80</v>
      </c>
      <c r="C72" s="62"/>
      <c r="D72" s="62"/>
      <c r="E72" s="77"/>
      <c r="F72" s="96"/>
      <c r="G72" s="107">
        <f>SUM(F74:F76)</f>
        <v>-12.576354</v>
      </c>
    </row>
    <row r="73" spans="2:7" ht="12">
      <c r="B73" s="76"/>
      <c r="E73" s="65"/>
      <c r="F73" s="95"/>
      <c r="G73" s="113"/>
    </row>
    <row r="74" spans="2:7" ht="12">
      <c r="B74" s="54"/>
      <c r="C74" s="44" t="s">
        <v>77</v>
      </c>
      <c r="D74" s="44"/>
      <c r="E74" s="65"/>
      <c r="F74" s="93">
        <v>0</v>
      </c>
      <c r="G74" s="113"/>
    </row>
    <row r="75" spans="2:7" ht="12">
      <c r="B75" s="76"/>
      <c r="C75" s="44" t="s">
        <v>78</v>
      </c>
      <c r="E75" s="65"/>
      <c r="F75" s="95">
        <f>-22144.01*0.07/100</f>
        <v>-15.500807</v>
      </c>
      <c r="G75" s="113"/>
    </row>
    <row r="76" spans="2:7" ht="12">
      <c r="B76" s="76"/>
      <c r="C76" s="44" t="s">
        <v>79</v>
      </c>
      <c r="E76" s="65"/>
      <c r="F76" s="95">
        <f>(4177.79*0.07/100)</f>
        <v>2.924453</v>
      </c>
      <c r="G76" s="113"/>
    </row>
    <row r="77" spans="2:7" ht="12">
      <c r="B77" s="76"/>
      <c r="E77" s="65"/>
      <c r="F77" s="95"/>
      <c r="G77" s="113"/>
    </row>
    <row r="78" spans="2:7" ht="12">
      <c r="B78" s="57" t="s">
        <v>81</v>
      </c>
      <c r="C78" s="62"/>
      <c r="D78" s="62"/>
      <c r="E78" s="77"/>
      <c r="F78" s="96">
        <v>0</v>
      </c>
      <c r="G78" s="107">
        <v>0</v>
      </c>
    </row>
    <row r="79" spans="2:7" ht="12">
      <c r="B79" s="76"/>
      <c r="E79" s="65"/>
      <c r="F79" s="95"/>
      <c r="G79" s="113"/>
    </row>
    <row r="80" spans="2:7" ht="12">
      <c r="B80" s="57" t="s">
        <v>76</v>
      </c>
      <c r="C80" s="62"/>
      <c r="D80" s="62"/>
      <c r="E80" s="77"/>
      <c r="F80" s="96"/>
      <c r="G80" s="107">
        <f>SUM(F82:F83)</f>
        <v>45.870000000000005</v>
      </c>
    </row>
    <row r="81" spans="2:7" ht="12">
      <c r="B81" s="76"/>
      <c r="E81" s="65"/>
      <c r="F81" s="95"/>
      <c r="G81" s="113"/>
    </row>
    <row r="82" spans="2:7" ht="12">
      <c r="B82" s="76"/>
      <c r="C82" s="44" t="s">
        <v>82</v>
      </c>
      <c r="E82" s="65"/>
      <c r="F82" s="95">
        <v>0</v>
      </c>
      <c r="G82" s="113"/>
    </row>
    <row r="83" spans="2:7" ht="12">
      <c r="B83" s="76"/>
      <c r="C83" s="44" t="s">
        <v>83</v>
      </c>
      <c r="E83" s="65"/>
      <c r="F83" s="95">
        <f>45.03+(1200*0.07/100)</f>
        <v>45.870000000000005</v>
      </c>
      <c r="G83" s="113"/>
    </row>
    <row r="84" spans="2:7" ht="12">
      <c r="B84" s="76"/>
      <c r="E84" s="65"/>
      <c r="F84" s="95"/>
      <c r="G84" s="113"/>
    </row>
    <row r="85" spans="2:7" ht="12">
      <c r="B85" s="79" t="s">
        <v>84</v>
      </c>
      <c r="C85" s="63"/>
      <c r="D85" s="63"/>
      <c r="E85" s="77"/>
      <c r="F85" s="95">
        <f>114854.73*0.07/100</f>
        <v>80.398311</v>
      </c>
      <c r="G85" s="107">
        <f>F85</f>
        <v>80.398311</v>
      </c>
    </row>
    <row r="86" spans="2:7" ht="12">
      <c r="B86" s="76"/>
      <c r="E86" s="65"/>
      <c r="F86" s="95"/>
      <c r="G86" s="113"/>
    </row>
    <row r="87" spans="2:7" ht="12.75">
      <c r="B87" s="57"/>
      <c r="E87" s="80" t="s">
        <v>85</v>
      </c>
      <c r="F87" s="95"/>
      <c r="G87" s="108">
        <f>G69-G72-G78-G80-G85</f>
        <v>-196.62747900000159</v>
      </c>
    </row>
    <row r="88" spans="2:7" ht="12">
      <c r="B88" s="81"/>
      <c r="C88" s="82"/>
      <c r="D88" s="82"/>
      <c r="E88" s="83"/>
      <c r="F88" s="114"/>
      <c r="G88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78">
      <selection activeCell="F106" sqref="F106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101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1067412.878603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1052511.6199999999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111</v>
      </c>
      <c r="F21" s="94">
        <v>1041061.08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112</v>
      </c>
      <c r="F22" s="94">
        <v>11450.54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SUM(F29:F31)</f>
        <v>14901.258602999998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113</v>
      </c>
      <c r="F29" s="94">
        <v>2736.52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55</v>
      </c>
      <c r="F30" s="94">
        <v>94.86</v>
      </c>
      <c r="G30" s="112"/>
    </row>
    <row r="31" spans="1:7" ht="12.75" customHeight="1">
      <c r="A31" s="44"/>
      <c r="B31" s="54"/>
      <c r="C31" s="44"/>
      <c r="D31" s="60" t="s">
        <v>30</v>
      </c>
      <c r="E31" s="45" t="s">
        <v>199</v>
      </c>
      <c r="F31" s="94">
        <f>173168.99*6.97/100</f>
        <v>12069.878602999997</v>
      </c>
      <c r="G31" s="112"/>
    </row>
    <row r="32" spans="1:7" ht="12.75" customHeight="1">
      <c r="A32" s="44"/>
      <c r="B32" s="54"/>
      <c r="C32" s="44"/>
      <c r="D32" s="44"/>
      <c r="E32" s="44"/>
      <c r="F32" s="95"/>
      <c r="G32" s="111"/>
    </row>
    <row r="33" spans="1:7" s="64" customFormat="1" ht="12.75" customHeight="1">
      <c r="A33" s="62"/>
      <c r="B33" s="57" t="s">
        <v>16</v>
      </c>
      <c r="C33" s="62"/>
      <c r="D33" s="62"/>
      <c r="E33" s="63"/>
      <c r="F33" s="96"/>
      <c r="G33" s="105">
        <f>-(F35+F41+F57+F61+F67+F74+F75+F76+F77)</f>
        <v>-961823.4164750002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11"/>
    </row>
    <row r="35" spans="1:7" ht="12.75" customHeight="1">
      <c r="A35" s="44"/>
      <c r="B35" s="54"/>
      <c r="D35" s="44" t="s">
        <v>18</v>
      </c>
      <c r="E35" s="65"/>
      <c r="F35" s="97">
        <f>SUM(F36:F40)</f>
        <v>733580.008752</v>
      </c>
      <c r="G35" s="111"/>
    </row>
    <row r="36" spans="1:7" ht="12.75" customHeight="1">
      <c r="A36" s="44"/>
      <c r="B36" s="54"/>
      <c r="D36" s="44"/>
      <c r="E36" s="65" t="s">
        <v>44</v>
      </c>
      <c r="F36" s="98">
        <v>727053.13</v>
      </c>
      <c r="G36" s="111"/>
    </row>
    <row r="37" spans="1:7" ht="12.75" customHeight="1">
      <c r="A37" s="44"/>
      <c r="B37" s="54"/>
      <c r="D37" s="44"/>
      <c r="E37" s="65" t="s">
        <v>222</v>
      </c>
      <c r="F37" s="98">
        <v>5000</v>
      </c>
      <c r="G37" s="111"/>
    </row>
    <row r="38" spans="1:7" ht="12.75" customHeight="1">
      <c r="A38" s="44"/>
      <c r="B38" s="54"/>
      <c r="D38" s="44"/>
      <c r="E38" s="65" t="s">
        <v>182</v>
      </c>
      <c r="F38" s="98">
        <v>646.28</v>
      </c>
      <c r="G38" s="111"/>
    </row>
    <row r="39" spans="1:7" ht="12.75" customHeight="1">
      <c r="A39" s="44"/>
      <c r="B39" s="54"/>
      <c r="D39" s="44"/>
      <c r="E39" s="66" t="s">
        <v>45</v>
      </c>
      <c r="F39" s="98">
        <v>92.42</v>
      </c>
      <c r="G39" s="111"/>
    </row>
    <row r="40" spans="1:7" ht="12.75" customHeight="1">
      <c r="A40" s="44"/>
      <c r="B40" s="54"/>
      <c r="D40" s="44"/>
      <c r="E40" s="65" t="s">
        <v>200</v>
      </c>
      <c r="F40" s="99">
        <f>11308.16*6.97/100</f>
        <v>788.1787519999999</v>
      </c>
      <c r="G40" s="111"/>
    </row>
    <row r="41" spans="1:7" ht="12.75" customHeight="1">
      <c r="A41" s="44"/>
      <c r="B41" s="54"/>
      <c r="C41" s="44" t="s">
        <v>19</v>
      </c>
      <c r="D41" s="44"/>
      <c r="E41" s="65"/>
      <c r="F41" s="97">
        <f>SUM(F42:F56)</f>
        <v>73980.806189</v>
      </c>
      <c r="G41" s="111"/>
    </row>
    <row r="42" spans="1:7" ht="12.75" customHeight="1">
      <c r="A42" s="44"/>
      <c r="B42" s="54"/>
      <c r="C42" s="44"/>
      <c r="D42" s="44"/>
      <c r="E42" s="66" t="s">
        <v>47</v>
      </c>
      <c r="F42" s="98">
        <v>1810.07</v>
      </c>
      <c r="G42" s="111"/>
    </row>
    <row r="43" spans="1:7" ht="12.75" customHeight="1">
      <c r="A43" s="44"/>
      <c r="B43" s="54"/>
      <c r="C43" s="44"/>
      <c r="D43" s="44"/>
      <c r="E43" s="66" t="s">
        <v>46</v>
      </c>
      <c r="F43" s="98">
        <v>1862.58</v>
      </c>
      <c r="G43" s="111"/>
    </row>
    <row r="44" spans="1:7" ht="13.5" customHeight="1">
      <c r="A44" s="44"/>
      <c r="B44" s="54"/>
      <c r="C44" s="44"/>
      <c r="D44" s="44"/>
      <c r="E44" s="66" t="s">
        <v>52</v>
      </c>
      <c r="F44" s="98">
        <v>1861.51</v>
      </c>
      <c r="G44" s="111"/>
    </row>
    <row r="45" spans="1:7" ht="13.5" customHeight="1">
      <c r="A45" s="44"/>
      <c r="B45" s="54"/>
      <c r="C45" s="44"/>
      <c r="D45" s="44"/>
      <c r="E45" s="66" t="s">
        <v>51</v>
      </c>
      <c r="F45" s="98">
        <v>146.2</v>
      </c>
      <c r="G45" s="111"/>
    </row>
    <row r="46" spans="1:7" ht="12.75" customHeight="1">
      <c r="A46" s="44"/>
      <c r="B46" s="54"/>
      <c r="C46" s="44"/>
      <c r="D46" s="44"/>
      <c r="E46" s="66" t="s">
        <v>124</v>
      </c>
      <c r="F46" s="98">
        <v>1242.81</v>
      </c>
      <c r="G46" s="111"/>
    </row>
    <row r="47" spans="1:7" ht="12.75" customHeight="1">
      <c r="A47" s="44"/>
      <c r="B47" s="54"/>
      <c r="C47" s="44"/>
      <c r="D47" s="44"/>
      <c r="E47" s="66" t="s">
        <v>48</v>
      </c>
      <c r="F47" s="98">
        <v>1</v>
      </c>
      <c r="G47" s="111"/>
    </row>
    <row r="48" spans="1:7" ht="12.75" customHeight="1">
      <c r="A48" s="44"/>
      <c r="B48" s="54"/>
      <c r="C48" s="44"/>
      <c r="D48" s="44"/>
      <c r="E48" s="66" t="s">
        <v>205</v>
      </c>
      <c r="F48" s="98">
        <v>786.08</v>
      </c>
      <c r="G48" s="111"/>
    </row>
    <row r="49" spans="1:7" ht="12.75" customHeight="1">
      <c r="A49" s="44"/>
      <c r="B49" s="54"/>
      <c r="C49" s="44"/>
      <c r="D49" s="44"/>
      <c r="E49" s="66" t="s">
        <v>74</v>
      </c>
      <c r="F49" s="98">
        <v>730.49</v>
      </c>
      <c r="G49" s="111"/>
    </row>
    <row r="50" spans="1:7" ht="12.75" customHeight="1">
      <c r="A50" s="44"/>
      <c r="B50" s="54"/>
      <c r="C50" s="44"/>
      <c r="D50" s="44"/>
      <c r="E50" s="66" t="s">
        <v>155</v>
      </c>
      <c r="F50" s="98">
        <v>3.72</v>
      </c>
      <c r="G50" s="111"/>
    </row>
    <row r="51" spans="1:7" ht="12.75" customHeight="1">
      <c r="A51" s="44"/>
      <c r="B51" s="54"/>
      <c r="C51" s="44"/>
      <c r="D51" s="44"/>
      <c r="E51" s="66" t="s">
        <v>141</v>
      </c>
      <c r="F51" s="98">
        <v>371.76</v>
      </c>
      <c r="G51" s="111"/>
    </row>
    <row r="52" spans="1:7" ht="12.75" customHeight="1">
      <c r="A52" s="44"/>
      <c r="B52" s="54"/>
      <c r="C52" s="44"/>
      <c r="D52" s="44"/>
      <c r="E52" s="66" t="s">
        <v>177</v>
      </c>
      <c r="F52" s="98">
        <v>5000</v>
      </c>
      <c r="G52" s="111"/>
    </row>
    <row r="53" spans="1:7" ht="12.75" customHeight="1">
      <c r="A53" s="44"/>
      <c r="B53" s="54"/>
      <c r="C53" s="44"/>
      <c r="D53" s="44"/>
      <c r="E53" s="66" t="s">
        <v>140</v>
      </c>
      <c r="F53" s="98">
        <v>6094.65</v>
      </c>
      <c r="G53" s="111"/>
    </row>
    <row r="54" spans="1:7" ht="12.75" customHeight="1">
      <c r="A54" s="44"/>
      <c r="B54" s="54"/>
      <c r="C54" s="44"/>
      <c r="D54" s="44"/>
      <c r="E54" s="66" t="s">
        <v>159</v>
      </c>
      <c r="F54" s="98">
        <v>31790.31</v>
      </c>
      <c r="G54" s="111"/>
    </row>
    <row r="55" spans="1:7" ht="12.75" customHeight="1">
      <c r="A55" s="44"/>
      <c r="B55" s="54"/>
      <c r="C55" s="44"/>
      <c r="D55" s="44"/>
      <c r="E55" s="66" t="s">
        <v>178</v>
      </c>
      <c r="F55" s="98">
        <v>2775.31</v>
      </c>
      <c r="G55" s="111"/>
    </row>
    <row r="56" spans="1:7" ht="12.75" customHeight="1">
      <c r="A56" s="44"/>
      <c r="B56" s="54"/>
      <c r="C56" s="44"/>
      <c r="D56" s="44"/>
      <c r="E56" s="66" t="s">
        <v>201</v>
      </c>
      <c r="F56" s="98">
        <f>(192155.07+91855.09-4177.79)*6.97/100</f>
        <v>19504.316189000005</v>
      </c>
      <c r="G56" s="111"/>
    </row>
    <row r="57" spans="1:7" ht="12.75" customHeight="1">
      <c r="A57" s="44"/>
      <c r="B57" s="54"/>
      <c r="C57" s="44" t="s">
        <v>20</v>
      </c>
      <c r="D57" s="44"/>
      <c r="E57" s="65"/>
      <c r="F57" s="93">
        <f>SUM(F58:F60)</f>
        <v>15728.43825</v>
      </c>
      <c r="G57" s="111"/>
    </row>
    <row r="58" spans="1:7" ht="12.75" customHeight="1">
      <c r="A58" s="44"/>
      <c r="B58" s="54"/>
      <c r="C58" s="44"/>
      <c r="D58" s="44"/>
      <c r="E58" s="66" t="s">
        <v>114</v>
      </c>
      <c r="F58" s="98">
        <v>14213.94</v>
      </c>
      <c r="G58" s="111"/>
    </row>
    <row r="59" spans="1:7" ht="12.75" customHeight="1">
      <c r="A59" s="44"/>
      <c r="B59" s="54"/>
      <c r="C59" s="44"/>
      <c r="D59" s="44"/>
      <c r="E59" s="66" t="s">
        <v>126</v>
      </c>
      <c r="F59" s="116">
        <v>1115.64</v>
      </c>
      <c r="G59" s="111"/>
    </row>
    <row r="60" spans="1:7" ht="12.75" customHeight="1">
      <c r="A60" s="44"/>
      <c r="B60" s="54"/>
      <c r="C60" s="44"/>
      <c r="D60" s="44"/>
      <c r="E60" s="66" t="s">
        <v>200</v>
      </c>
      <c r="F60" s="116">
        <f>5722.5*6.97/100</f>
        <v>398.85825</v>
      </c>
      <c r="G60" s="111"/>
    </row>
    <row r="61" spans="1:7" ht="12.75" customHeight="1">
      <c r="A61" s="44"/>
      <c r="B61" s="54"/>
      <c r="C61" s="44" t="s">
        <v>21</v>
      </c>
      <c r="D61" s="44"/>
      <c r="E61" s="65"/>
      <c r="F61" s="97">
        <f>SUM(F62:F66)</f>
        <v>115703.15184999998</v>
      </c>
      <c r="G61" s="111"/>
    </row>
    <row r="62" spans="1:7" ht="12.75" customHeight="1">
      <c r="A62" s="44"/>
      <c r="B62" s="54"/>
      <c r="D62" s="67" t="s">
        <v>22</v>
      </c>
      <c r="E62" s="68"/>
      <c r="F62" s="98">
        <f>(62641.95+254.27+560.78+195.96+4938.64)+((156598.12+3060+6461.31+3135.35+26557.42+67700)*6.97/100)+646.18</f>
        <v>87604.58033999999</v>
      </c>
      <c r="G62" s="111"/>
    </row>
    <row r="63" spans="1:7" ht="12.75" customHeight="1">
      <c r="A63" s="44"/>
      <c r="B63" s="54"/>
      <c r="D63" s="67" t="s">
        <v>23</v>
      </c>
      <c r="E63" s="68"/>
      <c r="F63" s="98">
        <f>(16033.55+63.59+140.25+48.99+1235.15)+((28726.58+768.92+1623.1+783.84+5280.25+12300)*6.97/100)</f>
        <v>20970.473492999998</v>
      </c>
      <c r="G63" s="111"/>
    </row>
    <row r="64" spans="1:7" ht="12.75" customHeight="1">
      <c r="A64" s="44"/>
      <c r="B64" s="54"/>
      <c r="D64" s="67" t="s">
        <v>24</v>
      </c>
      <c r="E64" s="68"/>
      <c r="F64" s="98">
        <f>4923.29+(12334.31*6.97/100)</f>
        <v>5782.9914069999995</v>
      </c>
      <c r="G64" s="111"/>
    </row>
    <row r="65" spans="1:7" ht="12.75" customHeight="1">
      <c r="A65" s="44"/>
      <c r="B65" s="54"/>
      <c r="D65" s="67" t="s">
        <v>25</v>
      </c>
      <c r="E65" s="68"/>
      <c r="F65" s="98">
        <v>0</v>
      </c>
      <c r="G65" s="111"/>
    </row>
    <row r="66" spans="1:7" ht="12.75" customHeight="1">
      <c r="A66" s="44"/>
      <c r="B66" s="54"/>
      <c r="D66" s="67" t="s">
        <v>130</v>
      </c>
      <c r="E66" s="68"/>
      <c r="F66" s="98">
        <f>1112.52+38.73+(2781.3*6.97/100)</f>
        <v>1345.10661</v>
      </c>
      <c r="G66" s="111"/>
    </row>
    <row r="67" spans="1:7" ht="12.75" customHeight="1">
      <c r="A67" s="44"/>
      <c r="B67" s="54"/>
      <c r="C67" s="44" t="s">
        <v>27</v>
      </c>
      <c r="D67" s="44"/>
      <c r="E67" s="65"/>
      <c r="F67" s="97">
        <f>SUM(F68:F72)</f>
        <v>997.303087</v>
      </c>
      <c r="G67" s="111"/>
    </row>
    <row r="68" spans="1:7" ht="12.75" customHeight="1">
      <c r="A68" s="44"/>
      <c r="B68" s="54"/>
      <c r="C68" s="44"/>
      <c r="D68" s="67" t="s">
        <v>28</v>
      </c>
      <c r="E68" s="68"/>
      <c r="F68" s="98">
        <f>2448.47*6.97/100</f>
        <v>170.658359</v>
      </c>
      <c r="G68" s="111"/>
    </row>
    <row r="69" spans="1:7" ht="12.75" customHeight="1">
      <c r="A69" s="44"/>
      <c r="B69" s="54"/>
      <c r="D69" s="67" t="s">
        <v>29</v>
      </c>
      <c r="E69" s="69"/>
      <c r="F69" s="98">
        <f>719.29+(1540.24*6.97/100)</f>
        <v>826.644728</v>
      </c>
      <c r="G69" s="111"/>
    </row>
    <row r="70" spans="1:7" ht="12.75" customHeight="1">
      <c r="A70" s="44"/>
      <c r="B70" s="54"/>
      <c r="D70" s="67" t="s">
        <v>31</v>
      </c>
      <c r="E70" s="68"/>
      <c r="F70" s="98">
        <v>0</v>
      </c>
      <c r="G70" s="111"/>
    </row>
    <row r="71" spans="1:7" ht="12.75" customHeight="1">
      <c r="A71" s="44"/>
      <c r="B71" s="54"/>
      <c r="D71" s="67" t="s">
        <v>32</v>
      </c>
      <c r="E71" s="68"/>
      <c r="F71" s="98"/>
      <c r="G71" s="111"/>
    </row>
    <row r="72" spans="1:7" ht="12.75" customHeight="1">
      <c r="A72" s="44"/>
      <c r="B72" s="54"/>
      <c r="D72" s="67"/>
      <c r="E72" s="69" t="s">
        <v>33</v>
      </c>
      <c r="F72" s="98">
        <v>0</v>
      </c>
      <c r="G72" s="111"/>
    </row>
    <row r="73" spans="1:7" ht="12.75" customHeight="1">
      <c r="A73" s="44"/>
      <c r="B73" s="54"/>
      <c r="C73" s="44" t="s">
        <v>34</v>
      </c>
      <c r="D73" s="44"/>
      <c r="E73" s="65"/>
      <c r="F73" s="95"/>
      <c r="G73" s="111"/>
    </row>
    <row r="74" spans="1:7" ht="12.75" customHeight="1">
      <c r="A74" s="44"/>
      <c r="B74" s="54"/>
      <c r="D74" s="44"/>
      <c r="E74" s="70" t="s">
        <v>35</v>
      </c>
      <c r="F74" s="95">
        <f>157097.29-137428</f>
        <v>19669.290000000008</v>
      </c>
      <c r="G74" s="111"/>
    </row>
    <row r="75" spans="1:7" ht="12.75" customHeight="1">
      <c r="A75" s="44"/>
      <c r="B75" s="54"/>
      <c r="C75" s="44" t="s">
        <v>36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37</v>
      </c>
      <c r="D76" s="44"/>
      <c r="E76" s="65"/>
      <c r="F76" s="95">
        <v>0</v>
      </c>
      <c r="G76" s="111"/>
    </row>
    <row r="77" spans="1:7" ht="12.75" customHeight="1">
      <c r="A77" s="44"/>
      <c r="B77" s="54"/>
      <c r="C77" s="44" t="s">
        <v>38</v>
      </c>
      <c r="D77" s="44"/>
      <c r="E77" s="65"/>
      <c r="F77" s="95">
        <f>SUM(F78:F85)</f>
        <v>2164.4183470000003</v>
      </c>
      <c r="G77" s="111"/>
    </row>
    <row r="78" spans="1:7" ht="12.75" customHeight="1">
      <c r="A78" s="44"/>
      <c r="B78" s="54"/>
      <c r="C78" s="44"/>
      <c r="D78" s="44"/>
      <c r="E78" s="65" t="s">
        <v>127</v>
      </c>
      <c r="F78" s="103">
        <v>29.17</v>
      </c>
      <c r="G78" s="111"/>
    </row>
    <row r="79" spans="1:7" ht="12.75" customHeight="1">
      <c r="A79" s="44"/>
      <c r="B79" s="54"/>
      <c r="C79" s="44"/>
      <c r="D79" s="44"/>
      <c r="E79" s="65" t="s">
        <v>142</v>
      </c>
      <c r="F79" s="103">
        <v>558.29</v>
      </c>
      <c r="G79" s="111"/>
    </row>
    <row r="80" spans="1:7" ht="12.75" customHeight="1">
      <c r="A80" s="44"/>
      <c r="B80" s="54"/>
      <c r="C80" s="44"/>
      <c r="D80" s="44"/>
      <c r="E80" s="65" t="s">
        <v>220</v>
      </c>
      <c r="F80" s="103">
        <v>4.5</v>
      </c>
      <c r="G80" s="111"/>
    </row>
    <row r="81" spans="1:7" ht="12.75" customHeight="1">
      <c r="A81" s="44"/>
      <c r="B81" s="54"/>
      <c r="C81" s="44"/>
      <c r="D81" s="44"/>
      <c r="E81" s="65" t="s">
        <v>221</v>
      </c>
      <c r="F81" s="103">
        <v>286</v>
      </c>
      <c r="G81" s="111"/>
    </row>
    <row r="82" spans="1:7" ht="12.75" customHeight="1">
      <c r="A82" s="44"/>
      <c r="B82" s="54"/>
      <c r="C82" s="44"/>
      <c r="D82" s="44"/>
      <c r="E82" s="65" t="s">
        <v>181</v>
      </c>
      <c r="F82" s="103">
        <v>7.75</v>
      </c>
      <c r="G82" s="111"/>
    </row>
    <row r="83" spans="1:7" ht="12.75" customHeight="1">
      <c r="A83" s="44"/>
      <c r="B83" s="54"/>
      <c r="C83" s="44"/>
      <c r="D83" s="44"/>
      <c r="E83" s="71" t="s">
        <v>143</v>
      </c>
      <c r="F83" s="103">
        <v>770.5</v>
      </c>
      <c r="G83" s="111"/>
    </row>
    <row r="84" spans="1:7" ht="12.75" customHeight="1">
      <c r="A84" s="44"/>
      <c r="B84" s="54"/>
      <c r="C84" s="44"/>
      <c r="D84" s="44"/>
      <c r="E84" s="66" t="s">
        <v>129</v>
      </c>
      <c r="F84" s="98">
        <v>4.66</v>
      </c>
      <c r="G84" s="111"/>
    </row>
    <row r="85" spans="1:7" ht="12.75" customHeight="1">
      <c r="A85" s="44"/>
      <c r="B85" s="54"/>
      <c r="C85" s="44"/>
      <c r="D85" s="44"/>
      <c r="E85" s="66" t="s">
        <v>200</v>
      </c>
      <c r="F85" s="102">
        <f>7224.51*6.97/100</f>
        <v>503.548347</v>
      </c>
      <c r="G85" s="111"/>
    </row>
    <row r="86" spans="1:7" ht="12.75" customHeight="1">
      <c r="A86" s="44"/>
      <c r="B86" s="54"/>
      <c r="C86" s="44"/>
      <c r="D86" s="44"/>
      <c r="E86" s="70"/>
      <c r="F86" s="95" t="s">
        <v>0</v>
      </c>
      <c r="G86" s="111"/>
    </row>
    <row r="87" spans="1:7" ht="12.75" customHeight="1">
      <c r="A87" s="72"/>
      <c r="B87" s="57" t="s">
        <v>39</v>
      </c>
      <c r="C87" s="73"/>
      <c r="D87" s="73"/>
      <c r="E87" s="66"/>
      <c r="F87" s="95" t="s">
        <v>0</v>
      </c>
      <c r="G87" s="106">
        <f>G19+G33</f>
        <v>105589.46212799975</v>
      </c>
    </row>
    <row r="88" spans="1:7" ht="12.75" customHeight="1">
      <c r="A88" s="44"/>
      <c r="B88" s="74" t="s">
        <v>40</v>
      </c>
      <c r="C88" s="44"/>
      <c r="D88" s="44"/>
      <c r="E88" s="70"/>
      <c r="F88" s="95" t="s">
        <v>0</v>
      </c>
      <c r="G88" s="113"/>
    </row>
    <row r="89" spans="2:7" ht="12" customHeight="1">
      <c r="B89" s="76"/>
      <c r="E89" s="65"/>
      <c r="F89" s="95" t="s">
        <v>0</v>
      </c>
      <c r="G89" s="113"/>
    </row>
    <row r="90" spans="2:7" ht="12" customHeight="1">
      <c r="B90" s="57" t="s">
        <v>80</v>
      </c>
      <c r="C90" s="62"/>
      <c r="D90" s="62"/>
      <c r="E90" s="77"/>
      <c r="F90" s="96"/>
      <c r="G90" s="107">
        <f>SUM(F92:F94)</f>
        <v>-1137.115534</v>
      </c>
    </row>
    <row r="91" spans="2:7" ht="12">
      <c r="B91" s="76"/>
      <c r="E91" s="65"/>
      <c r="F91" s="95"/>
      <c r="G91" s="113"/>
    </row>
    <row r="92" spans="2:7" ht="12">
      <c r="B92" s="54"/>
      <c r="C92" s="44" t="s">
        <v>77</v>
      </c>
      <c r="D92" s="44"/>
      <c r="E92" s="65"/>
      <c r="F92" s="93">
        <v>0</v>
      </c>
      <c r="G92" s="113"/>
    </row>
    <row r="93" spans="2:7" ht="12">
      <c r="B93" s="76"/>
      <c r="C93" s="44" t="s">
        <v>78</v>
      </c>
      <c r="E93" s="65"/>
      <c r="F93" s="95">
        <f>-75.26+(-22144.01*6.97/100)</f>
        <v>-1618.6974969999999</v>
      </c>
      <c r="G93" s="113"/>
    </row>
    <row r="94" spans="2:7" ht="12">
      <c r="B94" s="76"/>
      <c r="C94" s="44" t="s">
        <v>79</v>
      </c>
      <c r="E94" s="65"/>
      <c r="F94" s="95">
        <f>190.39+(4177.79*6.97/100)</f>
        <v>481.581963</v>
      </c>
      <c r="G94" s="113"/>
    </row>
    <row r="95" spans="2:7" ht="12">
      <c r="B95" s="76"/>
      <c r="E95" s="65"/>
      <c r="F95" s="95"/>
      <c r="G95" s="113"/>
    </row>
    <row r="96" spans="2:7" ht="12">
      <c r="B96" s="57" t="s">
        <v>81</v>
      </c>
      <c r="C96" s="62"/>
      <c r="D96" s="62"/>
      <c r="E96" s="77"/>
      <c r="F96" s="96">
        <v>0</v>
      </c>
      <c r="G96" s="107">
        <v>0</v>
      </c>
    </row>
    <row r="97" spans="2:7" ht="12">
      <c r="B97" s="76"/>
      <c r="E97" s="65"/>
      <c r="F97" s="95"/>
      <c r="G97" s="113"/>
    </row>
    <row r="98" spans="2:7" ht="12">
      <c r="B98" s="57" t="s">
        <v>76</v>
      </c>
      <c r="C98" s="62"/>
      <c r="D98" s="62"/>
      <c r="E98" s="77"/>
      <c r="F98" s="96"/>
      <c r="G98" s="107">
        <f>SUM(F100:F101)</f>
        <v>110.53999999999999</v>
      </c>
    </row>
    <row r="99" spans="2:7" ht="12">
      <c r="B99" s="76"/>
      <c r="E99" s="65"/>
      <c r="F99" s="95"/>
      <c r="G99" s="113"/>
    </row>
    <row r="100" spans="2:7" ht="12">
      <c r="B100" s="76"/>
      <c r="C100" s="44" t="s">
        <v>82</v>
      </c>
      <c r="E100" s="65"/>
      <c r="F100" s="95">
        <v>0</v>
      </c>
      <c r="G100" s="113"/>
    </row>
    <row r="101" spans="2:7" ht="12">
      <c r="B101" s="76"/>
      <c r="C101" s="44" t="s">
        <v>83</v>
      </c>
      <c r="E101" s="65"/>
      <c r="F101" s="95">
        <f>26.9+(1200*6.97/100)</f>
        <v>110.53999999999999</v>
      </c>
      <c r="G101" s="113"/>
    </row>
    <row r="102" spans="2:7" ht="12">
      <c r="B102" s="76"/>
      <c r="E102" s="65"/>
      <c r="F102" s="95"/>
      <c r="G102" s="113"/>
    </row>
    <row r="103" spans="2:7" ht="12">
      <c r="B103" s="79" t="s">
        <v>84</v>
      </c>
      <c r="C103" s="63"/>
      <c r="D103" s="63"/>
      <c r="E103" s="77"/>
      <c r="F103" s="95">
        <f>114854.73*6.97/100</f>
        <v>8005.374680999999</v>
      </c>
      <c r="G103" s="107">
        <f>F103</f>
        <v>8005.374680999999</v>
      </c>
    </row>
    <row r="104" spans="2:7" ht="12">
      <c r="B104" s="76"/>
      <c r="E104" s="65"/>
      <c r="F104" s="95"/>
      <c r="G104" s="113"/>
    </row>
    <row r="105" spans="2:7" ht="12.75">
      <c r="B105" s="57"/>
      <c r="E105" s="80" t="s">
        <v>85</v>
      </c>
      <c r="F105" s="95"/>
      <c r="G105" s="108">
        <f>G87-G90-G96-G98-G103</f>
        <v>98610.66298099975</v>
      </c>
    </row>
    <row r="106" spans="2:7" ht="12">
      <c r="B106" s="81"/>
      <c r="C106" s="82"/>
      <c r="D106" s="82"/>
      <c r="E106" s="83"/>
      <c r="F106" s="114"/>
      <c r="G106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78">
      <selection activeCell="F93" sqref="F9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3" t="s">
        <v>102</v>
      </c>
      <c r="C6" s="124"/>
      <c r="D6" s="124"/>
      <c r="E6" s="124"/>
      <c r="F6" s="124"/>
      <c r="G6" s="125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6" t="s">
        <v>206</v>
      </c>
      <c r="C11" s="127"/>
      <c r="D11" s="127"/>
      <c r="E11" s="127"/>
      <c r="F11" s="127"/>
      <c r="G11" s="127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6" t="s">
        <v>1</v>
      </c>
      <c r="C13" s="124"/>
      <c r="D13" s="124"/>
      <c r="E13" s="124"/>
      <c r="F13" s="124"/>
      <c r="G13" s="124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8">
        <v>2003</v>
      </c>
      <c r="G16" s="129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1669415.606454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1651955.53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111</v>
      </c>
      <c r="F21" s="94">
        <v>1643989.26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112</v>
      </c>
      <c r="F22" s="94">
        <v>7966.27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SUM(F29:F31)</f>
        <v>17460.076454000002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115</v>
      </c>
      <c r="F29" s="94">
        <v>1056.68</v>
      </c>
      <c r="G29" s="112"/>
    </row>
    <row r="30" spans="1:7" ht="12.75" customHeight="1">
      <c r="A30" s="44"/>
      <c r="B30" s="54"/>
      <c r="C30" s="44"/>
      <c r="D30" s="44" t="s">
        <v>30</v>
      </c>
      <c r="E30" s="44" t="s">
        <v>55</v>
      </c>
      <c r="F30" s="95">
        <v>21.61</v>
      </c>
      <c r="G30" s="111"/>
    </row>
    <row r="31" spans="1:7" ht="12.75" customHeight="1">
      <c r="A31" s="44"/>
      <c r="B31" s="54"/>
      <c r="C31" s="44"/>
      <c r="D31" s="44" t="s">
        <v>30</v>
      </c>
      <c r="E31" s="44" t="s">
        <v>199</v>
      </c>
      <c r="F31" s="95">
        <f>173168.99*9.46/100</f>
        <v>16381.786454000001</v>
      </c>
      <c r="G31" s="111"/>
    </row>
    <row r="32" spans="1:7" ht="12.75" customHeight="1">
      <c r="A32" s="44"/>
      <c r="B32" s="54"/>
      <c r="C32" s="44"/>
      <c r="D32" s="44"/>
      <c r="E32" s="44"/>
      <c r="F32" s="95"/>
      <c r="G32" s="111"/>
    </row>
    <row r="33" spans="1:7" s="64" customFormat="1" ht="12.75" customHeight="1">
      <c r="A33" s="62"/>
      <c r="B33" s="57" t="s">
        <v>16</v>
      </c>
      <c r="C33" s="62"/>
      <c r="D33" s="62"/>
      <c r="E33" s="63"/>
      <c r="F33" s="96"/>
      <c r="G33" s="105">
        <f>-(F35+F41+F56+F61+F67+F74+F75+F76+F77)</f>
        <v>-1385529.90655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11"/>
    </row>
    <row r="35" spans="1:7" ht="12.75" customHeight="1">
      <c r="A35" s="44"/>
      <c r="B35" s="54"/>
      <c r="D35" s="44" t="s">
        <v>18</v>
      </c>
      <c r="E35" s="65"/>
      <c r="F35" s="97">
        <f>SUM(F36:F40)</f>
        <v>1151946.291936</v>
      </c>
      <c r="G35" s="111"/>
    </row>
    <row r="36" spans="1:7" ht="12.75" customHeight="1">
      <c r="A36" s="44"/>
      <c r="B36" s="54"/>
      <c r="D36" s="44"/>
      <c r="E36" s="65" t="s">
        <v>222</v>
      </c>
      <c r="F36" s="97">
        <v>5000</v>
      </c>
      <c r="G36" s="111"/>
    </row>
    <row r="37" spans="1:7" ht="12.75" customHeight="1">
      <c r="A37" s="44"/>
      <c r="B37" s="54"/>
      <c r="D37" s="44"/>
      <c r="E37" s="65" t="s">
        <v>44</v>
      </c>
      <c r="F37" s="98">
        <v>1145281.6</v>
      </c>
      <c r="G37" s="111"/>
    </row>
    <row r="38" spans="1:7" ht="12.75" customHeight="1">
      <c r="A38" s="44"/>
      <c r="B38" s="54"/>
      <c r="D38" s="44"/>
      <c r="E38" s="65" t="s">
        <v>88</v>
      </c>
      <c r="F38" s="98">
        <v>499.95</v>
      </c>
      <c r="G38" s="111"/>
    </row>
    <row r="39" spans="1:7" ht="12.75" customHeight="1">
      <c r="A39" s="44"/>
      <c r="B39" s="54"/>
      <c r="D39" s="44"/>
      <c r="E39" s="66" t="s">
        <v>45</v>
      </c>
      <c r="F39" s="98">
        <v>94.99</v>
      </c>
      <c r="G39" s="111"/>
    </row>
    <row r="40" spans="1:7" ht="12.75" customHeight="1">
      <c r="A40" s="44"/>
      <c r="B40" s="54"/>
      <c r="D40" s="44"/>
      <c r="E40" s="65" t="s">
        <v>200</v>
      </c>
      <c r="F40" s="99">
        <f>11308.16*9.46/100</f>
        <v>1069.7519360000001</v>
      </c>
      <c r="G40" s="111"/>
    </row>
    <row r="41" spans="1:7" ht="12.75" customHeight="1">
      <c r="A41" s="44"/>
      <c r="B41" s="54"/>
      <c r="C41" s="44" t="s">
        <v>19</v>
      </c>
      <c r="D41" s="44"/>
      <c r="E41" s="65"/>
      <c r="F41" s="97">
        <f>SUM(F42:F55)</f>
        <v>64644.39220200002</v>
      </c>
      <c r="G41" s="111"/>
    </row>
    <row r="42" spans="1:7" ht="12.75" customHeight="1">
      <c r="A42" s="44"/>
      <c r="B42" s="54"/>
      <c r="C42" s="44"/>
      <c r="D42" s="44"/>
      <c r="E42" s="66" t="s">
        <v>47</v>
      </c>
      <c r="F42" s="98">
        <v>1331.84</v>
      </c>
      <c r="G42" s="111"/>
    </row>
    <row r="43" spans="1:7" ht="12.75" customHeight="1">
      <c r="A43" s="44"/>
      <c r="B43" s="54"/>
      <c r="C43" s="44"/>
      <c r="D43" s="44"/>
      <c r="E43" s="66" t="s">
        <v>46</v>
      </c>
      <c r="F43" s="98">
        <v>25.95</v>
      </c>
      <c r="G43" s="111"/>
    </row>
    <row r="44" spans="1:7" ht="12.75" customHeight="1">
      <c r="A44" s="44"/>
      <c r="B44" s="54"/>
      <c r="C44" s="44"/>
      <c r="D44" s="44"/>
      <c r="E44" s="66" t="s">
        <v>52</v>
      </c>
      <c r="F44" s="98">
        <v>196</v>
      </c>
      <c r="G44" s="111"/>
    </row>
    <row r="45" spans="1:7" ht="12.75" customHeight="1">
      <c r="A45" s="44"/>
      <c r="B45" s="54"/>
      <c r="C45" s="44"/>
      <c r="D45" s="44"/>
      <c r="E45" s="66" t="s">
        <v>51</v>
      </c>
      <c r="F45" s="98">
        <v>139.88</v>
      </c>
      <c r="G45" s="111"/>
    </row>
    <row r="46" spans="1:7" ht="12.75" customHeight="1">
      <c r="A46" s="44"/>
      <c r="B46" s="54"/>
      <c r="C46" s="44"/>
      <c r="D46" s="44"/>
      <c r="E46" s="66" t="s">
        <v>124</v>
      </c>
      <c r="F46" s="98">
        <v>1043.58</v>
      </c>
      <c r="G46" s="111"/>
    </row>
    <row r="47" spans="1:7" ht="12.75" customHeight="1">
      <c r="A47" s="44"/>
      <c r="B47" s="54"/>
      <c r="C47" s="44"/>
      <c r="D47" s="44"/>
      <c r="E47" s="66" t="s">
        <v>205</v>
      </c>
      <c r="F47" s="98">
        <v>861.98</v>
      </c>
      <c r="G47" s="111"/>
    </row>
    <row r="48" spans="1:7" ht="12.75" customHeight="1">
      <c r="A48" s="44"/>
      <c r="B48" s="54"/>
      <c r="C48" s="44"/>
      <c r="D48" s="44"/>
      <c r="E48" s="66" t="s">
        <v>74</v>
      </c>
      <c r="F48" s="98">
        <v>730.49</v>
      </c>
      <c r="G48" s="111"/>
    </row>
    <row r="49" spans="1:7" ht="12.75" customHeight="1">
      <c r="A49" s="44"/>
      <c r="B49" s="54"/>
      <c r="C49" s="44"/>
      <c r="D49" s="44"/>
      <c r="E49" s="66" t="s">
        <v>155</v>
      </c>
      <c r="F49" s="98">
        <v>2.58</v>
      </c>
      <c r="G49" s="111"/>
    </row>
    <row r="50" spans="1:7" ht="12.75" customHeight="1">
      <c r="A50" s="44"/>
      <c r="B50" s="54"/>
      <c r="C50" s="44"/>
      <c r="D50" s="44"/>
      <c r="E50" s="66" t="s">
        <v>141</v>
      </c>
      <c r="F50" s="98">
        <v>371.76</v>
      </c>
      <c r="G50" s="111"/>
    </row>
    <row r="51" spans="1:7" ht="12.75" customHeight="1">
      <c r="A51" s="44"/>
      <c r="B51" s="54"/>
      <c r="C51" s="44"/>
      <c r="D51" s="44"/>
      <c r="E51" s="66" t="s">
        <v>49</v>
      </c>
      <c r="F51" s="98">
        <v>5000</v>
      </c>
      <c r="G51" s="111"/>
    </row>
    <row r="52" spans="1:7" ht="12.75" customHeight="1">
      <c r="A52" s="44"/>
      <c r="B52" s="54"/>
      <c r="C52" s="44"/>
      <c r="D52" s="44"/>
      <c r="E52" s="66" t="s">
        <v>144</v>
      </c>
      <c r="F52" s="98">
        <v>8781.74</v>
      </c>
      <c r="G52" s="111"/>
    </row>
    <row r="53" spans="1:7" ht="12.75" customHeight="1">
      <c r="A53" s="44"/>
      <c r="B53" s="54"/>
      <c r="C53" s="44"/>
      <c r="D53" s="44"/>
      <c r="E53" s="66" t="s">
        <v>179</v>
      </c>
      <c r="F53" s="98">
        <v>18006.49</v>
      </c>
      <c r="G53" s="111"/>
    </row>
    <row r="54" spans="1:7" ht="12.75" customHeight="1">
      <c r="A54" s="44"/>
      <c r="B54" s="54"/>
      <c r="C54" s="44"/>
      <c r="D54" s="44"/>
      <c r="E54" s="66" t="s">
        <v>180</v>
      </c>
      <c r="F54" s="98">
        <v>1679.96</v>
      </c>
      <c r="G54" s="111"/>
    </row>
    <row r="55" spans="1:7" ht="12.75" customHeight="1">
      <c r="A55" s="44"/>
      <c r="B55" s="54"/>
      <c r="C55" s="44"/>
      <c r="D55" s="44"/>
      <c r="E55" s="66" t="s">
        <v>201</v>
      </c>
      <c r="F55" s="98">
        <f>(192155.07+91855.09-4177.79)*9.46/100</f>
        <v>26472.142202000006</v>
      </c>
      <c r="G55" s="111"/>
    </row>
    <row r="56" spans="1:7" ht="12.75" customHeight="1">
      <c r="A56" s="44"/>
      <c r="B56" s="54"/>
      <c r="C56" s="44" t="s">
        <v>20</v>
      </c>
      <c r="D56" s="44"/>
      <c r="E56" s="65"/>
      <c r="F56" s="93">
        <f>SUM(F57:F60)</f>
        <v>23861.1585</v>
      </c>
      <c r="G56" s="111"/>
    </row>
    <row r="57" spans="1:7" ht="12.75" customHeight="1">
      <c r="A57" s="44"/>
      <c r="B57" s="54"/>
      <c r="C57" s="44"/>
      <c r="D57" s="44"/>
      <c r="E57" s="66" t="s">
        <v>114</v>
      </c>
      <c r="F57" s="98">
        <v>18624.36</v>
      </c>
      <c r="G57" s="111"/>
    </row>
    <row r="58" spans="1:7" ht="12.75" customHeight="1">
      <c r="A58" s="44"/>
      <c r="B58" s="54"/>
      <c r="C58" s="44"/>
      <c r="D58" s="44"/>
      <c r="E58" s="66" t="s">
        <v>116</v>
      </c>
      <c r="F58" s="116">
        <v>1968.45</v>
      </c>
      <c r="G58" s="111"/>
    </row>
    <row r="59" spans="1:7" ht="12.75" customHeight="1">
      <c r="A59" s="44"/>
      <c r="B59" s="54"/>
      <c r="C59" s="44"/>
      <c r="D59" s="44"/>
      <c r="E59" s="66" t="s">
        <v>126</v>
      </c>
      <c r="F59" s="116">
        <v>2727</v>
      </c>
      <c r="G59" s="111"/>
    </row>
    <row r="60" spans="1:7" ht="12.75" customHeight="1">
      <c r="A60" s="44"/>
      <c r="B60" s="54"/>
      <c r="C60" s="44"/>
      <c r="D60" s="44"/>
      <c r="E60" s="66" t="s">
        <v>200</v>
      </c>
      <c r="F60" s="116">
        <f>5722.5*9.46/100</f>
        <v>541.3485000000001</v>
      </c>
      <c r="G60" s="111"/>
    </row>
    <row r="61" spans="1:7" ht="12.75" customHeight="1">
      <c r="A61" s="44"/>
      <c r="B61" s="54"/>
      <c r="C61" s="44" t="s">
        <v>21</v>
      </c>
      <c r="D61" s="44"/>
      <c r="E61" s="65"/>
      <c r="F61" s="97">
        <f>SUM(F62:F66)</f>
        <v>155211.9233</v>
      </c>
      <c r="G61" s="111"/>
    </row>
    <row r="62" spans="1:7" ht="12.75" customHeight="1">
      <c r="A62" s="44"/>
      <c r="B62" s="54"/>
      <c r="D62" s="67" t="s">
        <v>22</v>
      </c>
      <c r="E62" s="68"/>
      <c r="F62" s="98">
        <f>(81523.48+981.95+2039.58+1077.78+5942.7)+((156598.12+3060+6461.31+3135.35+26557.42+67700)*9.46/100)+914.68</f>
        <v>117408.42411999998</v>
      </c>
      <c r="G62" s="111"/>
    </row>
    <row r="63" spans="1:7" ht="12.75" customHeight="1">
      <c r="A63" s="44"/>
      <c r="B63" s="54"/>
      <c r="D63" s="67" t="s">
        <v>23</v>
      </c>
      <c r="E63" s="68"/>
      <c r="F63" s="98">
        <f>(20127.39+245.58+510.1+269.44+1486.27)+((28726.58+768.92+1623.1+783.84+5280.25+12300)*9.46/100)</f>
        <v>27319.842473999997</v>
      </c>
      <c r="G63" s="111"/>
    </row>
    <row r="64" spans="1:7" ht="12.75" customHeight="1">
      <c r="A64" s="44"/>
      <c r="B64" s="54"/>
      <c r="D64" s="67" t="s">
        <v>24</v>
      </c>
      <c r="E64" s="68"/>
      <c r="F64" s="98">
        <f>7384.94+(12334.31*9.46/100)</f>
        <v>8551.765726</v>
      </c>
      <c r="G64" s="111"/>
    </row>
    <row r="65" spans="1:7" ht="12.75" customHeight="1">
      <c r="A65" s="44"/>
      <c r="B65" s="54"/>
      <c r="D65" s="67" t="s">
        <v>25</v>
      </c>
      <c r="E65" s="68"/>
      <c r="F65" s="98">
        <v>0</v>
      </c>
      <c r="G65" s="111"/>
    </row>
    <row r="66" spans="1:7" ht="12.75" customHeight="1">
      <c r="A66" s="44"/>
      <c r="B66" s="54"/>
      <c r="D66" s="67" t="s">
        <v>130</v>
      </c>
      <c r="E66" s="68"/>
      <c r="F66" s="98">
        <f>1668.78+(2781.3*9.46/100)</f>
        <v>1931.8909800000001</v>
      </c>
      <c r="G66" s="111"/>
    </row>
    <row r="67" spans="1:7" ht="12.75" customHeight="1">
      <c r="A67" s="44"/>
      <c r="B67" s="54"/>
      <c r="C67" s="44" t="s">
        <v>27</v>
      </c>
      <c r="D67" s="44"/>
      <c r="E67" s="65"/>
      <c r="F67" s="97">
        <f>SUM(F68:F72)</f>
        <v>1990.281966</v>
      </c>
      <c r="G67" s="111"/>
    </row>
    <row r="68" spans="1:7" ht="12.75" customHeight="1">
      <c r="A68" s="44"/>
      <c r="B68" s="54"/>
      <c r="C68" s="44"/>
      <c r="D68" s="67" t="s">
        <v>28</v>
      </c>
      <c r="E68" s="68"/>
      <c r="F68" s="98">
        <f>2448.47*9.46/100</f>
        <v>231.625262</v>
      </c>
      <c r="G68" s="111"/>
    </row>
    <row r="69" spans="1:7" ht="12.75" customHeight="1">
      <c r="A69" s="44"/>
      <c r="B69" s="54"/>
      <c r="D69" s="67" t="s">
        <v>29</v>
      </c>
      <c r="E69" s="69"/>
      <c r="F69" s="98">
        <f>1612.95+(1540.24*9.46/100)</f>
        <v>1758.656704</v>
      </c>
      <c r="G69" s="111"/>
    </row>
    <row r="70" spans="1:7" ht="12.75" customHeight="1">
      <c r="A70" s="44"/>
      <c r="B70" s="54"/>
      <c r="D70" s="67" t="s">
        <v>31</v>
      </c>
      <c r="E70" s="68"/>
      <c r="F70" s="98"/>
      <c r="G70" s="111"/>
    </row>
    <row r="71" spans="1:7" ht="12.75" customHeight="1">
      <c r="A71" s="44"/>
      <c r="B71" s="54"/>
      <c r="D71" s="67" t="s">
        <v>32</v>
      </c>
      <c r="E71" s="68"/>
      <c r="F71" s="98"/>
      <c r="G71" s="111"/>
    </row>
    <row r="72" spans="1:7" ht="12.75" customHeight="1">
      <c r="A72" s="44"/>
      <c r="B72" s="54"/>
      <c r="D72" s="67"/>
      <c r="E72" s="69" t="s">
        <v>33</v>
      </c>
      <c r="F72" s="98"/>
      <c r="G72" s="111"/>
    </row>
    <row r="73" spans="1:7" ht="12.75" customHeight="1">
      <c r="A73" s="44"/>
      <c r="B73" s="54"/>
      <c r="C73" s="44" t="s">
        <v>34</v>
      </c>
      <c r="D73" s="44"/>
      <c r="E73" s="65"/>
      <c r="F73" s="95"/>
      <c r="G73" s="111"/>
    </row>
    <row r="74" spans="1:7" ht="12.75" customHeight="1">
      <c r="A74" s="44"/>
      <c r="B74" s="54"/>
      <c r="D74" s="44"/>
      <c r="E74" s="70" t="s">
        <v>35</v>
      </c>
      <c r="F74" s="95">
        <f>-213978.85+198983.92</f>
        <v>-14994.929999999993</v>
      </c>
      <c r="G74" s="111"/>
    </row>
    <row r="75" spans="1:7" ht="12.75" customHeight="1">
      <c r="A75" s="44"/>
      <c r="B75" s="54"/>
      <c r="C75" s="44" t="s">
        <v>36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37</v>
      </c>
      <c r="D76" s="44"/>
      <c r="E76" s="65"/>
      <c r="F76" s="95">
        <v>0</v>
      </c>
      <c r="G76" s="111"/>
    </row>
    <row r="77" spans="1:7" ht="12.75" customHeight="1">
      <c r="A77" s="44"/>
      <c r="B77" s="54"/>
      <c r="C77" s="44" t="s">
        <v>38</v>
      </c>
      <c r="D77" s="44"/>
      <c r="E77" s="65"/>
      <c r="F77" s="95">
        <f>SUM(F78:F84)</f>
        <v>2870.788646</v>
      </c>
      <c r="G77" s="111"/>
    </row>
    <row r="78" spans="1:7" ht="12.75" customHeight="1">
      <c r="A78" s="44"/>
      <c r="B78" s="54"/>
      <c r="C78" s="44"/>
      <c r="D78" s="44"/>
      <c r="E78" s="65" t="s">
        <v>127</v>
      </c>
      <c r="F78" s="103">
        <v>29.17</v>
      </c>
      <c r="G78" s="111"/>
    </row>
    <row r="79" spans="1:7" ht="13.5" customHeight="1">
      <c r="A79" s="44"/>
      <c r="B79" s="54"/>
      <c r="C79" s="44"/>
      <c r="D79" s="44" t="s">
        <v>0</v>
      </c>
      <c r="E79" s="66" t="s">
        <v>145</v>
      </c>
      <c r="F79" s="98">
        <v>558.29</v>
      </c>
      <c r="G79" s="111"/>
    </row>
    <row r="80" spans="1:7" ht="13.5" customHeight="1">
      <c r="A80" s="44"/>
      <c r="B80" s="54"/>
      <c r="C80" s="44"/>
      <c r="D80" s="44"/>
      <c r="E80" s="66" t="s">
        <v>220</v>
      </c>
      <c r="F80" s="98">
        <v>309.68</v>
      </c>
      <c r="G80" s="111"/>
    </row>
    <row r="81" spans="1:7" ht="12.75" customHeight="1">
      <c r="A81" s="44"/>
      <c r="B81" s="54"/>
      <c r="C81" s="44"/>
      <c r="D81" s="44"/>
      <c r="E81" s="71" t="s">
        <v>221</v>
      </c>
      <c r="F81" s="98">
        <v>580.5</v>
      </c>
      <c r="G81" s="111"/>
    </row>
    <row r="82" spans="1:7" ht="12.75" customHeight="1">
      <c r="A82" s="44"/>
      <c r="B82" s="54"/>
      <c r="C82" s="44"/>
      <c r="D82" s="44"/>
      <c r="E82" s="66" t="s">
        <v>62</v>
      </c>
      <c r="F82" s="98">
        <v>709.09</v>
      </c>
      <c r="G82" s="111"/>
    </row>
    <row r="83" spans="1:7" ht="12.75" customHeight="1">
      <c r="A83" s="44"/>
      <c r="B83" s="54"/>
      <c r="C83" s="44"/>
      <c r="D83" s="44"/>
      <c r="E83" s="66" t="s">
        <v>129</v>
      </c>
      <c r="F83" s="116">
        <v>0.62</v>
      </c>
      <c r="G83" s="111"/>
    </row>
    <row r="84" spans="1:7" ht="12.75" customHeight="1">
      <c r="A84" s="44"/>
      <c r="B84" s="54"/>
      <c r="C84" s="44"/>
      <c r="D84" s="44"/>
      <c r="E84" s="66" t="s">
        <v>201</v>
      </c>
      <c r="F84" s="102">
        <f>7224.51*9.46/100</f>
        <v>683.4386460000002</v>
      </c>
      <c r="G84" s="111"/>
    </row>
    <row r="85" spans="1:7" ht="12.75" customHeight="1">
      <c r="A85" s="44"/>
      <c r="B85" s="54"/>
      <c r="C85" s="44"/>
      <c r="D85" s="44"/>
      <c r="E85" s="70"/>
      <c r="F85" s="95" t="s">
        <v>0</v>
      </c>
      <c r="G85" s="111"/>
    </row>
    <row r="86" spans="1:7" ht="12.75" customHeight="1">
      <c r="A86" s="72"/>
      <c r="B86" s="57" t="s">
        <v>39</v>
      </c>
      <c r="C86" s="73"/>
      <c r="D86" s="73"/>
      <c r="E86" s="66"/>
      <c r="F86" s="95" t="s">
        <v>0</v>
      </c>
      <c r="G86" s="106">
        <f>G19+G33</f>
        <v>283885.69990400015</v>
      </c>
    </row>
    <row r="87" spans="1:7" ht="12.75" customHeight="1">
      <c r="A87" s="44"/>
      <c r="B87" s="74" t="s">
        <v>40</v>
      </c>
      <c r="C87" s="44"/>
      <c r="D87" s="44"/>
      <c r="E87" s="70"/>
      <c r="F87" s="95" t="s">
        <v>0</v>
      </c>
      <c r="G87" s="113"/>
    </row>
    <row r="88" spans="2:7" ht="12" customHeight="1">
      <c r="B88" s="76"/>
      <c r="E88" s="65"/>
      <c r="F88" s="95" t="s">
        <v>0</v>
      </c>
      <c r="G88" s="113"/>
    </row>
    <row r="89" spans="2:7" ht="12" customHeight="1">
      <c r="B89" s="57" t="s">
        <v>80</v>
      </c>
      <c r="C89" s="62"/>
      <c r="D89" s="62"/>
      <c r="E89" s="77"/>
      <c r="F89" s="96"/>
      <c r="G89" s="107">
        <f>SUM(F91:F93)</f>
        <v>-1616.9644120000003</v>
      </c>
    </row>
    <row r="90" spans="2:7" ht="12">
      <c r="B90" s="76"/>
      <c r="E90" s="65"/>
      <c r="F90" s="95"/>
      <c r="G90" s="113"/>
    </row>
    <row r="91" spans="2:7" ht="12">
      <c r="B91" s="54"/>
      <c r="C91" s="44" t="s">
        <v>77</v>
      </c>
      <c r="D91" s="44"/>
      <c r="E91" s="65"/>
      <c r="F91" s="93">
        <v>0</v>
      </c>
      <c r="G91" s="113"/>
    </row>
    <row r="92" spans="2:7" ht="12">
      <c r="B92" s="76"/>
      <c r="C92" s="44" t="s">
        <v>78</v>
      </c>
      <c r="E92" s="65"/>
      <c r="F92" s="95">
        <f>-164.63-(22144.01*9.46/100)</f>
        <v>-2259.4533460000002</v>
      </c>
      <c r="G92" s="113"/>
    </row>
    <row r="93" spans="2:7" ht="12">
      <c r="B93" s="76"/>
      <c r="C93" s="44" t="s">
        <v>79</v>
      </c>
      <c r="E93" s="65"/>
      <c r="F93" s="95">
        <f>247.27+(4177.79*9.46/100)</f>
        <v>642.488934</v>
      </c>
      <c r="G93" s="113"/>
    </row>
    <row r="94" spans="2:7" ht="12">
      <c r="B94" s="76"/>
      <c r="E94" s="65"/>
      <c r="F94" s="95"/>
      <c r="G94" s="113"/>
    </row>
    <row r="95" spans="2:7" ht="12">
      <c r="B95" s="57" t="s">
        <v>81</v>
      </c>
      <c r="C95" s="62"/>
      <c r="D95" s="62"/>
      <c r="E95" s="77"/>
      <c r="F95" s="96">
        <v>0</v>
      </c>
      <c r="G95" s="107">
        <v>0</v>
      </c>
    </row>
    <row r="96" spans="2:7" ht="12">
      <c r="B96" s="76"/>
      <c r="E96" s="65"/>
      <c r="F96" s="95"/>
      <c r="G96" s="113"/>
    </row>
    <row r="97" spans="2:7" ht="12">
      <c r="B97" s="57" t="s">
        <v>76</v>
      </c>
      <c r="C97" s="62"/>
      <c r="D97" s="62"/>
      <c r="E97" s="77"/>
      <c r="F97" s="96"/>
      <c r="G97" s="107">
        <f>SUM(F99:F100)</f>
        <v>11182.93</v>
      </c>
    </row>
    <row r="98" spans="2:7" ht="12">
      <c r="B98" s="76"/>
      <c r="E98" s="65"/>
      <c r="F98" s="95"/>
      <c r="G98" s="113"/>
    </row>
    <row r="99" spans="2:7" ht="12">
      <c r="B99" s="76"/>
      <c r="C99" s="44" t="s">
        <v>82</v>
      </c>
      <c r="E99" s="65"/>
      <c r="F99" s="95">
        <v>0</v>
      </c>
      <c r="G99" s="113"/>
    </row>
    <row r="100" spans="2:7" ht="12">
      <c r="B100" s="76"/>
      <c r="C100" s="44" t="s">
        <v>83</v>
      </c>
      <c r="E100" s="65"/>
      <c r="F100" s="95">
        <f>11069.41+(1200*9.46/100)</f>
        <v>11182.93</v>
      </c>
      <c r="G100" s="113"/>
    </row>
    <row r="101" spans="2:7" ht="12">
      <c r="B101" s="76"/>
      <c r="E101" s="65"/>
      <c r="F101" s="95"/>
      <c r="G101" s="113"/>
    </row>
    <row r="102" spans="2:7" ht="12">
      <c r="B102" s="79" t="s">
        <v>84</v>
      </c>
      <c r="C102" s="63"/>
      <c r="D102" s="63"/>
      <c r="E102" s="77"/>
      <c r="F102" s="95">
        <f>114854.73*9.46/100</f>
        <v>10865.257458000002</v>
      </c>
      <c r="G102" s="107">
        <f>F102</f>
        <v>10865.257458000002</v>
      </c>
    </row>
    <row r="103" spans="2:7" ht="12">
      <c r="B103" s="76"/>
      <c r="E103" s="65"/>
      <c r="F103" s="95"/>
      <c r="G103" s="113"/>
    </row>
    <row r="104" spans="2:7" ht="12.75">
      <c r="B104" s="57"/>
      <c r="E104" s="80" t="s">
        <v>85</v>
      </c>
      <c r="F104" s="95"/>
      <c r="G104" s="108">
        <f>G86-G89-G95-G97-G102</f>
        <v>263454.47685800015</v>
      </c>
    </row>
    <row r="105" spans="2:7" ht="12">
      <c r="B105" s="81"/>
      <c r="C105" s="82"/>
      <c r="D105" s="82"/>
      <c r="E105" s="83"/>
      <c r="F105" s="114"/>
      <c r="G105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2004-06-01T19:02:47Z</cp:lastPrinted>
  <dcterms:created xsi:type="dcterms:W3CDTF">1997-08-28T16:58:31Z</dcterms:created>
  <dcterms:modified xsi:type="dcterms:W3CDTF">2004-06-01T19:03:19Z</dcterms:modified>
  <cp:category/>
  <cp:version/>
  <cp:contentType/>
  <cp:contentStatus/>
</cp:coreProperties>
</file>