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895" windowHeight="6600" tabRatio="737" firstSheet="7" activeTab="12"/>
  </bookViews>
  <sheets>
    <sheet name="RSA" sheetId="1" r:id="rId1"/>
    <sheet name="Ristorazione" sheetId="2" r:id="rId2"/>
    <sheet name="SAD" sheetId="3" r:id="rId3"/>
    <sheet name="CDI" sheetId="4" r:id="rId4"/>
    <sheet name="DORMITORIO" sheetId="5" r:id="rId5"/>
    <sheet name="Pensionato sociale" sheetId="6" r:id="rId6"/>
    <sheet name="AGENZIA DI LOCAZIONE" sheetId="7" r:id="rId7"/>
    <sheet name="DUE PINI" sheetId="8" r:id="rId8"/>
    <sheet name="GRAMSCI" sheetId="9" r:id="rId9"/>
    <sheet name="TRASPORTI" sheetId="10" r:id="rId10"/>
    <sheet name="AREA MINORI" sheetId="11" r:id="rId11"/>
    <sheet name="SND" sheetId="12" r:id="rId12"/>
    <sheet name="C.A.H." sheetId="13" r:id="rId13"/>
    <sheet name="Riepilogo" sheetId="14" r:id="rId14"/>
    <sheet name="Foglio1" sheetId="15" r:id="rId15"/>
  </sheets>
  <definedNames>
    <definedName name="_xlnm.Print_Area" localSheetId="12">'C.A.H.'!$A:$IV</definedName>
    <definedName name="_xlnm.Print_Area" localSheetId="13">'Riepilogo'!#REF!</definedName>
    <definedName name="_xlnm.Print_Area" localSheetId="0">'RSA'!$A$1:$H$132</definedName>
    <definedName name="_xlnm.Print_Titles" localSheetId="13">'Riepilogo'!$13:$13</definedName>
  </definedNames>
  <calcPr fullCalcOnLoad="1"/>
</workbook>
</file>

<file path=xl/sharedStrings.xml><?xml version="1.0" encoding="utf-8"?>
<sst xmlns="http://schemas.openxmlformats.org/spreadsheetml/2006/main" count="1178" uniqueCount="225">
  <si>
    <t xml:space="preserve"> </t>
  </si>
  <si>
    <t>CONTO ECONOMICO</t>
  </si>
  <si>
    <t>DESCRIZIONE</t>
  </si>
  <si>
    <t>PARZIALI</t>
  </si>
  <si>
    <t>TOTALI</t>
  </si>
  <si>
    <t>A) Valore della produzione:</t>
  </si>
  <si>
    <t xml:space="preserve">1)  </t>
  </si>
  <si>
    <t>ricavi delle vendite e delle prestazioni;</t>
  </si>
  <si>
    <t>2)</t>
  </si>
  <si>
    <t>variazioni delle rimanenze di prodotti in</t>
  </si>
  <si>
    <t>corso di lavorazione, semilavorati e finiti;</t>
  </si>
  <si>
    <t>3)</t>
  </si>
  <si>
    <t>variazione dei lavori in corso su ordinazione;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</si>
  <si>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</si>
  <si>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</si>
  <si>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</si>
  <si>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</si>
  <si>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</si>
  <si>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</si>
  <si>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</si>
  <si>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</si>
  <si>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</si>
  <si>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</si>
  <si>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</si>
  <si>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</si>
  <si>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</si>
  <si>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e - altri costi;  contributi associativi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</si>
  <si>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</si>
  <si>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</si>
  <si>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</si>
  <si>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</si>
  <si>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</si>
  <si>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</si>
  <si>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</si>
  <si>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</si>
  <si>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</si>
  <si>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</si>
  <si>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</si>
  <si>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</si>
  <si>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</si>
  <si>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</si>
  <si>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R.S.A.</t>
  </si>
  <si>
    <t>S.A.D.</t>
  </si>
  <si>
    <t>contributi A.S.L.</t>
  </si>
  <si>
    <t>* acquisto farmaci</t>
  </si>
  <si>
    <t>* cancelleria</t>
  </si>
  <si>
    <t>* acqua e gas</t>
  </si>
  <si>
    <t>* energia elettrica</t>
  </si>
  <si>
    <t>* spese postali e di affrancatura</t>
  </si>
  <si>
    <t>* servizio di pulizia</t>
  </si>
  <si>
    <t>* trasporti</t>
  </si>
  <si>
    <t>* imposte e tasse varie</t>
  </si>
  <si>
    <t>* manutenzioni contrattuali</t>
  </si>
  <si>
    <t>* manutenzioni e riparaz. varie</t>
  </si>
  <si>
    <t>rivalsa rette</t>
  </si>
  <si>
    <t>contributi Regione</t>
  </si>
  <si>
    <t>altri proventi vari</t>
  </si>
  <si>
    <t>* materiali di pulizia</t>
  </si>
  <si>
    <t>* sicurezza e adempimenti L. 626</t>
  </si>
  <si>
    <t>* teleriscaldamento</t>
  </si>
  <si>
    <t>* attività di animazione</t>
  </si>
  <si>
    <t>* compensi ai professionisti medici</t>
  </si>
  <si>
    <t>* servizio barbiere e parrucchiere</t>
  </si>
  <si>
    <t>* smaltimento rifiuti</t>
  </si>
  <si>
    <t>* abbonamenti testi, riviste e quot.</t>
  </si>
  <si>
    <t>Farmacia 2 Pini</t>
  </si>
  <si>
    <t>Farmacia Gramsci</t>
  </si>
  <si>
    <t>Nuoto disabili</t>
  </si>
  <si>
    <t xml:space="preserve">totale </t>
  </si>
  <si>
    <t>risultato aziendale</t>
  </si>
  <si>
    <t>Centro diurno</t>
  </si>
  <si>
    <t>proventi fisioterapia</t>
  </si>
  <si>
    <t>* compensi fisioterapisti</t>
  </si>
  <si>
    <t>* prestazioni medicina specialistica</t>
  </si>
  <si>
    <t>* carburanti e lubrificanti</t>
  </si>
  <si>
    <t>* assicurazioni diverse</t>
  </si>
  <si>
    <t>Trasporti</t>
  </si>
  <si>
    <t>E) Proventi e oneri straordinari</t>
  </si>
  <si>
    <t>15) Proventi da partecipazioni</t>
  </si>
  <si>
    <t>16) Altri proventi finanziari</t>
  </si>
  <si>
    <t>17) Interessi ed altri oneri finanziari</t>
  </si>
  <si>
    <t>C) Proventi e oneri finanziari</t>
  </si>
  <si>
    <t>D) Rettifiche di valore di attività finanziarie</t>
  </si>
  <si>
    <t>20) Proventi straordinari</t>
  </si>
  <si>
    <t>21) Oneri straordinari</t>
  </si>
  <si>
    <t>22) Imposte dell'esercizio</t>
  </si>
  <si>
    <t>UTILE (PERDITA) del SERVIZIO</t>
  </si>
  <si>
    <t>integrazione rette Comune</t>
  </si>
  <si>
    <t>* acquisto mat. medico per assist. farm. san.</t>
  </si>
  <si>
    <t>* acquisto materiali di consumo vari</t>
  </si>
  <si>
    <t>* servizio lavanderia biancheria piana</t>
  </si>
  <si>
    <t>* servizio assistenza geriatrica conv.</t>
  </si>
  <si>
    <t>* spese servizio religioso</t>
  </si>
  <si>
    <t>* acquisto pasti da CdR Ristorazione</t>
  </si>
  <si>
    <t>* locazione sollevatori</t>
  </si>
  <si>
    <t>* tasse di circolazione</t>
  </si>
  <si>
    <t>Ristorazione</t>
  </si>
  <si>
    <t>erogazione pasti ad altri CdR</t>
  </si>
  <si>
    <t>proventi Ristorazione: obiettori e altri</t>
  </si>
  <si>
    <t>* acquisto generi alimentari</t>
  </si>
  <si>
    <t>* acquisto attrezzature cucina</t>
  </si>
  <si>
    <t>C.D.I.</t>
  </si>
  <si>
    <t>FARMACIA DUE PINI</t>
  </si>
  <si>
    <t>FARMACIA GRAMSCI</t>
  </si>
  <si>
    <t>SERVIZIO TRASPORTI</t>
  </si>
  <si>
    <t>SERVIZIO NUOTO DISABILI</t>
  </si>
  <si>
    <t xml:space="preserve">pasti a domicilio </t>
  </si>
  <si>
    <t>sollevatori</t>
  </si>
  <si>
    <t>prestazioni socio-sanitarie</t>
  </si>
  <si>
    <t>integrazione tariffe Comune</t>
  </si>
  <si>
    <t>rivalsa tariffe</t>
  </si>
  <si>
    <t>contributi forfettari Comune</t>
  </si>
  <si>
    <t>proventi trasporto utenti</t>
  </si>
  <si>
    <t>vendita farmaci</t>
  </si>
  <si>
    <t>prestazioni diverse</t>
  </si>
  <si>
    <t>rimborsi farmaci scaduti</t>
  </si>
  <si>
    <t>* acquisto materiale pubblicitario</t>
  </si>
  <si>
    <t>*  affitti e locazioni</t>
  </si>
  <si>
    <t>rimborso farmaci scaduti</t>
  </si>
  <si>
    <t>*  spese condominiali</t>
  </si>
  <si>
    <t>contributi vari</t>
  </si>
  <si>
    <t>* altre spese per servizi</t>
  </si>
  <si>
    <t>*  noleggio strutture e attrezzature</t>
  </si>
  <si>
    <t>proventi nuoto disabili</t>
  </si>
  <si>
    <t>rette Comunità Alloggio Handicap</t>
  </si>
  <si>
    <t>* altri compensi professionali</t>
  </si>
  <si>
    <t>* compensi professionista podologa</t>
  </si>
  <si>
    <t>* rimborso spese ospiti</t>
  </si>
  <si>
    <t>* altre spese per automezzi</t>
  </si>
  <si>
    <t>* spese telefonia fissa</t>
  </si>
  <si>
    <t>* spese viaggi e trasferte</t>
  </si>
  <si>
    <t>* noleggio strutture e attrezzature</t>
  </si>
  <si>
    <t>* imposta di bollo</t>
  </si>
  <si>
    <t>* altre imposte e tasse</t>
  </si>
  <si>
    <t>* tasse di circolazione automezzi</t>
  </si>
  <si>
    <t>* interessi di mora</t>
  </si>
  <si>
    <t>* servizio  lavaggio stoviglie</t>
  </si>
  <si>
    <t>e - altri costi per il personale</t>
  </si>
  <si>
    <t>trasporto e varie</t>
  </si>
  <si>
    <t xml:space="preserve">* confezionamento e consegna pasti </t>
  </si>
  <si>
    <t>* spese per manutenzione automezzi</t>
  </si>
  <si>
    <t>* imposte di bollo</t>
  </si>
  <si>
    <t>* compensi professionisti podologa</t>
  </si>
  <si>
    <t>e - altri costi del personale</t>
  </si>
  <si>
    <t>* compensi collaborazioni occasionali</t>
  </si>
  <si>
    <t>PENSIONATO SOCIALE</t>
  </si>
  <si>
    <t>proventi pensionato sociale</t>
  </si>
  <si>
    <t>* compensi farmacisti</t>
  </si>
  <si>
    <t>* enpaf farmacisti</t>
  </si>
  <si>
    <t>* spese di vigilanza</t>
  </si>
  <si>
    <t>* tassa di concessione regionale</t>
  </si>
  <si>
    <t>* rifiuti urbani e speciali</t>
  </si>
  <si>
    <t>* Enpaf farmacisti</t>
  </si>
  <si>
    <t>* tassa concessione regionale</t>
  </si>
  <si>
    <t>* spese per assicurazione automezzi</t>
  </si>
  <si>
    <t>proventi servizio assistenza domicil.minori</t>
  </si>
  <si>
    <t>* attivita' socio ricreative</t>
  </si>
  <si>
    <t>* prestazione da terzi</t>
  </si>
  <si>
    <t>Pensionato sociale</t>
  </si>
  <si>
    <t xml:space="preserve">COMUNITA' ALLOGGIO HANDICAP </t>
  </si>
  <si>
    <t>BILANCIO DELL'ESERCIZIO CHIUSO AL 31 DICEMBRE 2002</t>
  </si>
  <si>
    <t>* acquisto pannoloni</t>
  </si>
  <si>
    <t>* spese di formazione</t>
  </si>
  <si>
    <t>* assicurazioni dipendenti</t>
  </si>
  <si>
    <t>* assicurazioni fabbricati</t>
  </si>
  <si>
    <t>* assicurazioni varie</t>
  </si>
  <si>
    <t>* prestazioni da terzi</t>
  </si>
  <si>
    <t>* spese per attività socio - ricreative</t>
  </si>
  <si>
    <t>* prestazioni occasionali</t>
  </si>
  <si>
    <t>* compensi fisiatra</t>
  </si>
  <si>
    <t>* Collaborazioni Coordinate e Continuative</t>
  </si>
  <si>
    <t>* Inps e Inail Collaborazioni Coordinate Cont.</t>
  </si>
  <si>
    <t>contributi Comune</t>
  </si>
  <si>
    <t>* spese per manutenzione e riparazione</t>
  </si>
  <si>
    <t>* spese assicurazioni dipendenti</t>
  </si>
  <si>
    <t>* servizio assistenza geriatrica e pulizia</t>
  </si>
  <si>
    <t>* Inps e Inail Collab.Coordinate e Continuate</t>
  </si>
  <si>
    <t xml:space="preserve">* Collaborazioni Coordinate e Continuative </t>
  </si>
  <si>
    <t>* acquisti per attività di animazione</t>
  </si>
  <si>
    <t>* Collaborazioni Continuate e Continuative</t>
  </si>
  <si>
    <t>* Inps e Inail Collaboraz.Coordinate e Contin.</t>
  </si>
  <si>
    <t>AGENZIA DI LOCAZIONE</t>
  </si>
  <si>
    <t>SEMIPENSIONATO</t>
  </si>
  <si>
    <t xml:space="preserve">     DORMITORIO      </t>
  </si>
  <si>
    <t>ARIOSTO</t>
  </si>
  <si>
    <t>* contributo Comune</t>
  </si>
  <si>
    <t>* altri proventi vari</t>
  </si>
  <si>
    <t>* abbonamenti e riviste</t>
  </si>
  <si>
    <t>* spese per manutenzioni e riparazioni varie</t>
  </si>
  <si>
    <t>* spese pensionato sociale</t>
  </si>
  <si>
    <t>* Inps e Inail Collaborazioni Coordinate e Co.</t>
  </si>
  <si>
    <t>proventi agenzia di locazione</t>
  </si>
  <si>
    <t>* affitti e locazioni</t>
  </si>
  <si>
    <t>arrotondamenti attivi</t>
  </si>
  <si>
    <t>* spese di pulizia</t>
  </si>
  <si>
    <t>* Inpe e Inail Collaborazioni Coordinate e Co.</t>
  </si>
  <si>
    <t>rimborso assicurazione furto</t>
  </si>
  <si>
    <t>* Collaborazioni Coordinate Continuate</t>
  </si>
  <si>
    <t>* Inps e Inail Collaborazioni Coordinate</t>
  </si>
  <si>
    <t>* imposta e tasse varie</t>
  </si>
  <si>
    <t>* spese per sicurezza 626/94</t>
  </si>
  <si>
    <t>* acquisto materiale di consumo vario</t>
  </si>
  <si>
    <t>* acquisto cancelleria</t>
  </si>
  <si>
    <t>* Collaborazioni Coordinate e Continuate</t>
  </si>
  <si>
    <t>* tasse circolazione automezzi</t>
  </si>
  <si>
    <t>AREA MINORI</t>
  </si>
  <si>
    <t>proventi C.a.g.</t>
  </si>
  <si>
    <t>* materiale di pulizia</t>
  </si>
  <si>
    <t>* manutenzione contrattuale</t>
  </si>
  <si>
    <t>* spese gestione Cag</t>
  </si>
  <si>
    <t>* spese gestione Sadm</t>
  </si>
  <si>
    <t xml:space="preserve">* Inps e Inail Collaborazioni Coordinate </t>
  </si>
  <si>
    <t>* spese formazione</t>
  </si>
  <si>
    <t>* spese gestione comunita' alloggio</t>
  </si>
  <si>
    <t>Agenzia di Locazione</t>
  </si>
  <si>
    <t>Dormitorio Ariosto/Semipensionato</t>
  </si>
  <si>
    <t>Area Minori</t>
  </si>
  <si>
    <t xml:space="preserve"> C.A.H.</t>
  </si>
  <si>
    <t>ricavi comuni</t>
  </si>
  <si>
    <t>* costi comuni</t>
  </si>
  <si>
    <t>*  costi comuni</t>
  </si>
  <si>
    <t>* ricavi comuni</t>
  </si>
  <si>
    <t>*costi comuni</t>
  </si>
  <si>
    <t>UTILE D'ESERCIZIO</t>
  </si>
  <si>
    <t>* spese bancarie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</si>
</sst>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&quot;L.&quot;\ #,##0;&quot;-&quot;&quot;L.&quot;\ #,##0"/>
    <numFmt numFmtId="169" formatCode="&quot;L.&quot;\ #,##0;[Red]&quot;-&quot;&quot;L.&quot;\ #,##0"/>
    <numFmt numFmtId="170" formatCode="&quot;L.&quot;\ #,##0.00;&quot;-&quot;&quot;L.&quot;\ #,##0.00"/>
    <numFmt numFmtId="171" formatCode="&quot;L.&quot;\ #,##0.00;[Red]&quot;-&quot;&quot;L.&quot;\ #,##0.00"/>
    <numFmt numFmtId="172" formatCode="d/m/yy"/>
    <numFmt numFmtId="173" formatCode="d/m/yy\ h:mm"/>
  </numFmts>
  <fonts count="20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sz val="8"/>
      <color indexed="8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Geneva"/>
      <family val="0"/>
    </font>
    <font>
      <b/>
      <sz val="10"/>
      <color indexed="8"/>
      <name val="Geneva"/>
      <family val="0"/>
    </font>
    <font>
      <b/>
      <sz val="18"/>
      <color indexed="8"/>
      <name val="Geneva"/>
      <family val="0"/>
    </font>
    <font>
      <b/>
      <sz val="11"/>
      <name val="Geneva"/>
      <family val="0"/>
    </font>
    <font>
      <b/>
      <sz val="11"/>
      <color indexed="10"/>
      <name val="Geneva"/>
      <family val="0"/>
    </font>
    <font>
      <sz val="1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7" fillId="2" borderId="0" xfId="0" applyFont="1" applyFill="1" applyBorder="1" applyAlignment="1">
      <alignment/>
    </xf>
    <xf numFmtId="41" fontId="17" fillId="2" borderId="0" xfId="0" applyNumberFormat="1" applyFont="1" applyFill="1" applyBorder="1" applyAlignment="1">
      <alignment/>
    </xf>
    <xf numFmtId="0" fontId="17" fillId="2" borderId="5" xfId="0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3" fontId="14" fillId="3" borderId="7" xfId="0" applyNumberFormat="1" applyFont="1" applyFill="1" applyBorder="1" applyAlignment="1" applyProtection="1">
      <alignment horizontal="center"/>
      <protection locked="0"/>
    </xf>
    <xf numFmtId="3" fontId="5" fillId="3" borderId="7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3" fontId="14" fillId="3" borderId="10" xfId="0" applyNumberFormat="1" applyFont="1" applyFill="1" applyBorder="1" applyAlignment="1" applyProtection="1">
      <alignment horizontal="center"/>
      <protection locked="0"/>
    </xf>
    <xf numFmtId="3" fontId="5" fillId="3" borderId="1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3" fontId="15" fillId="3" borderId="0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12" xfId="0" applyFont="1" applyFill="1" applyBorder="1" applyAlignment="1" applyProtection="1">
      <alignment horizontal="center"/>
      <protection locked="0"/>
    </xf>
    <xf numFmtId="3" fontId="5" fillId="3" borderId="13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3" fontId="14" fillId="3" borderId="15" xfId="0" applyNumberFormat="1" applyFont="1" applyFill="1" applyBorder="1" applyAlignment="1" applyProtection="1">
      <alignment horizontal="center"/>
      <protection locked="0"/>
    </xf>
    <xf numFmtId="3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3" fontId="15" fillId="3" borderId="0" xfId="0" applyNumberFormat="1" applyFont="1" applyFill="1" applyBorder="1" applyAlignment="1" applyProtection="1">
      <alignment/>
      <protection locked="0"/>
    </xf>
    <xf numFmtId="3" fontId="1" fillId="3" borderId="0" xfId="0" applyNumberFormat="1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3" fontId="15" fillId="3" borderId="19" xfId="0" applyNumberFormat="1" applyFont="1" applyFill="1" applyBorder="1" applyAlignment="1" applyProtection="1">
      <alignment horizontal="center"/>
      <protection locked="0"/>
    </xf>
    <xf numFmtId="3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3" fontId="15" fillId="3" borderId="20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3" fontId="0" fillId="3" borderId="20" xfId="0" applyNumberFormat="1" applyFont="1" applyFill="1" applyBorder="1" applyAlignment="1" applyProtection="1">
      <alignment/>
      <protection locked="0"/>
    </xf>
    <xf numFmtId="3" fontId="0" fillId="3" borderId="20" xfId="0" applyNumberForma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3" fontId="9" fillId="3" borderId="20" xfId="0" applyNumberFormat="1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>
      <alignment/>
    </xf>
    <xf numFmtId="0" fontId="0" fillId="3" borderId="5" xfId="0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/>
      <protection locked="0"/>
    </xf>
    <xf numFmtId="3" fontId="8" fillId="3" borderId="5" xfId="0" applyNumberFormat="1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3" fontId="12" fillId="3" borderId="21" xfId="0" applyNumberFormat="1" applyFont="1" applyFill="1" applyBorder="1" applyAlignment="1" applyProtection="1">
      <alignment/>
      <protection locked="0"/>
    </xf>
    <xf numFmtId="3" fontId="0" fillId="3" borderId="8" xfId="0" applyNumberFormat="1" applyFill="1" applyBorder="1" applyAlignment="1" applyProtection="1">
      <alignment/>
      <protection locked="0"/>
    </xf>
    <xf numFmtId="3" fontId="12" fillId="3" borderId="0" xfId="0" applyNumberFormat="1" applyFont="1" applyFill="1" applyBorder="1" applyAlignment="1" applyProtection="1">
      <alignment/>
      <protection locked="0"/>
    </xf>
    <xf numFmtId="3" fontId="0" fillId="3" borderId="0" xfId="0" applyNumberForma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4" fontId="12" fillId="3" borderId="20" xfId="0" applyNumberFormat="1" applyFont="1" applyFill="1" applyBorder="1" applyAlignment="1" applyProtection="1">
      <alignment/>
      <protection/>
    </xf>
    <xf numFmtId="4" fontId="11" fillId="3" borderId="4" xfId="0" applyNumberFormat="1" applyFont="1" applyFill="1" applyBorder="1" applyAlignment="1" applyProtection="1">
      <alignment/>
      <protection/>
    </xf>
    <xf numFmtId="4" fontId="12" fillId="3" borderId="20" xfId="0" applyNumberFormat="1" applyFont="1" applyFill="1" applyBorder="1" applyAlignment="1" applyProtection="1">
      <alignment/>
      <protection locked="0"/>
    </xf>
    <xf numFmtId="4" fontId="13" fillId="3" borderId="20" xfId="0" applyNumberFormat="1" applyFont="1" applyFill="1" applyBorder="1" applyAlignment="1" applyProtection="1">
      <alignment/>
      <protection locked="0"/>
    </xf>
    <xf numFmtId="4" fontId="12" fillId="3" borderId="22" xfId="0" applyNumberFormat="1" applyFont="1" applyFill="1" applyBorder="1" applyAlignment="1" applyProtection="1">
      <alignment/>
      <protection/>
    </xf>
    <xf numFmtId="4" fontId="11" fillId="3" borderId="22" xfId="0" applyNumberFormat="1" applyFont="1" applyFill="1" applyBorder="1" applyAlignment="1" applyProtection="1">
      <alignment/>
      <protection locked="0"/>
    </xf>
    <xf numFmtId="4" fontId="11" fillId="3" borderId="20" xfId="0" applyNumberFormat="1" applyFont="1" applyFill="1" applyBorder="1" applyAlignment="1" applyProtection="1">
      <alignment/>
      <protection locked="0"/>
    </xf>
    <xf numFmtId="4" fontId="11" fillId="0" borderId="22" xfId="0" applyNumberFormat="1" applyFont="1" applyFill="1" applyBorder="1" applyAlignment="1" applyProtection="1">
      <alignment/>
      <protection locked="0"/>
    </xf>
    <xf numFmtId="4" fontId="12" fillId="3" borderId="0" xfId="0" applyNumberFormat="1" applyFont="1" applyFill="1" applyBorder="1" applyAlignment="1" applyProtection="1">
      <alignment/>
      <protection/>
    </xf>
    <xf numFmtId="4" fontId="11" fillId="3" borderId="0" xfId="0" applyNumberFormat="1" applyFont="1" applyFill="1" applyBorder="1" applyAlignment="1" applyProtection="1">
      <alignment/>
      <protection/>
    </xf>
    <xf numFmtId="4" fontId="12" fillId="3" borderId="0" xfId="0" applyNumberFormat="1" applyFont="1" applyFill="1" applyBorder="1" applyAlignment="1" applyProtection="1">
      <alignment/>
      <protection locked="0"/>
    </xf>
    <xf numFmtId="4" fontId="1" fillId="3" borderId="20" xfId="0" applyNumberFormat="1" applyFont="1" applyFill="1" applyBorder="1" applyAlignment="1" applyProtection="1">
      <alignment/>
      <protection/>
    </xf>
    <xf numFmtId="4" fontId="8" fillId="3" borderId="20" xfId="0" applyNumberFormat="1" applyFont="1" applyFill="1" applyBorder="1" applyAlignment="1" applyProtection="1">
      <alignment/>
      <protection/>
    </xf>
    <xf numFmtId="4" fontId="1" fillId="3" borderId="5" xfId="0" applyNumberFormat="1" applyFont="1" applyFill="1" applyBorder="1" applyAlignment="1" applyProtection="1">
      <alignment/>
      <protection/>
    </xf>
    <xf numFmtId="4" fontId="8" fillId="3" borderId="5" xfId="0" applyNumberFormat="1" applyFont="1" applyFill="1" applyBorder="1" applyAlignment="1" applyProtection="1">
      <alignment/>
      <protection/>
    </xf>
    <xf numFmtId="4" fontId="1" fillId="3" borderId="5" xfId="0" applyNumberFormat="1" applyFont="1" applyFill="1" applyBorder="1" applyAlignment="1" applyProtection="1">
      <alignment/>
      <protection locked="0"/>
    </xf>
    <xf numFmtId="4" fontId="15" fillId="3" borderId="20" xfId="0" applyNumberFormat="1" applyFont="1" applyFill="1" applyBorder="1" applyAlignment="1" applyProtection="1">
      <alignment/>
      <protection locked="0"/>
    </xf>
    <xf numFmtId="4" fontId="0" fillId="3" borderId="20" xfId="0" applyNumberFormat="1" applyFont="1" applyFill="1" applyBorder="1" applyAlignment="1" applyProtection="1">
      <alignment/>
      <protection locked="0"/>
    </xf>
    <xf numFmtId="4" fontId="0" fillId="3" borderId="20" xfId="0" applyNumberFormat="1" applyFill="1" applyBorder="1" applyAlignment="1" applyProtection="1">
      <alignment/>
      <protection locked="0"/>
    </xf>
    <xf numFmtId="4" fontId="9" fillId="3" borderId="20" xfId="0" applyNumberFormat="1" applyFont="1" applyFill="1" applyBorder="1" applyAlignment="1" applyProtection="1">
      <alignment/>
      <protection locked="0"/>
    </xf>
    <xf numFmtId="4" fontId="0" fillId="3" borderId="5" xfId="0" applyNumberFormat="1" applyFill="1" applyBorder="1" applyAlignment="1" applyProtection="1">
      <alignment/>
      <protection locked="0"/>
    </xf>
    <xf numFmtId="4" fontId="12" fillId="3" borderId="21" xfId="0" applyNumberFormat="1" applyFont="1" applyFill="1" applyBorder="1" applyAlignment="1" applyProtection="1">
      <alignment/>
      <protection locked="0"/>
    </xf>
    <xf numFmtId="4" fontId="0" fillId="3" borderId="8" xfId="0" applyNumberFormat="1" applyFill="1" applyBorder="1" applyAlignment="1" applyProtection="1">
      <alignment/>
      <protection locked="0"/>
    </xf>
    <xf numFmtId="4" fontId="11" fillId="3" borderId="0" xfId="0" applyNumberFormat="1" applyFont="1" applyFill="1" applyBorder="1" applyAlignment="1" applyProtection="1">
      <alignment/>
      <protection locked="0"/>
    </xf>
    <xf numFmtId="4" fontId="11" fillId="3" borderId="20" xfId="0" applyNumberFormat="1" applyFont="1" applyFill="1" applyBorder="1" applyAlignment="1" applyProtection="1">
      <alignment/>
      <protection/>
    </xf>
    <xf numFmtId="4" fontId="12" fillId="3" borderId="4" xfId="0" applyNumberFormat="1" applyFont="1" applyFill="1" applyBorder="1" applyAlignment="1" applyProtection="1">
      <alignment/>
      <protection/>
    </xf>
    <xf numFmtId="4" fontId="0" fillId="0" borderId="20" xfId="0" applyNumberFormat="1" applyFill="1" applyBorder="1" applyAlignment="1" applyProtection="1">
      <alignment/>
      <protection locked="0"/>
    </xf>
    <xf numFmtId="43" fontId="17" fillId="2" borderId="0" xfId="0" applyNumberFormat="1" applyFont="1" applyFill="1" applyBorder="1" applyAlignment="1">
      <alignment/>
    </xf>
    <xf numFmtId="43" fontId="18" fillId="2" borderId="0" xfId="0" applyNumberFormat="1" applyFont="1" applyFill="1" applyBorder="1" applyAlignment="1">
      <alignment/>
    </xf>
    <xf numFmtId="0" fontId="16" fillId="3" borderId="12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13" xfId="0" applyFill="1" applyBorder="1" applyAlignment="1">
      <alignment/>
    </xf>
    <xf numFmtId="3" fontId="14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15" fillId="3" borderId="17" xfId="0" applyNumberFormat="1" applyFont="1" applyFill="1" applyBorder="1" applyAlignment="1" applyProtection="1">
      <alignment horizontal="center"/>
      <protection locked="0"/>
    </xf>
    <xf numFmtId="0" fontId="15" fillId="3" borderId="23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06">
      <selection activeCell="F113" sqref="F113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21.7539062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41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5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55"/>
      <c r="G19" s="104">
        <f>F20+F25+F26+F27+F29</f>
        <v>2757291.0394900003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SUM(F21:F23)</f>
        <v>1388846.9</v>
      </c>
      <c r="G20" s="58"/>
    </row>
    <row r="21" spans="1:7" ht="12.75" customHeight="1">
      <c r="A21" s="44"/>
      <c r="B21" s="54"/>
      <c r="C21" s="44"/>
      <c r="D21" s="44" t="s">
        <v>30</v>
      </c>
      <c r="E21" s="45" t="s">
        <v>54</v>
      </c>
      <c r="F21" s="94">
        <v>1180682.68</v>
      </c>
      <c r="G21" s="58"/>
    </row>
    <row r="22" spans="1:7" ht="12.75" customHeight="1">
      <c r="A22" s="44"/>
      <c r="B22" s="54"/>
      <c r="C22" s="44"/>
      <c r="D22" s="44" t="s">
        <v>30</v>
      </c>
      <c r="E22" s="45" t="s">
        <v>71</v>
      </c>
      <c r="F22" s="94">
        <v>2575.78</v>
      </c>
      <c r="G22" s="58"/>
    </row>
    <row r="23" spans="1:7" ht="12.75" customHeight="1">
      <c r="A23" s="44"/>
      <c r="B23" s="54"/>
      <c r="C23" s="44"/>
      <c r="D23" s="44" t="s">
        <v>30</v>
      </c>
      <c r="E23" s="45" t="s">
        <v>87</v>
      </c>
      <c r="F23" s="94">
        <v>205588.44</v>
      </c>
      <c r="G23" s="58"/>
    </row>
    <row r="24" spans="1:7" ht="12.75" customHeight="1">
      <c r="A24" s="44"/>
      <c r="B24" s="54"/>
      <c r="C24" s="44" t="s">
        <v>8</v>
      </c>
      <c r="D24" s="44" t="s">
        <v>9</v>
      </c>
      <c r="F24" s="95"/>
      <c r="G24" s="58"/>
    </row>
    <row r="25" spans="1:7" ht="12.75" customHeight="1">
      <c r="A25" s="44"/>
      <c r="B25" s="54"/>
      <c r="C25" s="44"/>
      <c r="D25" s="44" t="s">
        <v>10</v>
      </c>
      <c r="F25" s="95">
        <v>3052.37</v>
      </c>
      <c r="G25" s="58"/>
    </row>
    <row r="26" spans="1:7" ht="12.75" customHeight="1">
      <c r="A26" s="44"/>
      <c r="B26" s="54"/>
      <c r="C26" s="44" t="s">
        <v>11</v>
      </c>
      <c r="D26" s="44" t="s">
        <v>12</v>
      </c>
      <c r="F26" s="95">
        <v>0</v>
      </c>
      <c r="G26" s="58"/>
    </row>
    <row r="27" spans="1:7" ht="12.75" customHeight="1">
      <c r="A27" s="44"/>
      <c r="B27" s="54"/>
      <c r="C27" s="44" t="s">
        <v>13</v>
      </c>
      <c r="D27" s="44"/>
      <c r="F27" s="95">
        <v>0</v>
      </c>
      <c r="G27" s="58"/>
    </row>
    <row r="28" spans="1:7" ht="12.75" customHeight="1">
      <c r="A28" s="44"/>
      <c r="B28" s="54"/>
      <c r="C28" s="44" t="s">
        <v>14</v>
      </c>
      <c r="D28" s="44"/>
      <c r="F28" s="95" t="s">
        <v>0</v>
      </c>
      <c r="G28" s="59"/>
    </row>
    <row r="29" spans="1:7" ht="12.75" customHeight="1">
      <c r="A29" s="44"/>
      <c r="B29" s="54"/>
      <c r="C29" s="44"/>
      <c r="D29" s="44" t="s">
        <v>15</v>
      </c>
      <c r="F29" s="93">
        <f>SUM(F30:F34)</f>
        <v>1365391.76949</v>
      </c>
      <c r="G29" s="59"/>
    </row>
    <row r="30" spans="1:7" ht="12.75" customHeight="1">
      <c r="A30" s="44"/>
      <c r="B30" s="54"/>
      <c r="C30" s="44"/>
      <c r="D30" s="60" t="s">
        <v>30</v>
      </c>
      <c r="E30" s="45" t="s">
        <v>43</v>
      </c>
      <c r="F30" s="94">
        <v>1148687.08</v>
      </c>
      <c r="G30" s="61"/>
    </row>
    <row r="31" spans="1:7" ht="12.75" customHeight="1">
      <c r="A31" s="44"/>
      <c r="B31" s="54"/>
      <c r="C31" s="44"/>
      <c r="D31" s="60" t="s">
        <v>30</v>
      </c>
      <c r="E31" s="45" t="s">
        <v>55</v>
      </c>
      <c r="F31" s="94">
        <v>131623</v>
      </c>
      <c r="G31" s="61"/>
    </row>
    <row r="32" spans="1:7" ht="12.75" customHeight="1">
      <c r="A32" s="44"/>
      <c r="B32" s="54"/>
      <c r="C32" s="44"/>
      <c r="D32" s="60" t="s">
        <v>30</v>
      </c>
      <c r="E32" s="45" t="s">
        <v>120</v>
      </c>
      <c r="F32" s="94">
        <v>19994</v>
      </c>
      <c r="G32" s="61"/>
    </row>
    <row r="33" spans="1:7" ht="12.75" customHeight="1">
      <c r="A33" s="44"/>
      <c r="B33" s="54"/>
      <c r="C33" s="44"/>
      <c r="D33" s="60" t="s">
        <v>30</v>
      </c>
      <c r="E33" s="45" t="s">
        <v>56</v>
      </c>
      <c r="F33" s="94">
        <v>54915.47</v>
      </c>
      <c r="G33" s="61"/>
    </row>
    <row r="34" spans="1:7" ht="12.75" customHeight="1">
      <c r="A34" s="44"/>
      <c r="B34" s="54"/>
      <c r="C34" s="44"/>
      <c r="D34" s="44" t="s">
        <v>30</v>
      </c>
      <c r="E34" s="44" t="s">
        <v>218</v>
      </c>
      <c r="F34" s="95">
        <f>18806.1*54.09/100</f>
        <v>10172.21949</v>
      </c>
      <c r="G34" s="59"/>
    </row>
    <row r="35" spans="1:7" ht="12.75" customHeight="1">
      <c r="A35" s="44"/>
      <c r="B35" s="54"/>
      <c r="C35" s="44"/>
      <c r="D35" s="44"/>
      <c r="E35" s="44"/>
      <c r="F35" s="95"/>
      <c r="G35" s="59"/>
    </row>
    <row r="36" spans="1:7" s="64" customFormat="1" ht="12.75" customHeight="1">
      <c r="A36" s="62"/>
      <c r="B36" s="57" t="s">
        <v>16</v>
      </c>
      <c r="C36" s="62"/>
      <c r="D36" s="62"/>
      <c r="E36" s="63"/>
      <c r="F36" s="96"/>
      <c r="G36" s="105">
        <f>-(F38+F50+F82+F86+G18+F92+F99+F100+F101+F102)</f>
        <v>-3152319.614411</v>
      </c>
    </row>
    <row r="37" spans="1:7" ht="12.75" customHeight="1">
      <c r="A37" s="44"/>
      <c r="B37" s="54"/>
      <c r="C37" s="44" t="s">
        <v>17</v>
      </c>
      <c r="D37" s="44"/>
      <c r="F37" s="95" t="s">
        <v>0</v>
      </c>
      <c r="G37" s="59"/>
    </row>
    <row r="38" spans="1:7" ht="12.75" customHeight="1">
      <c r="A38" s="44"/>
      <c r="B38" s="54"/>
      <c r="D38" s="44" t="s">
        <v>18</v>
      </c>
      <c r="E38" s="65"/>
      <c r="F38" s="97">
        <f>SUM(F39:F49)</f>
        <v>277256.947794</v>
      </c>
      <c r="G38" s="59"/>
    </row>
    <row r="39" spans="1:7" ht="12.75" customHeight="1">
      <c r="A39" s="44"/>
      <c r="B39" s="54"/>
      <c r="D39" s="44"/>
      <c r="E39" s="65" t="s">
        <v>99</v>
      </c>
      <c r="F39" s="97">
        <v>2196.94</v>
      </c>
      <c r="G39" s="59"/>
    </row>
    <row r="40" spans="1:7" ht="12.75" customHeight="1">
      <c r="A40" s="44"/>
      <c r="B40" s="54"/>
      <c r="D40" s="44"/>
      <c r="E40" s="65" t="s">
        <v>88</v>
      </c>
      <c r="F40" s="98">
        <v>36228.4</v>
      </c>
      <c r="G40" s="59"/>
    </row>
    <row r="41" spans="1:7" ht="12.75" customHeight="1">
      <c r="A41" s="44"/>
      <c r="B41" s="54"/>
      <c r="D41" s="44"/>
      <c r="E41" s="65" t="s">
        <v>60</v>
      </c>
      <c r="F41" s="98">
        <v>721.12</v>
      </c>
      <c r="G41" s="59"/>
    </row>
    <row r="42" spans="1:7" ht="12.75" customHeight="1">
      <c r="A42" s="44"/>
      <c r="B42" s="54"/>
      <c r="D42" s="44"/>
      <c r="E42" s="65" t="s">
        <v>44</v>
      </c>
      <c r="F42" s="98">
        <v>100450.54</v>
      </c>
      <c r="G42" s="59"/>
    </row>
    <row r="43" spans="1:7" ht="12.75" customHeight="1">
      <c r="A43" s="44"/>
      <c r="B43" s="54"/>
      <c r="D43" s="44"/>
      <c r="E43" s="65" t="s">
        <v>161</v>
      </c>
      <c r="F43" s="98">
        <v>49577.29</v>
      </c>
      <c r="G43" s="59"/>
    </row>
    <row r="44" spans="1:7" ht="12.75" customHeight="1">
      <c r="A44" s="44"/>
      <c r="B44" s="54"/>
      <c r="D44" s="44"/>
      <c r="E44" s="65" t="s">
        <v>89</v>
      </c>
      <c r="F44" s="98">
        <v>2755.33</v>
      </c>
      <c r="G44" s="59"/>
    </row>
    <row r="45" spans="1:7" ht="12.75" customHeight="1">
      <c r="A45" s="44"/>
      <c r="B45" s="54"/>
      <c r="D45" s="44"/>
      <c r="E45" s="65" t="s">
        <v>57</v>
      </c>
      <c r="F45" s="98">
        <v>20027.01</v>
      </c>
      <c r="G45" s="59"/>
    </row>
    <row r="46" spans="1:7" ht="12.75" customHeight="1">
      <c r="A46" s="44"/>
      <c r="B46" s="54"/>
      <c r="D46" s="44"/>
      <c r="E46" s="66" t="s">
        <v>45</v>
      </c>
      <c r="F46" s="98">
        <v>86.05</v>
      </c>
      <c r="G46" s="59"/>
    </row>
    <row r="47" spans="1:7" ht="12.75" customHeight="1">
      <c r="A47" s="44"/>
      <c r="B47" s="54"/>
      <c r="D47" s="44"/>
      <c r="E47" s="66" t="s">
        <v>74</v>
      </c>
      <c r="F47" s="98">
        <v>761.52</v>
      </c>
      <c r="G47" s="59"/>
    </row>
    <row r="48" spans="1:7" ht="12.75" customHeight="1">
      <c r="A48" s="44"/>
      <c r="B48" s="54"/>
      <c r="C48" s="44"/>
      <c r="D48" s="44"/>
      <c r="E48" s="66" t="s">
        <v>59</v>
      </c>
      <c r="F48" s="98">
        <v>58874.63</v>
      </c>
      <c r="G48" s="59"/>
    </row>
    <row r="49" spans="1:7" ht="12.75" customHeight="1">
      <c r="A49" s="44"/>
      <c r="B49" s="54"/>
      <c r="D49" s="44"/>
      <c r="E49" s="65" t="s">
        <v>219</v>
      </c>
      <c r="F49" s="99">
        <f>10312.66*54.09/100</f>
        <v>5578.117794</v>
      </c>
      <c r="G49" s="59"/>
    </row>
    <row r="50" spans="1:7" ht="12.75" customHeight="1">
      <c r="A50" s="44"/>
      <c r="B50" s="54"/>
      <c r="C50" s="44" t="s">
        <v>19</v>
      </c>
      <c r="D50" s="44"/>
      <c r="E50" s="65"/>
      <c r="F50" s="97">
        <f>SUM(F51:F81)</f>
        <v>1517401.197999</v>
      </c>
      <c r="G50" s="59"/>
    </row>
    <row r="51" spans="1:7" ht="12.75" customHeight="1">
      <c r="A51" s="44"/>
      <c r="B51" s="54"/>
      <c r="C51" s="44"/>
      <c r="D51" s="44"/>
      <c r="E51" s="66" t="s">
        <v>50</v>
      </c>
      <c r="F51" s="97">
        <v>816.71</v>
      </c>
      <c r="G51" s="59"/>
    </row>
    <row r="52" spans="1:7" ht="12.75" customHeight="1">
      <c r="A52" s="44"/>
      <c r="B52" s="54"/>
      <c r="C52" s="44"/>
      <c r="D52" s="44"/>
      <c r="E52" s="66" t="s">
        <v>47</v>
      </c>
      <c r="F52" s="98">
        <v>30824.78</v>
      </c>
      <c r="G52" s="59"/>
    </row>
    <row r="53" spans="1:7" ht="12.75" customHeight="1">
      <c r="A53" s="44"/>
      <c r="B53" s="54"/>
      <c r="C53" s="44"/>
      <c r="D53" s="44"/>
      <c r="E53" s="66" t="s">
        <v>46</v>
      </c>
      <c r="F53" s="98">
        <v>17886.68</v>
      </c>
      <c r="G53" s="59"/>
    </row>
    <row r="54" spans="1:7" ht="12.75" customHeight="1">
      <c r="A54" s="44"/>
      <c r="B54" s="54"/>
      <c r="C54" s="44"/>
      <c r="D54" s="44"/>
      <c r="E54" s="66" t="s">
        <v>53</v>
      </c>
      <c r="F54" s="98">
        <v>6379.19</v>
      </c>
      <c r="G54" s="59"/>
    </row>
    <row r="55" spans="1:7" ht="12.75" customHeight="1">
      <c r="A55" s="44"/>
      <c r="B55" s="54"/>
      <c r="C55" s="44"/>
      <c r="D55" s="44"/>
      <c r="E55" s="66" t="s">
        <v>52</v>
      </c>
      <c r="F55" s="98">
        <v>14105.34</v>
      </c>
      <c r="G55" s="59"/>
    </row>
    <row r="56" spans="1:7" ht="12.75" customHeight="1">
      <c r="A56" s="44"/>
      <c r="B56" s="54"/>
      <c r="C56" s="44"/>
      <c r="D56" s="44"/>
      <c r="E56" s="66" t="s">
        <v>162</v>
      </c>
      <c r="F56" s="98">
        <v>1904.55</v>
      </c>
      <c r="G56" s="59"/>
    </row>
    <row r="57" spans="1:7" ht="12.75" customHeight="1">
      <c r="A57" s="44"/>
      <c r="B57" s="54"/>
      <c r="C57" s="44"/>
      <c r="D57" s="44"/>
      <c r="E57" s="66" t="s">
        <v>129</v>
      </c>
      <c r="F57" s="98">
        <v>4920.29</v>
      </c>
      <c r="G57" s="59"/>
    </row>
    <row r="58" spans="1:7" ht="12.75" customHeight="1">
      <c r="A58" s="44"/>
      <c r="B58" s="54"/>
      <c r="C58" s="44"/>
      <c r="D58" s="44"/>
      <c r="E58" s="66" t="s">
        <v>48</v>
      </c>
      <c r="F58" s="98">
        <v>576.67</v>
      </c>
      <c r="G58" s="59"/>
    </row>
    <row r="59" spans="1:7" ht="12.75" customHeight="1">
      <c r="A59" s="44"/>
      <c r="B59" s="54"/>
      <c r="C59" s="44"/>
      <c r="D59" s="44"/>
      <c r="E59" s="66" t="s">
        <v>163</v>
      </c>
      <c r="F59" s="98">
        <v>1092.26</v>
      </c>
      <c r="G59" s="59"/>
    </row>
    <row r="60" spans="1:7" ht="12.75" customHeight="1">
      <c r="A60" s="44"/>
      <c r="B60" s="54"/>
      <c r="C60" s="44"/>
      <c r="D60" s="44"/>
      <c r="E60" s="66" t="s">
        <v>164</v>
      </c>
      <c r="F60" s="98">
        <v>767.21</v>
      </c>
      <c r="G60" s="59"/>
    </row>
    <row r="61" spans="1:7" ht="12.75" customHeight="1">
      <c r="A61" s="44"/>
      <c r="B61" s="54"/>
      <c r="C61" s="44"/>
      <c r="D61" s="44"/>
      <c r="E61" s="66" t="s">
        <v>165</v>
      </c>
      <c r="F61" s="98">
        <v>1085.03</v>
      </c>
      <c r="G61" s="59"/>
    </row>
    <row r="62" spans="1:7" ht="12.75" customHeight="1">
      <c r="A62" s="44"/>
      <c r="B62" s="54"/>
      <c r="C62" s="44"/>
      <c r="D62" s="44"/>
      <c r="E62" s="66" t="s">
        <v>130</v>
      </c>
      <c r="F62" s="98">
        <v>223.72</v>
      </c>
      <c r="G62" s="59"/>
    </row>
    <row r="63" spans="1:7" ht="12.75" customHeight="1">
      <c r="A63" s="44"/>
      <c r="B63" s="54"/>
      <c r="C63" s="44"/>
      <c r="D63" s="44"/>
      <c r="E63" s="66" t="s">
        <v>166</v>
      </c>
      <c r="F63" s="98">
        <v>5140.8</v>
      </c>
      <c r="G63" s="59"/>
    </row>
    <row r="64" spans="1:7" ht="12.75" customHeight="1">
      <c r="A64" s="44"/>
      <c r="B64" s="54"/>
      <c r="C64" s="44"/>
      <c r="D64" s="44"/>
      <c r="E64" s="66" t="s">
        <v>127</v>
      </c>
      <c r="F64" s="98">
        <v>196.13</v>
      </c>
      <c r="G64" s="59"/>
    </row>
    <row r="65" spans="1:7" ht="12.75" customHeight="1">
      <c r="A65" s="44"/>
      <c r="B65" s="54"/>
      <c r="C65" s="44"/>
      <c r="D65" s="44"/>
      <c r="E65" s="66" t="s">
        <v>167</v>
      </c>
      <c r="F65" s="98">
        <v>496</v>
      </c>
      <c r="G65" s="59"/>
    </row>
    <row r="66" spans="1:7" ht="12.75" customHeight="1">
      <c r="A66" s="44"/>
      <c r="B66" s="54"/>
      <c r="C66" s="44"/>
      <c r="D66" s="44"/>
      <c r="E66" s="66" t="s">
        <v>121</v>
      </c>
      <c r="F66" s="98">
        <f>5502.66-69.86</f>
        <v>5432.8</v>
      </c>
      <c r="G66" s="59"/>
    </row>
    <row r="67" spans="1:7" ht="12.75" customHeight="1">
      <c r="A67" s="44"/>
      <c r="B67" s="54"/>
      <c r="C67" s="44"/>
      <c r="D67" s="44"/>
      <c r="E67" s="66" t="s">
        <v>62</v>
      </c>
      <c r="F67" s="98">
        <v>20222.64</v>
      </c>
      <c r="G67" s="59"/>
    </row>
    <row r="68" spans="1:7" ht="12.75" customHeight="1">
      <c r="A68" s="44"/>
      <c r="B68" s="54"/>
      <c r="C68" s="44"/>
      <c r="D68" s="44"/>
      <c r="E68" s="66" t="s">
        <v>90</v>
      </c>
      <c r="F68" s="98">
        <v>44089.78</v>
      </c>
      <c r="G68" s="59"/>
    </row>
    <row r="69" spans="1:7" ht="12.75" customHeight="1">
      <c r="A69" s="44"/>
      <c r="B69" s="54"/>
      <c r="C69" s="44"/>
      <c r="D69" s="44"/>
      <c r="E69" s="66" t="s">
        <v>49</v>
      </c>
      <c r="F69" s="98">
        <v>183334.44</v>
      </c>
      <c r="G69" s="59"/>
    </row>
    <row r="70" spans="1:7" ht="12.75" customHeight="1">
      <c r="A70" s="44"/>
      <c r="B70" s="54"/>
      <c r="C70" s="44"/>
      <c r="D70" s="44"/>
      <c r="E70" s="66" t="s">
        <v>61</v>
      </c>
      <c r="F70" s="98">
        <v>105898.2</v>
      </c>
      <c r="G70" s="59"/>
    </row>
    <row r="71" spans="1:7" ht="12.75" customHeight="1">
      <c r="A71" s="44"/>
      <c r="B71" s="54"/>
      <c r="C71" s="44"/>
      <c r="D71" s="44"/>
      <c r="E71" s="66" t="s">
        <v>126</v>
      </c>
      <c r="F71" s="98">
        <v>7210.94</v>
      </c>
      <c r="G71" s="59"/>
    </row>
    <row r="72" spans="1:7" ht="12.75" customHeight="1">
      <c r="A72" s="44"/>
      <c r="B72" s="54"/>
      <c r="C72" s="44"/>
      <c r="D72" s="44"/>
      <c r="E72" s="66" t="s">
        <v>169</v>
      </c>
      <c r="F72" s="98">
        <v>9994.96</v>
      </c>
      <c r="G72" s="59"/>
    </row>
    <row r="73" spans="1:7" ht="12.75" customHeight="1">
      <c r="A73" s="44"/>
      <c r="B73" s="54"/>
      <c r="C73" s="44"/>
      <c r="D73" s="44"/>
      <c r="E73" s="66" t="s">
        <v>72</v>
      </c>
      <c r="F73" s="98">
        <v>13963.8</v>
      </c>
      <c r="G73" s="59"/>
    </row>
    <row r="74" spans="1:7" s="1" customFormat="1" ht="12.75" customHeight="1">
      <c r="A74" s="89"/>
      <c r="B74" s="90"/>
      <c r="C74" s="89"/>
      <c r="D74" s="89"/>
      <c r="E74" s="91" t="s">
        <v>168</v>
      </c>
      <c r="F74" s="100">
        <v>13211.83</v>
      </c>
      <c r="G74" s="92"/>
    </row>
    <row r="75" spans="1:7" ht="12.75" customHeight="1">
      <c r="A75" s="44"/>
      <c r="B75" s="54"/>
      <c r="C75" s="44"/>
      <c r="D75" s="44"/>
      <c r="E75" s="66" t="s">
        <v>93</v>
      </c>
      <c r="F75" s="98">
        <v>368669.41</v>
      </c>
      <c r="G75" s="59"/>
    </row>
    <row r="76" spans="1:7" ht="13.5" customHeight="1">
      <c r="A76" s="44"/>
      <c r="B76" s="54"/>
      <c r="C76" s="44"/>
      <c r="D76" s="44"/>
      <c r="E76" s="66" t="s">
        <v>73</v>
      </c>
      <c r="F76" s="98">
        <v>2463.77</v>
      </c>
      <c r="G76" s="59"/>
    </row>
    <row r="77" spans="1:7" ht="13.5" customHeight="1">
      <c r="A77" s="44"/>
      <c r="B77" s="54"/>
      <c r="C77" s="44"/>
      <c r="D77" s="44"/>
      <c r="E77" s="66" t="s">
        <v>91</v>
      </c>
      <c r="F77" s="98">
        <v>455528.59</v>
      </c>
      <c r="G77" s="59"/>
    </row>
    <row r="78" spans="1:7" ht="12.75" customHeight="1">
      <c r="A78" s="44"/>
      <c r="B78" s="54"/>
      <c r="C78" s="44"/>
      <c r="D78" s="44"/>
      <c r="E78" s="66" t="s">
        <v>92</v>
      </c>
      <c r="F78" s="98">
        <v>2801.26</v>
      </c>
      <c r="G78" s="59"/>
    </row>
    <row r="79" spans="1:7" ht="12.75" customHeight="1">
      <c r="A79" s="44"/>
      <c r="B79" s="54"/>
      <c r="C79" s="44"/>
      <c r="D79" s="44"/>
      <c r="E79" s="66" t="s">
        <v>170</v>
      </c>
      <c r="F79" s="98">
        <v>13031.17</v>
      </c>
      <c r="G79" s="59"/>
    </row>
    <row r="80" spans="1:7" ht="12.75" customHeight="1">
      <c r="A80" s="44"/>
      <c r="B80" s="54"/>
      <c r="C80" s="44"/>
      <c r="D80" s="44"/>
      <c r="E80" s="66" t="s">
        <v>171</v>
      </c>
      <c r="F80" s="98">
        <v>1891.02</v>
      </c>
      <c r="G80" s="59"/>
    </row>
    <row r="81" spans="1:7" ht="12.75" customHeight="1">
      <c r="A81" s="44"/>
      <c r="B81" s="54"/>
      <c r="C81" s="44"/>
      <c r="D81" s="44"/>
      <c r="E81" s="66" t="s">
        <v>220</v>
      </c>
      <c r="F81" s="98">
        <f>340665.11*54.09/100-992.71-31.82</f>
        <v>183241.227999</v>
      </c>
      <c r="G81" s="59"/>
    </row>
    <row r="82" spans="1:7" ht="12.75" customHeight="1">
      <c r="A82" s="44"/>
      <c r="B82" s="54"/>
      <c r="C82" s="44" t="s">
        <v>20</v>
      </c>
      <c r="D82" s="44"/>
      <c r="E82" s="65"/>
      <c r="F82" s="93">
        <f>SUM(F83:F85)</f>
        <v>26876.382406999997</v>
      </c>
      <c r="G82" s="59"/>
    </row>
    <row r="83" spans="1:7" ht="12.75" customHeight="1">
      <c r="A83" s="44"/>
      <c r="B83" s="54"/>
      <c r="C83" s="44"/>
      <c r="D83" s="44"/>
      <c r="E83" s="65" t="s">
        <v>131</v>
      </c>
      <c r="F83" s="101">
        <v>53.3</v>
      </c>
      <c r="G83" s="59"/>
    </row>
    <row r="84" spans="1:7" ht="12.75" customHeight="1">
      <c r="A84" s="44"/>
      <c r="B84" s="54"/>
      <c r="C84" s="44"/>
      <c r="D84" s="44"/>
      <c r="E84" s="66" t="s">
        <v>94</v>
      </c>
      <c r="F84" s="98">
        <v>23891.28</v>
      </c>
      <c r="G84" s="59"/>
    </row>
    <row r="85" spans="1:7" ht="12.75" customHeight="1">
      <c r="A85" s="44"/>
      <c r="B85" s="54"/>
      <c r="C85" s="44"/>
      <c r="D85" s="44"/>
      <c r="E85" s="66" t="s">
        <v>219</v>
      </c>
      <c r="F85" s="98">
        <f>5420.23*54.09/100</f>
        <v>2931.802407</v>
      </c>
      <c r="G85" s="59"/>
    </row>
    <row r="86" spans="1:7" ht="12.75" customHeight="1">
      <c r="A86" s="44"/>
      <c r="B86" s="54"/>
      <c r="C86" s="44" t="s">
        <v>21</v>
      </c>
      <c r="D86" s="44"/>
      <c r="E86" s="65"/>
      <c r="F86" s="97">
        <f>SUM(F87:F91)</f>
        <v>1225287.920467</v>
      </c>
      <c r="G86" s="59"/>
    </row>
    <row r="87" spans="1:7" ht="12.75" customHeight="1">
      <c r="A87" s="44"/>
      <c r="B87" s="54"/>
      <c r="D87" s="67" t="s">
        <v>22</v>
      </c>
      <c r="E87" s="68"/>
      <c r="F87" s="98">
        <f>(757328.2+9471.34+38463.99)+(252968.7*54.09/100)+12478.37+101.68</f>
        <v>954674.34983</v>
      </c>
      <c r="G87" s="59"/>
    </row>
    <row r="88" spans="1:7" ht="12.75" customHeight="1">
      <c r="A88" s="44"/>
      <c r="B88" s="54"/>
      <c r="D88" s="67" t="s">
        <v>23</v>
      </c>
      <c r="E88" s="68"/>
      <c r="F88" s="98">
        <f>(174039.27+7469.15+2397.67+9737.16)+(44020.19*54.09/100)-7000</f>
        <v>210453.770771</v>
      </c>
      <c r="G88" s="59"/>
    </row>
    <row r="89" spans="1:7" ht="12.75" customHeight="1">
      <c r="A89" s="44"/>
      <c r="B89" s="54"/>
      <c r="D89" s="67" t="s">
        <v>24</v>
      </c>
      <c r="E89" s="68"/>
      <c r="F89" s="98">
        <f>53340.7+(20144.74*54.09/100)-4649.09</f>
        <v>59587.89986599999</v>
      </c>
      <c r="G89" s="59"/>
    </row>
    <row r="90" spans="1:7" ht="12.75" customHeight="1">
      <c r="A90" s="44"/>
      <c r="B90" s="54"/>
      <c r="D90" s="67" t="s">
        <v>25</v>
      </c>
      <c r="E90" s="68"/>
      <c r="F90" s="98">
        <v>0</v>
      </c>
      <c r="G90" s="59"/>
    </row>
    <row r="91" spans="1:7" ht="12.75" customHeight="1">
      <c r="A91" s="44"/>
      <c r="B91" s="54"/>
      <c r="D91" s="67" t="s">
        <v>26</v>
      </c>
      <c r="E91" s="68"/>
      <c r="F91" s="98">
        <v>571.9</v>
      </c>
      <c r="G91" s="59"/>
    </row>
    <row r="92" spans="1:7" ht="12.75" customHeight="1">
      <c r="A92" s="44"/>
      <c r="B92" s="54"/>
      <c r="C92" s="44" t="s">
        <v>27</v>
      </c>
      <c r="D92" s="44"/>
      <c r="E92" s="65"/>
      <c r="F92" s="97">
        <f>SUM(F93:F97)</f>
        <v>79636.056156</v>
      </c>
      <c r="G92" s="59"/>
    </row>
    <row r="93" spans="1:7" ht="12.75" customHeight="1">
      <c r="A93" s="44"/>
      <c r="B93" s="54"/>
      <c r="C93" s="44"/>
      <c r="D93" s="67" t="s">
        <v>28</v>
      </c>
      <c r="E93" s="68"/>
      <c r="F93" s="98">
        <f>8005.11+(2090.44*54.09/100)</f>
        <v>9135.828996</v>
      </c>
      <c r="G93" s="59"/>
    </row>
    <row r="94" spans="1:7" ht="12.75" customHeight="1">
      <c r="A94" s="44"/>
      <c r="B94" s="54"/>
      <c r="D94" s="67" t="s">
        <v>29</v>
      </c>
      <c r="E94" s="69"/>
      <c r="F94" s="98">
        <f>70223.07+(512.4*54.09/100)</f>
        <v>70500.22716000001</v>
      </c>
      <c r="G94" s="59"/>
    </row>
    <row r="95" spans="1:7" ht="12.75" customHeight="1">
      <c r="A95" s="44"/>
      <c r="B95" s="54"/>
      <c r="D95" s="67" t="s">
        <v>31</v>
      </c>
      <c r="E95" s="68"/>
      <c r="F95" s="98">
        <v>0</v>
      </c>
      <c r="G95" s="59"/>
    </row>
    <row r="96" spans="1:7" ht="12.75" customHeight="1">
      <c r="A96" s="44"/>
      <c r="B96" s="54"/>
      <c r="D96" s="67" t="s">
        <v>32</v>
      </c>
      <c r="E96" s="68"/>
      <c r="F96" s="98"/>
      <c r="G96" s="59"/>
    </row>
    <row r="97" spans="1:7" ht="12.75" customHeight="1">
      <c r="A97" s="44"/>
      <c r="B97" s="54"/>
      <c r="D97" s="67"/>
      <c r="E97" s="69" t="s">
        <v>33</v>
      </c>
      <c r="F97" s="98">
        <v>0</v>
      </c>
      <c r="G97" s="59"/>
    </row>
    <row r="98" spans="1:7" ht="12.75" customHeight="1">
      <c r="A98" s="44"/>
      <c r="B98" s="54"/>
      <c r="C98" s="44" t="s">
        <v>34</v>
      </c>
      <c r="D98" s="44"/>
      <c r="E98" s="65"/>
      <c r="F98" s="95"/>
      <c r="G98" s="59"/>
    </row>
    <row r="99" spans="1:7" ht="12.75" customHeight="1">
      <c r="A99" s="44"/>
      <c r="B99" s="54"/>
      <c r="D99" s="44"/>
      <c r="E99" s="70" t="s">
        <v>35</v>
      </c>
      <c r="F99" s="95">
        <v>0</v>
      </c>
      <c r="G99" s="59"/>
    </row>
    <row r="100" spans="1:7" ht="12.75" customHeight="1">
      <c r="A100" s="44"/>
      <c r="B100" s="54"/>
      <c r="C100" s="44" t="s">
        <v>36</v>
      </c>
      <c r="D100" s="44"/>
      <c r="E100" s="65"/>
      <c r="F100" s="95">
        <v>0</v>
      </c>
      <c r="G100" s="59"/>
    </row>
    <row r="101" spans="1:7" ht="12.75" customHeight="1">
      <c r="A101" s="44"/>
      <c r="B101" s="54"/>
      <c r="C101" s="44" t="s">
        <v>37</v>
      </c>
      <c r="D101" s="44"/>
      <c r="E101" s="65"/>
      <c r="F101" s="95">
        <v>0</v>
      </c>
      <c r="G101" s="59"/>
    </row>
    <row r="102" spans="1:7" ht="12.75" customHeight="1">
      <c r="A102" s="44"/>
      <c r="B102" s="54"/>
      <c r="C102" s="44" t="s">
        <v>38</v>
      </c>
      <c r="D102" s="44"/>
      <c r="E102" s="65"/>
      <c r="F102" s="95">
        <f>SUM(F103:F110)</f>
        <v>25861.109588000003</v>
      </c>
      <c r="G102" s="59"/>
    </row>
    <row r="103" spans="1:7" ht="12.75" customHeight="1">
      <c r="A103" s="44"/>
      <c r="B103" s="54"/>
      <c r="C103" s="44"/>
      <c r="D103" s="44"/>
      <c r="E103" s="65" t="s">
        <v>132</v>
      </c>
      <c r="F103" s="103">
        <v>1853.8</v>
      </c>
      <c r="G103" s="59"/>
    </row>
    <row r="104" spans="1:7" ht="12.75" customHeight="1">
      <c r="A104" s="44"/>
      <c r="B104" s="54"/>
      <c r="C104" s="44"/>
      <c r="D104" s="44"/>
      <c r="E104" s="71" t="s">
        <v>133</v>
      </c>
      <c r="F104" s="103">
        <v>266.65</v>
      </c>
      <c r="G104" s="59"/>
    </row>
    <row r="105" spans="1:7" ht="12.75" customHeight="1">
      <c r="A105" s="44"/>
      <c r="B105" s="54"/>
      <c r="C105" s="44"/>
      <c r="D105" s="44"/>
      <c r="E105" s="66" t="s">
        <v>63</v>
      </c>
      <c r="F105" s="103">
        <v>8780.21</v>
      </c>
      <c r="G105" s="59"/>
    </row>
    <row r="106" spans="1:7" ht="12.75" customHeight="1">
      <c r="A106" s="44"/>
      <c r="B106" s="54"/>
      <c r="C106" s="44"/>
      <c r="D106" s="44"/>
      <c r="E106" s="66" t="s">
        <v>64</v>
      </c>
      <c r="F106" s="103">
        <v>583.95</v>
      </c>
      <c r="G106" s="59"/>
    </row>
    <row r="107" spans="1:7" ht="13.5" customHeight="1">
      <c r="A107" s="44"/>
      <c r="B107" s="54"/>
      <c r="C107" s="44"/>
      <c r="D107" s="44" t="s">
        <v>0</v>
      </c>
      <c r="E107" s="66" t="s">
        <v>58</v>
      </c>
      <c r="F107" s="98">
        <v>10154.26</v>
      </c>
      <c r="G107" s="59"/>
    </row>
    <row r="108" spans="1:7" ht="12.75" customHeight="1">
      <c r="A108" s="44"/>
      <c r="B108" s="54"/>
      <c r="C108" s="44"/>
      <c r="D108" s="44"/>
      <c r="E108" s="66" t="s">
        <v>134</v>
      </c>
      <c r="F108" s="98">
        <v>273.48</v>
      </c>
      <c r="G108" s="59"/>
    </row>
    <row r="109" spans="1:7" ht="12.75" customHeight="1">
      <c r="A109" s="44"/>
      <c r="B109" s="54"/>
      <c r="C109" s="44"/>
      <c r="D109" s="44" t="s">
        <v>0</v>
      </c>
      <c r="E109" s="66" t="s">
        <v>135</v>
      </c>
      <c r="F109" s="98">
        <v>819.48</v>
      </c>
      <c r="G109" s="59"/>
    </row>
    <row r="110" spans="1:7" ht="12.75" customHeight="1">
      <c r="A110" s="44"/>
      <c r="B110" s="54"/>
      <c r="C110" s="44"/>
      <c r="D110" s="44"/>
      <c r="E110" s="66" t="s">
        <v>220</v>
      </c>
      <c r="F110" s="102">
        <f>5785.32*54.09/100</f>
        <v>3129.2795880000003</v>
      </c>
      <c r="G110" s="59"/>
    </row>
    <row r="111" spans="1:7" ht="12.75" customHeight="1">
      <c r="A111" s="44"/>
      <c r="B111" s="54"/>
      <c r="C111" s="44"/>
      <c r="D111" s="44"/>
      <c r="E111" s="70"/>
      <c r="F111" s="95" t="s">
        <v>0</v>
      </c>
      <c r="G111" s="59"/>
    </row>
    <row r="112" spans="1:7" ht="12.75" customHeight="1">
      <c r="A112" s="72"/>
      <c r="B112" s="57" t="s">
        <v>39</v>
      </c>
      <c r="C112" s="73"/>
      <c r="D112" s="73"/>
      <c r="E112" s="66"/>
      <c r="F112" s="95" t="s">
        <v>0</v>
      </c>
      <c r="G112" s="106">
        <f>G19+G36</f>
        <v>-395028.5749209998</v>
      </c>
    </row>
    <row r="113" spans="1:7" ht="12.75" customHeight="1">
      <c r="A113" s="44"/>
      <c r="B113" s="74" t="s">
        <v>40</v>
      </c>
      <c r="C113" s="44"/>
      <c r="D113" s="44"/>
      <c r="E113" s="70"/>
      <c r="F113" s="95" t="s">
        <v>0</v>
      </c>
      <c r="G113" s="75"/>
    </row>
    <row r="114" spans="2:7" ht="12" customHeight="1">
      <c r="B114" s="76"/>
      <c r="E114" s="65"/>
      <c r="F114" s="95" t="s">
        <v>0</v>
      </c>
      <c r="G114" s="75"/>
    </row>
    <row r="115" spans="2:7" ht="12" customHeight="1">
      <c r="B115" s="57" t="s">
        <v>81</v>
      </c>
      <c r="C115" s="62"/>
      <c r="D115" s="62"/>
      <c r="E115" s="77"/>
      <c r="F115" s="96"/>
      <c r="G115" s="107">
        <f>SUM(F117:F119)</f>
        <v>-14010.758350999999</v>
      </c>
    </row>
    <row r="116" spans="2:7" ht="12">
      <c r="B116" s="76"/>
      <c r="E116" s="65"/>
      <c r="F116" s="95"/>
      <c r="G116" s="75"/>
    </row>
    <row r="117" spans="2:7" ht="12">
      <c r="B117" s="54"/>
      <c r="C117" s="44" t="s">
        <v>78</v>
      </c>
      <c r="D117" s="44"/>
      <c r="E117" s="65"/>
      <c r="F117" s="93">
        <v>0</v>
      </c>
      <c r="G117" s="75"/>
    </row>
    <row r="118" spans="2:7" ht="12">
      <c r="B118" s="76"/>
      <c r="C118" s="44" t="s">
        <v>79</v>
      </c>
      <c r="E118" s="65"/>
      <c r="F118" s="95">
        <f>-27786.39*54.09/100+0.03</f>
        <v>-15029.628351</v>
      </c>
      <c r="G118" s="75"/>
    </row>
    <row r="119" spans="2:7" ht="12">
      <c r="B119" s="76"/>
      <c r="C119" s="44" t="s">
        <v>80</v>
      </c>
      <c r="E119" s="65"/>
      <c r="F119" s="95">
        <f>26.19+992.68</f>
        <v>1018.87</v>
      </c>
      <c r="G119" s="75"/>
    </row>
    <row r="120" spans="2:7" ht="12">
      <c r="B120" s="76"/>
      <c r="E120" s="65"/>
      <c r="F120" s="95"/>
      <c r="G120" s="75"/>
    </row>
    <row r="121" spans="2:7" ht="12">
      <c r="B121" s="57" t="s">
        <v>82</v>
      </c>
      <c r="C121" s="62"/>
      <c r="D121" s="62"/>
      <c r="E121" s="77"/>
      <c r="F121" s="96">
        <v>0</v>
      </c>
      <c r="G121" s="78">
        <v>0</v>
      </c>
    </row>
    <row r="122" spans="2:7" ht="12">
      <c r="B122" s="76"/>
      <c r="E122" s="65"/>
      <c r="F122" s="95"/>
      <c r="G122" s="75"/>
    </row>
    <row r="123" spans="2:7" ht="12">
      <c r="B123" s="57" t="s">
        <v>77</v>
      </c>
      <c r="C123" s="62"/>
      <c r="D123" s="62"/>
      <c r="E123" s="77"/>
      <c r="F123" s="96"/>
      <c r="G123" s="107">
        <f>SUM(F125:F126)</f>
        <v>-48408.792773</v>
      </c>
    </row>
    <row r="124" spans="2:7" ht="12">
      <c r="B124" s="76"/>
      <c r="E124" s="65"/>
      <c r="F124" s="95"/>
      <c r="G124" s="75"/>
    </row>
    <row r="125" spans="2:7" ht="12">
      <c r="B125" s="76"/>
      <c r="C125" s="44" t="s">
        <v>83</v>
      </c>
      <c r="E125" s="65"/>
      <c r="F125" s="95">
        <v>-70879.08</v>
      </c>
      <c r="G125" s="75"/>
    </row>
    <row r="126" spans="2:7" ht="12">
      <c r="B126" s="76"/>
      <c r="C126" s="44" t="s">
        <v>84</v>
      </c>
      <c r="E126" s="65"/>
      <c r="F126" s="95">
        <f>13908.94+(15790.03*54.09/100)+20.52</f>
        <v>22470.287227</v>
      </c>
      <c r="G126" s="75"/>
    </row>
    <row r="127" spans="2:7" ht="12">
      <c r="B127" s="76"/>
      <c r="E127" s="65"/>
      <c r="F127" s="95"/>
      <c r="G127" s="75"/>
    </row>
    <row r="128" spans="2:7" ht="12">
      <c r="B128" s="79" t="s">
        <v>85</v>
      </c>
      <c r="C128" s="63"/>
      <c r="D128" s="63"/>
      <c r="E128" s="77"/>
      <c r="F128" s="95">
        <f>109997.32*54.09/100-439.57</f>
        <v>59057.98038800001</v>
      </c>
      <c r="G128" s="107">
        <f>F128</f>
        <v>59057.98038800001</v>
      </c>
    </row>
    <row r="129" spans="2:7" ht="12">
      <c r="B129" s="76"/>
      <c r="E129" s="65"/>
      <c r="F129" s="95"/>
      <c r="G129" s="75"/>
    </row>
    <row r="130" spans="2:7" ht="12.75">
      <c r="B130" s="57"/>
      <c r="E130" s="80" t="s">
        <v>86</v>
      </c>
      <c r="F130" s="95"/>
      <c r="G130" s="108">
        <f>G112-G115-G121-G123-G128</f>
        <v>-391667.0041849998</v>
      </c>
    </row>
    <row r="131" spans="2:7" ht="12">
      <c r="B131" s="81"/>
      <c r="C131" s="82"/>
      <c r="D131" s="82"/>
      <c r="E131" s="83"/>
      <c r="F131" s="84"/>
      <c r="G131" s="85"/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7" r:id="rId1"/>
  <rowBreaks count="2" manualBreakCount="2">
    <brk id="49" max="7" man="1"/>
    <brk id="9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62">
      <selection activeCell="F84" sqref="F84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104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14124.44793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8100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112</v>
      </c>
      <c r="F21" s="94">
        <v>8100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SUM(F28:F29)</f>
        <v>6024.44793</v>
      </c>
      <c r="G27" s="111"/>
    </row>
    <row r="28" spans="1:7" ht="12.75" customHeight="1">
      <c r="A28" s="44"/>
      <c r="B28" s="54"/>
      <c r="C28" s="44"/>
      <c r="D28" s="60" t="s">
        <v>30</v>
      </c>
      <c r="E28" s="45" t="s">
        <v>56</v>
      </c>
      <c r="F28" s="94">
        <v>6000</v>
      </c>
      <c r="G28" s="112"/>
    </row>
    <row r="29" spans="1:7" ht="12.75" customHeight="1">
      <c r="A29" s="44"/>
      <c r="B29" s="54"/>
      <c r="C29" s="44"/>
      <c r="D29" s="60" t="s">
        <v>30</v>
      </c>
      <c r="E29" s="45" t="s">
        <v>218</v>
      </c>
      <c r="F29" s="94">
        <f>18806.1*0.13/100</f>
        <v>24.44793</v>
      </c>
      <c r="G29" s="112"/>
    </row>
    <row r="30" spans="1:7" ht="12.75" customHeight="1">
      <c r="A30" s="44"/>
      <c r="B30" s="54"/>
      <c r="C30" s="44"/>
      <c r="D30" s="44"/>
      <c r="E30" s="44"/>
      <c r="F30" s="95"/>
      <c r="G30" s="111"/>
    </row>
    <row r="31" spans="1:7" s="64" customFormat="1" ht="12.75" customHeight="1">
      <c r="A31" s="62"/>
      <c r="B31" s="57" t="s">
        <v>16</v>
      </c>
      <c r="C31" s="62"/>
      <c r="D31" s="62"/>
      <c r="E31" s="63"/>
      <c r="F31" s="96"/>
      <c r="G31" s="105">
        <f>-(F33+F38+F48+F50+F56+F63+F64+F65+F66)</f>
        <v>-14566.2974</v>
      </c>
    </row>
    <row r="32" spans="1:7" ht="12.75" customHeight="1">
      <c r="A32" s="44"/>
      <c r="B32" s="54"/>
      <c r="C32" s="44" t="s">
        <v>17</v>
      </c>
      <c r="D32" s="44"/>
      <c r="F32" s="95" t="s">
        <v>0</v>
      </c>
      <c r="G32" s="111"/>
    </row>
    <row r="33" spans="1:7" ht="12.75" customHeight="1">
      <c r="A33" s="44"/>
      <c r="B33" s="54"/>
      <c r="D33" s="44" t="s">
        <v>18</v>
      </c>
      <c r="E33" s="65"/>
      <c r="F33" s="97">
        <f>SUM(F34:F37)</f>
        <v>2716.386458</v>
      </c>
      <c r="G33" s="111"/>
    </row>
    <row r="34" spans="1:7" ht="12.75" customHeight="1">
      <c r="A34" s="44"/>
      <c r="B34" s="54"/>
      <c r="D34" s="44"/>
      <c r="E34" s="65" t="s">
        <v>201</v>
      </c>
      <c r="F34" s="97">
        <v>364.58</v>
      </c>
      <c r="G34" s="111"/>
    </row>
    <row r="35" spans="1:7" ht="12.75" customHeight="1">
      <c r="A35" s="44"/>
      <c r="B35" s="54"/>
      <c r="D35" s="44"/>
      <c r="E35" s="65" t="s">
        <v>202</v>
      </c>
      <c r="F35" s="97">
        <v>314.17</v>
      </c>
      <c r="G35" s="111"/>
    </row>
    <row r="36" spans="1:7" ht="12.75" customHeight="1">
      <c r="A36" s="44"/>
      <c r="B36" s="54"/>
      <c r="C36" s="44"/>
      <c r="D36" s="44"/>
      <c r="E36" s="66" t="s">
        <v>74</v>
      </c>
      <c r="F36" s="98">
        <v>2024.23</v>
      </c>
      <c r="G36" s="111"/>
    </row>
    <row r="37" spans="1:7" ht="12.75" customHeight="1">
      <c r="A37" s="44"/>
      <c r="B37" s="54"/>
      <c r="D37" s="44"/>
      <c r="E37" s="65" t="s">
        <v>219</v>
      </c>
      <c r="F37" s="99">
        <f>10312.66*0.13/100</f>
        <v>13.406458</v>
      </c>
      <c r="G37" s="111"/>
    </row>
    <row r="38" spans="1:7" ht="12.75" customHeight="1">
      <c r="A38" s="44"/>
      <c r="B38" s="54"/>
      <c r="C38" s="44" t="s">
        <v>19</v>
      </c>
      <c r="D38" s="44"/>
      <c r="E38" s="65"/>
      <c r="F38" s="97">
        <f>SUM(F39:F47)</f>
        <v>9820.734643</v>
      </c>
      <c r="G38" s="111"/>
    </row>
    <row r="39" spans="1:7" ht="12.75" customHeight="1">
      <c r="A39" s="44"/>
      <c r="B39" s="54"/>
      <c r="C39" s="44"/>
      <c r="D39" s="44"/>
      <c r="E39" s="66" t="s">
        <v>140</v>
      </c>
      <c r="F39" s="98">
        <v>1848.02</v>
      </c>
      <c r="G39" s="111"/>
    </row>
    <row r="40" spans="1:7" ht="12.75" customHeight="1">
      <c r="A40" s="44"/>
      <c r="B40" s="54"/>
      <c r="C40" s="44"/>
      <c r="D40" s="44"/>
      <c r="E40" s="66" t="s">
        <v>154</v>
      </c>
      <c r="F40" s="98">
        <v>844.34</v>
      </c>
      <c r="G40" s="111"/>
    </row>
    <row r="41" spans="1:7" ht="12.75" customHeight="1">
      <c r="A41" s="44"/>
      <c r="B41" s="54"/>
      <c r="C41" s="44"/>
      <c r="D41" s="44"/>
      <c r="E41" s="66" t="s">
        <v>128</v>
      </c>
      <c r="F41" s="98">
        <v>120</v>
      </c>
      <c r="G41" s="111"/>
    </row>
    <row r="42" spans="1:7" ht="12.75" customHeight="1">
      <c r="A42" s="44"/>
      <c r="B42" s="54"/>
      <c r="C42" s="44"/>
      <c r="D42" s="44"/>
      <c r="E42" s="66" t="s">
        <v>129</v>
      </c>
      <c r="F42" s="98">
        <v>1820.36</v>
      </c>
      <c r="G42" s="111"/>
    </row>
    <row r="43" spans="1:7" ht="12.75" customHeight="1">
      <c r="A43" s="44"/>
      <c r="B43" s="54"/>
      <c r="C43" s="44"/>
      <c r="D43" s="44"/>
      <c r="E43" s="66" t="s">
        <v>75</v>
      </c>
      <c r="F43" s="98">
        <v>1413.07</v>
      </c>
      <c r="G43" s="111"/>
    </row>
    <row r="44" spans="1:7" ht="12.75" customHeight="1">
      <c r="A44" s="44"/>
      <c r="B44" s="54"/>
      <c r="C44" s="44"/>
      <c r="D44" s="44"/>
      <c r="E44" s="66" t="s">
        <v>157</v>
      </c>
      <c r="F44" s="98">
        <v>1167.58</v>
      </c>
      <c r="G44" s="111"/>
    </row>
    <row r="45" spans="1:7" ht="12.75" customHeight="1">
      <c r="A45" s="44"/>
      <c r="B45" s="54"/>
      <c r="C45" s="44"/>
      <c r="D45" s="44"/>
      <c r="E45" s="66" t="s">
        <v>203</v>
      </c>
      <c r="F45" s="98">
        <v>1954.5</v>
      </c>
      <c r="G45" s="111"/>
    </row>
    <row r="46" spans="1:7" ht="12.75" customHeight="1">
      <c r="A46" s="44"/>
      <c r="B46" s="54"/>
      <c r="C46" s="44"/>
      <c r="D46" s="44"/>
      <c r="E46" s="66" t="s">
        <v>198</v>
      </c>
      <c r="F46" s="98">
        <v>210</v>
      </c>
      <c r="G46" s="111"/>
    </row>
    <row r="47" spans="1:7" ht="12.75" customHeight="1">
      <c r="A47" s="44"/>
      <c r="B47" s="54"/>
      <c r="C47" s="44"/>
      <c r="D47" s="44"/>
      <c r="E47" s="66" t="s">
        <v>220</v>
      </c>
      <c r="F47" s="98">
        <f>340665.11*0.13/100</f>
        <v>442.864643</v>
      </c>
      <c r="G47" s="111"/>
    </row>
    <row r="48" spans="1:7" ht="12.75" customHeight="1">
      <c r="A48" s="44"/>
      <c r="B48" s="54"/>
      <c r="C48" s="44" t="s">
        <v>20</v>
      </c>
      <c r="D48" s="44"/>
      <c r="E48" s="65"/>
      <c r="F48" s="93">
        <f>SUM(F49)</f>
        <v>7.026299000000001</v>
      </c>
      <c r="G48" s="111"/>
    </row>
    <row r="49" spans="1:7" ht="12.75" customHeight="1">
      <c r="A49" s="44"/>
      <c r="B49" s="54"/>
      <c r="C49" s="44"/>
      <c r="D49" s="44"/>
      <c r="E49" s="65" t="s">
        <v>219</v>
      </c>
      <c r="F49" s="102">
        <f>5420.23*0.13/100-0.02</f>
        <v>7.026299000000001</v>
      </c>
      <c r="G49" s="111"/>
    </row>
    <row r="50" spans="1:7" ht="12.75" customHeight="1">
      <c r="A50" s="44"/>
      <c r="B50" s="54"/>
      <c r="C50" s="44" t="s">
        <v>21</v>
      </c>
      <c r="D50" s="44"/>
      <c r="E50" s="65"/>
      <c r="F50" s="97">
        <f>SUM(F51:F55)</f>
        <v>1989.17</v>
      </c>
      <c r="G50" s="111"/>
    </row>
    <row r="51" spans="1:7" ht="12.75" customHeight="1">
      <c r="A51" s="44"/>
      <c r="B51" s="54"/>
      <c r="D51" s="67" t="s">
        <v>22</v>
      </c>
      <c r="E51" s="68"/>
      <c r="F51" s="98">
        <v>0</v>
      </c>
      <c r="G51" s="111"/>
    </row>
    <row r="52" spans="1:7" ht="12.75" customHeight="1">
      <c r="A52" s="44"/>
      <c r="B52" s="54"/>
      <c r="D52" s="67" t="s">
        <v>23</v>
      </c>
      <c r="E52" s="68"/>
      <c r="F52" s="98">
        <v>0</v>
      </c>
      <c r="G52" s="111"/>
    </row>
    <row r="53" spans="1:7" ht="12.75" customHeight="1">
      <c r="A53" s="44"/>
      <c r="B53" s="54"/>
      <c r="D53" s="67" t="s">
        <v>24</v>
      </c>
      <c r="E53" s="68"/>
      <c r="F53" s="98">
        <v>0</v>
      </c>
      <c r="G53" s="111"/>
    </row>
    <row r="54" spans="1:7" ht="12.75" customHeight="1">
      <c r="A54" s="44"/>
      <c r="B54" s="54"/>
      <c r="D54" s="67" t="s">
        <v>25</v>
      </c>
      <c r="E54" s="68"/>
      <c r="F54" s="98">
        <v>0</v>
      </c>
      <c r="G54" s="111"/>
    </row>
    <row r="55" spans="1:7" ht="12.75" customHeight="1">
      <c r="A55" s="44"/>
      <c r="B55" s="54"/>
      <c r="D55" s="67" t="s">
        <v>137</v>
      </c>
      <c r="E55" s="68"/>
      <c r="F55" s="98">
        <v>1989.17</v>
      </c>
      <c r="G55" s="111"/>
    </row>
    <row r="56" spans="1:7" ht="12.75" customHeight="1">
      <c r="A56" s="44"/>
      <c r="B56" s="54"/>
      <c r="C56" s="44" t="s">
        <v>27</v>
      </c>
      <c r="D56" s="44"/>
      <c r="E56" s="65"/>
      <c r="F56" s="97">
        <f>SUM(F57:F61)</f>
        <v>0</v>
      </c>
      <c r="G56" s="111"/>
    </row>
    <row r="57" spans="1:7" ht="12.75" customHeight="1">
      <c r="A57" s="44"/>
      <c r="B57" s="54"/>
      <c r="C57" s="44"/>
      <c r="D57" s="67" t="s">
        <v>28</v>
      </c>
      <c r="E57" s="68"/>
      <c r="F57" s="98">
        <v>0</v>
      </c>
      <c r="G57" s="111"/>
    </row>
    <row r="58" spans="1:7" ht="12.75" customHeight="1">
      <c r="A58" s="44"/>
      <c r="B58" s="54"/>
      <c r="D58" s="67" t="s">
        <v>29</v>
      </c>
      <c r="E58" s="69"/>
      <c r="F58" s="98">
        <v>0</v>
      </c>
      <c r="G58" s="111"/>
    </row>
    <row r="59" spans="1:7" ht="12.75" customHeight="1">
      <c r="A59" s="44"/>
      <c r="B59" s="54"/>
      <c r="D59" s="67" t="s">
        <v>31</v>
      </c>
      <c r="E59" s="68"/>
      <c r="F59" s="98">
        <v>0</v>
      </c>
      <c r="G59" s="111"/>
    </row>
    <row r="60" spans="1:7" ht="12.75" customHeight="1">
      <c r="A60" s="44"/>
      <c r="B60" s="54"/>
      <c r="D60" s="67" t="s">
        <v>32</v>
      </c>
      <c r="E60" s="68"/>
      <c r="F60" s="98"/>
      <c r="G60" s="111"/>
    </row>
    <row r="61" spans="1:7" ht="12.75" customHeight="1">
      <c r="A61" s="44"/>
      <c r="B61" s="54"/>
      <c r="D61" s="67"/>
      <c r="E61" s="69" t="s">
        <v>33</v>
      </c>
      <c r="F61" s="98">
        <v>0</v>
      </c>
      <c r="G61" s="111"/>
    </row>
    <row r="62" spans="1:7" ht="12.75" customHeight="1">
      <c r="A62" s="44"/>
      <c r="B62" s="54"/>
      <c r="C62" s="44" t="s">
        <v>34</v>
      </c>
      <c r="D62" s="44"/>
      <c r="E62" s="65"/>
      <c r="F62" s="95"/>
      <c r="G62" s="111"/>
    </row>
    <row r="63" spans="1:7" ht="12.75" customHeight="1">
      <c r="A63" s="44"/>
      <c r="B63" s="54"/>
      <c r="D63" s="44"/>
      <c r="E63" s="70" t="s">
        <v>35</v>
      </c>
      <c r="F63" s="95">
        <v>0</v>
      </c>
      <c r="G63" s="111"/>
    </row>
    <row r="64" spans="1:7" ht="12.75" customHeight="1">
      <c r="A64" s="44"/>
      <c r="B64" s="54"/>
      <c r="C64" s="44" t="s">
        <v>36</v>
      </c>
      <c r="D64" s="44"/>
      <c r="E64" s="65"/>
      <c r="F64" s="95">
        <v>0</v>
      </c>
      <c r="G64" s="111"/>
    </row>
    <row r="65" spans="1:7" ht="12.75" customHeight="1">
      <c r="A65" s="44"/>
      <c r="B65" s="54"/>
      <c r="C65" s="44" t="s">
        <v>37</v>
      </c>
      <c r="D65" s="44"/>
      <c r="E65" s="65"/>
      <c r="F65" s="95">
        <v>0</v>
      </c>
      <c r="G65" s="111"/>
    </row>
    <row r="66" spans="1:7" ht="12.75" customHeight="1">
      <c r="A66" s="44"/>
      <c r="B66" s="54"/>
      <c r="C66" s="44" t="s">
        <v>38</v>
      </c>
      <c r="D66" s="44"/>
      <c r="E66" s="65"/>
      <c r="F66" s="95">
        <f>SUM(F67:F68)</f>
        <v>32.98</v>
      </c>
      <c r="G66" s="111"/>
    </row>
    <row r="67" spans="1:7" ht="12.75" customHeight="1">
      <c r="A67" s="44"/>
      <c r="B67" s="54"/>
      <c r="C67" s="44"/>
      <c r="D67" s="44"/>
      <c r="E67" s="65" t="s">
        <v>204</v>
      </c>
      <c r="F67" s="103">
        <v>32.98</v>
      </c>
      <c r="G67" s="111"/>
    </row>
    <row r="68" spans="1:7" ht="12.75" customHeight="1">
      <c r="A68" s="44"/>
      <c r="B68" s="54"/>
      <c r="C68" s="44"/>
      <c r="D68" s="44"/>
      <c r="E68" s="66" t="s">
        <v>220</v>
      </c>
      <c r="F68" s="102">
        <v>0</v>
      </c>
      <c r="G68" s="111"/>
    </row>
    <row r="69" spans="1:7" ht="12.75" customHeight="1">
      <c r="A69" s="44"/>
      <c r="B69" s="54"/>
      <c r="C69" s="44"/>
      <c r="D69" s="44"/>
      <c r="E69" s="70"/>
      <c r="F69" s="95" t="s">
        <v>0</v>
      </c>
      <c r="G69" s="111"/>
    </row>
    <row r="70" spans="1:7" ht="12.75" customHeight="1">
      <c r="A70" s="72"/>
      <c r="B70" s="57" t="s">
        <v>39</v>
      </c>
      <c r="C70" s="73"/>
      <c r="D70" s="73"/>
      <c r="E70" s="66"/>
      <c r="F70" s="95" t="s">
        <v>0</v>
      </c>
      <c r="G70" s="106">
        <f>G19+G31</f>
        <v>-441.8494699999992</v>
      </c>
    </row>
    <row r="71" spans="1:7" ht="12.75" customHeight="1">
      <c r="A71" s="44"/>
      <c r="B71" s="74" t="s">
        <v>40</v>
      </c>
      <c r="C71" s="44"/>
      <c r="D71" s="44"/>
      <c r="E71" s="70"/>
      <c r="F71" s="95" t="s">
        <v>0</v>
      </c>
      <c r="G71" s="113"/>
    </row>
    <row r="72" spans="2:7" ht="12" customHeight="1">
      <c r="B72" s="76"/>
      <c r="E72" s="65"/>
      <c r="F72" s="95" t="s">
        <v>0</v>
      </c>
      <c r="G72" s="113"/>
    </row>
    <row r="73" spans="2:7" ht="12" customHeight="1">
      <c r="B73" s="57" t="s">
        <v>81</v>
      </c>
      <c r="C73" s="62"/>
      <c r="D73" s="62"/>
      <c r="E73" s="77"/>
      <c r="F73" s="96"/>
      <c r="G73" s="107">
        <f>SUM(F75:F77)</f>
        <v>0</v>
      </c>
    </row>
    <row r="74" spans="2:7" ht="12">
      <c r="B74" s="76"/>
      <c r="E74" s="65"/>
      <c r="F74" s="95"/>
      <c r="G74" s="113"/>
    </row>
    <row r="75" spans="2:7" ht="12">
      <c r="B75" s="54"/>
      <c r="C75" s="44" t="s">
        <v>78</v>
      </c>
      <c r="D75" s="44"/>
      <c r="E75" s="65"/>
      <c r="F75" s="93">
        <v>0</v>
      </c>
      <c r="G75" s="113"/>
    </row>
    <row r="76" spans="2:7" ht="12">
      <c r="B76" s="76"/>
      <c r="C76" s="44" t="s">
        <v>79</v>
      </c>
      <c r="E76" s="65"/>
      <c r="F76" s="95">
        <v>0</v>
      </c>
      <c r="G76" s="113"/>
    </row>
    <row r="77" spans="2:7" ht="12">
      <c r="B77" s="76"/>
      <c r="C77" s="44" t="s">
        <v>80</v>
      </c>
      <c r="E77" s="65"/>
      <c r="F77" s="95">
        <v>0</v>
      </c>
      <c r="G77" s="113"/>
    </row>
    <row r="78" spans="2:7" ht="12">
      <c r="B78" s="76"/>
      <c r="E78" s="65"/>
      <c r="F78" s="95"/>
      <c r="G78" s="113"/>
    </row>
    <row r="79" spans="2:7" ht="12">
      <c r="B79" s="57" t="s">
        <v>82</v>
      </c>
      <c r="C79" s="62"/>
      <c r="D79" s="62"/>
      <c r="E79" s="77"/>
      <c r="F79" s="96">
        <v>0</v>
      </c>
      <c r="G79" s="107">
        <v>0</v>
      </c>
    </row>
    <row r="80" spans="2:7" ht="12">
      <c r="B80" s="76"/>
      <c r="E80" s="65"/>
      <c r="F80" s="95"/>
      <c r="G80" s="113"/>
    </row>
    <row r="81" spans="2:7" ht="12">
      <c r="B81" s="57" t="s">
        <v>77</v>
      </c>
      <c r="C81" s="62"/>
      <c r="D81" s="62"/>
      <c r="E81" s="77"/>
      <c r="F81" s="96"/>
      <c r="G81" s="107">
        <f>SUM(F83:F84)</f>
        <v>-997.09</v>
      </c>
    </row>
    <row r="82" spans="2:7" ht="12">
      <c r="B82" s="76"/>
      <c r="E82" s="65"/>
      <c r="F82" s="95"/>
      <c r="G82" s="113"/>
    </row>
    <row r="83" spans="2:7" ht="12">
      <c r="B83" s="76"/>
      <c r="C83" s="44" t="s">
        <v>83</v>
      </c>
      <c r="E83" s="65"/>
      <c r="F83" s="95">
        <f>-997.11+0.02</f>
        <v>-997.09</v>
      </c>
      <c r="G83" s="113"/>
    </row>
    <row r="84" spans="2:7" ht="12">
      <c r="B84" s="76"/>
      <c r="C84" s="44" t="s">
        <v>84</v>
      </c>
      <c r="E84" s="65"/>
      <c r="F84" s="95">
        <v>0</v>
      </c>
      <c r="G84" s="113"/>
    </row>
    <row r="85" spans="2:7" ht="12">
      <c r="B85" s="76"/>
      <c r="E85" s="65"/>
      <c r="F85" s="95"/>
      <c r="G85" s="113"/>
    </row>
    <row r="86" spans="2:7" ht="12">
      <c r="B86" s="79" t="s">
        <v>85</v>
      </c>
      <c r="C86" s="63"/>
      <c r="D86" s="63"/>
      <c r="E86" s="77"/>
      <c r="F86" s="95">
        <f>557.45</f>
        <v>557.45</v>
      </c>
      <c r="G86" s="107">
        <f>F86</f>
        <v>557.45</v>
      </c>
    </row>
    <row r="87" spans="2:7" ht="12">
      <c r="B87" s="76"/>
      <c r="E87" s="65"/>
      <c r="F87" s="95"/>
      <c r="G87" s="113"/>
    </row>
    <row r="88" spans="2:7" ht="12.75">
      <c r="B88" s="57"/>
      <c r="E88" s="80" t="s">
        <v>86</v>
      </c>
      <c r="F88" s="95"/>
      <c r="G88" s="108">
        <f>G70-G73-G79-G81-G86</f>
        <v>-2.2094699999992145</v>
      </c>
    </row>
    <row r="89" spans="2:7" ht="12">
      <c r="B89" s="81"/>
      <c r="C89" s="82"/>
      <c r="D89" s="82"/>
      <c r="E89" s="83"/>
      <c r="F89" s="114"/>
      <c r="G89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75">
      <selection activeCell="G57" sqref="G57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205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F20+F24+F25+F26+F28</f>
        <v>284376.33378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SUM(F21:F22)</f>
        <v>200591.02000000002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155</v>
      </c>
      <c r="F21" s="118">
        <v>67387.92</v>
      </c>
      <c r="G21" s="110"/>
    </row>
    <row r="22" spans="1:7" ht="12.75" customHeight="1">
      <c r="A22" s="44"/>
      <c r="B22" s="54"/>
      <c r="C22" s="44"/>
      <c r="D22" s="44" t="s">
        <v>30</v>
      </c>
      <c r="E22" s="45" t="s">
        <v>206</v>
      </c>
      <c r="F22" s="94">
        <v>133203.1</v>
      </c>
      <c r="G22" s="110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10"/>
    </row>
    <row r="24" spans="1:7" ht="12.75" customHeight="1">
      <c r="A24" s="44"/>
      <c r="B24" s="54"/>
      <c r="C24" s="44"/>
      <c r="D24" s="44" t="s">
        <v>10</v>
      </c>
      <c r="F24" s="95">
        <v>0</v>
      </c>
      <c r="G24" s="110"/>
    </row>
    <row r="25" spans="1:7" ht="12.75" customHeight="1">
      <c r="A25" s="44"/>
      <c r="B25" s="54"/>
      <c r="C25" s="44" t="s">
        <v>11</v>
      </c>
      <c r="D25" s="44" t="s">
        <v>12</v>
      </c>
      <c r="F25" s="95">
        <v>0</v>
      </c>
      <c r="G25" s="110"/>
    </row>
    <row r="26" spans="1:7" ht="12.75" customHeight="1">
      <c r="A26" s="44"/>
      <c r="B26" s="54"/>
      <c r="C26" s="44" t="s">
        <v>13</v>
      </c>
      <c r="D26" s="44"/>
      <c r="F26" s="95">
        <v>0</v>
      </c>
      <c r="G26" s="110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11"/>
    </row>
    <row r="28" spans="1:7" ht="12.75" customHeight="1">
      <c r="A28" s="44"/>
      <c r="B28" s="54"/>
      <c r="C28" s="44"/>
      <c r="D28" s="44" t="s">
        <v>15</v>
      </c>
      <c r="F28" s="93">
        <f>SUM(F29:F32)</f>
        <v>83785.31378</v>
      </c>
      <c r="G28" s="111"/>
    </row>
    <row r="29" spans="1:7" ht="12.75" customHeight="1">
      <c r="A29" s="44"/>
      <c r="B29" s="54"/>
      <c r="C29" s="44"/>
      <c r="D29" s="60" t="s">
        <v>30</v>
      </c>
      <c r="E29" s="45" t="s">
        <v>55</v>
      </c>
      <c r="F29" s="94">
        <v>62665.28</v>
      </c>
      <c r="G29" s="112"/>
    </row>
    <row r="30" spans="1:7" ht="12.75" customHeight="1">
      <c r="A30" s="44"/>
      <c r="B30" s="54"/>
      <c r="C30" s="44"/>
      <c r="D30" s="60" t="s">
        <v>30</v>
      </c>
      <c r="E30" s="45" t="s">
        <v>120</v>
      </c>
      <c r="F30" s="94">
        <v>20100.16</v>
      </c>
      <c r="G30" s="112"/>
    </row>
    <row r="31" spans="1:7" ht="12.75" customHeight="1">
      <c r="A31" s="44"/>
      <c r="B31" s="54"/>
      <c r="C31" s="44"/>
      <c r="D31" s="60" t="s">
        <v>30</v>
      </c>
      <c r="E31" s="45" t="s">
        <v>114</v>
      </c>
      <c r="F31" s="94">
        <v>83.33</v>
      </c>
      <c r="G31" s="112"/>
    </row>
    <row r="32" spans="1:7" ht="12.75" customHeight="1">
      <c r="A32" s="44"/>
      <c r="B32" s="54"/>
      <c r="C32" s="44"/>
      <c r="D32" s="60" t="s">
        <v>30</v>
      </c>
      <c r="E32" s="45" t="s">
        <v>218</v>
      </c>
      <c r="F32" s="94">
        <f>18806.1*4.98/100</f>
        <v>936.54378</v>
      </c>
      <c r="G32" s="112"/>
    </row>
    <row r="33" spans="1:7" ht="12.75" customHeight="1">
      <c r="A33" s="44"/>
      <c r="B33" s="54"/>
      <c r="C33" s="44"/>
      <c r="D33" s="44"/>
      <c r="E33" s="44"/>
      <c r="F33" s="95"/>
      <c r="G33" s="111"/>
    </row>
    <row r="34" spans="1:7" s="64" customFormat="1" ht="12.75" customHeight="1">
      <c r="A34" s="62"/>
      <c r="B34" s="57" t="s">
        <v>16</v>
      </c>
      <c r="C34" s="62"/>
      <c r="D34" s="62"/>
      <c r="E34" s="63"/>
      <c r="F34" s="96"/>
      <c r="G34" s="105">
        <f>-(F36+F44+F58+F60+F66+F73+F74+F75+F76)</f>
        <v>-279582.186832</v>
      </c>
    </row>
    <row r="35" spans="1:7" ht="12.75" customHeight="1">
      <c r="A35" s="44"/>
      <c r="B35" s="54"/>
      <c r="C35" s="44" t="s">
        <v>17</v>
      </c>
      <c r="D35" s="44"/>
      <c r="F35" s="95" t="s">
        <v>0</v>
      </c>
      <c r="G35" s="111"/>
    </row>
    <row r="36" spans="1:7" ht="12.75" customHeight="1">
      <c r="A36" s="44"/>
      <c r="B36" s="54"/>
      <c r="D36" s="44" t="s">
        <v>18</v>
      </c>
      <c r="E36" s="65"/>
      <c r="F36" s="97">
        <f>SUM(F37:F43)</f>
        <v>21411.340468000002</v>
      </c>
      <c r="G36" s="111"/>
    </row>
    <row r="37" spans="1:7" ht="12.75" customHeight="1">
      <c r="A37" s="44"/>
      <c r="B37" s="54"/>
      <c r="D37" s="44"/>
      <c r="E37" s="65" t="s">
        <v>99</v>
      </c>
      <c r="F37" s="98">
        <v>58.99</v>
      </c>
      <c r="G37" s="111"/>
    </row>
    <row r="38" spans="1:7" ht="12.75" customHeight="1">
      <c r="A38" s="44"/>
      <c r="B38" s="54"/>
      <c r="D38" s="44"/>
      <c r="E38" s="65" t="s">
        <v>89</v>
      </c>
      <c r="F38" s="98">
        <v>39.52</v>
      </c>
      <c r="G38" s="111"/>
    </row>
    <row r="39" spans="1:7" ht="12.75" customHeight="1">
      <c r="A39" s="44"/>
      <c r="B39" s="54"/>
      <c r="D39" s="44"/>
      <c r="E39" s="65" t="s">
        <v>207</v>
      </c>
      <c r="F39" s="98">
        <v>5000</v>
      </c>
      <c r="G39" s="111"/>
    </row>
    <row r="40" spans="1:7" ht="12.75" customHeight="1">
      <c r="A40" s="44"/>
      <c r="B40" s="54"/>
      <c r="D40" s="44"/>
      <c r="E40" s="66" t="s">
        <v>45</v>
      </c>
      <c r="F40" s="98">
        <v>66.1</v>
      </c>
      <c r="G40" s="111"/>
    </row>
    <row r="41" spans="1:7" ht="12.75" customHeight="1">
      <c r="A41" s="44"/>
      <c r="B41" s="54"/>
      <c r="D41" s="44"/>
      <c r="E41" s="65" t="s">
        <v>59</v>
      </c>
      <c r="F41" s="98">
        <v>15728.16</v>
      </c>
      <c r="G41" s="111"/>
    </row>
    <row r="42" spans="1:7" ht="12.75" customHeight="1">
      <c r="A42" s="44"/>
      <c r="B42" s="54"/>
      <c r="D42" s="44"/>
      <c r="E42" s="65" t="s">
        <v>74</v>
      </c>
      <c r="F42" s="116">
        <v>5</v>
      </c>
      <c r="G42" s="111"/>
    </row>
    <row r="43" spans="1:7" ht="12.75" customHeight="1">
      <c r="A43" s="44"/>
      <c r="B43" s="54"/>
      <c r="D43" s="44"/>
      <c r="E43" s="65" t="s">
        <v>219</v>
      </c>
      <c r="F43" s="99">
        <f>10312.66*4.98/100</f>
        <v>513.570468</v>
      </c>
      <c r="G43" s="111"/>
    </row>
    <row r="44" spans="1:7" ht="12.75" customHeight="1">
      <c r="A44" s="44"/>
      <c r="B44" s="54"/>
      <c r="C44" s="44" t="s">
        <v>19</v>
      </c>
      <c r="D44" s="44"/>
      <c r="E44" s="65"/>
      <c r="F44" s="97">
        <f>SUM(F45:F57)</f>
        <v>195492.732478</v>
      </c>
      <c r="G44" s="111"/>
    </row>
    <row r="45" spans="1:7" ht="12.75" customHeight="1">
      <c r="A45" s="44"/>
      <c r="B45" s="54"/>
      <c r="C45" s="44"/>
      <c r="D45" s="44"/>
      <c r="E45" s="66" t="s">
        <v>47</v>
      </c>
      <c r="F45" s="98">
        <v>1973.94</v>
      </c>
      <c r="G45" s="111"/>
    </row>
    <row r="46" spans="1:7" s="1" customFormat="1" ht="12.75" customHeight="1">
      <c r="A46" s="89"/>
      <c r="B46" s="90"/>
      <c r="C46" s="89"/>
      <c r="D46" s="89"/>
      <c r="E46" s="91" t="s">
        <v>46</v>
      </c>
      <c r="F46" s="100">
        <v>255.23</v>
      </c>
      <c r="G46" s="119"/>
    </row>
    <row r="47" spans="1:7" ht="12.75" customHeight="1">
      <c r="A47" s="44"/>
      <c r="B47" s="54"/>
      <c r="C47" s="44"/>
      <c r="D47" s="44"/>
      <c r="E47" s="66" t="s">
        <v>53</v>
      </c>
      <c r="F47" s="98">
        <v>782.91</v>
      </c>
      <c r="G47" s="111"/>
    </row>
    <row r="48" spans="1:7" ht="12.75" customHeight="1">
      <c r="A48" s="44"/>
      <c r="B48" s="54"/>
      <c r="C48" s="44"/>
      <c r="D48" s="44"/>
      <c r="E48" s="66" t="s">
        <v>208</v>
      </c>
      <c r="F48" s="98">
        <v>7.2</v>
      </c>
      <c r="G48" s="111"/>
    </row>
    <row r="49" spans="1:7" ht="12.75" customHeight="1">
      <c r="A49" s="44"/>
      <c r="B49" s="54"/>
      <c r="C49" s="44"/>
      <c r="D49" s="44"/>
      <c r="E49" s="66" t="s">
        <v>129</v>
      </c>
      <c r="F49" s="98">
        <v>437.61</v>
      </c>
      <c r="G49" s="111"/>
    </row>
    <row r="50" spans="1:7" ht="12.75" customHeight="1">
      <c r="A50" s="44"/>
      <c r="B50" s="54"/>
      <c r="C50" s="44"/>
      <c r="D50" s="44"/>
      <c r="E50" s="66" t="s">
        <v>48</v>
      </c>
      <c r="F50" s="98">
        <v>7.23</v>
      </c>
      <c r="G50" s="111"/>
    </row>
    <row r="51" spans="1:7" ht="12.75" customHeight="1">
      <c r="A51" s="44"/>
      <c r="B51" s="54"/>
      <c r="C51" s="44"/>
      <c r="D51" s="44"/>
      <c r="E51" s="66" t="s">
        <v>156</v>
      </c>
      <c r="F51" s="98">
        <v>142.95</v>
      </c>
      <c r="G51" s="111"/>
    </row>
    <row r="52" spans="1:7" ht="12.75" customHeight="1">
      <c r="A52" s="44"/>
      <c r="B52" s="54"/>
      <c r="C52" s="44"/>
      <c r="D52" s="44"/>
      <c r="E52" s="66" t="s">
        <v>168</v>
      </c>
      <c r="F52" s="98">
        <v>1446.08</v>
      </c>
      <c r="G52" s="111"/>
    </row>
    <row r="53" spans="1:7" ht="12.75" customHeight="1">
      <c r="A53" s="44"/>
      <c r="B53" s="54"/>
      <c r="C53" s="44"/>
      <c r="D53" s="44"/>
      <c r="E53" s="66" t="s">
        <v>209</v>
      </c>
      <c r="F53" s="98">
        <v>90563.19</v>
      </c>
      <c r="G53" s="111"/>
    </row>
    <row r="54" spans="1:7" ht="12.75" customHeight="1">
      <c r="A54" s="44"/>
      <c r="B54" s="54"/>
      <c r="C54" s="44"/>
      <c r="D54" s="44"/>
      <c r="E54" s="66" t="s">
        <v>210</v>
      </c>
      <c r="F54" s="98">
        <v>65838.66</v>
      </c>
      <c r="G54" s="111"/>
    </row>
    <row r="55" spans="1:7" ht="12.75" customHeight="1">
      <c r="A55" s="44"/>
      <c r="B55" s="54"/>
      <c r="C55" s="44"/>
      <c r="D55" s="44"/>
      <c r="E55" s="66" t="s">
        <v>144</v>
      </c>
      <c r="F55" s="98">
        <v>15996.28</v>
      </c>
      <c r="G55" s="111"/>
    </row>
    <row r="56" spans="1:7" ht="12.75" customHeight="1">
      <c r="A56" s="44"/>
      <c r="B56" s="54"/>
      <c r="C56" s="44"/>
      <c r="D56" s="44"/>
      <c r="E56" s="66" t="s">
        <v>211</v>
      </c>
      <c r="F56" s="98">
        <v>1167.72</v>
      </c>
      <c r="G56" s="111"/>
    </row>
    <row r="57" spans="1:7" ht="12.75" customHeight="1">
      <c r="A57" s="44"/>
      <c r="B57" s="54"/>
      <c r="C57" s="44"/>
      <c r="D57" s="44"/>
      <c r="E57" s="66" t="s">
        <v>219</v>
      </c>
      <c r="F57" s="98">
        <f>340665.11*4.98/100-91.39</f>
        <v>16873.732478</v>
      </c>
      <c r="G57" s="111"/>
    </row>
    <row r="58" spans="1:7" ht="12.75" customHeight="1">
      <c r="A58" s="44"/>
      <c r="B58" s="54"/>
      <c r="C58" s="44" t="s">
        <v>20</v>
      </c>
      <c r="D58" s="44"/>
      <c r="E58" s="65"/>
      <c r="F58" s="93">
        <f>SUM(F59)</f>
        <v>269.927454</v>
      </c>
      <c r="G58" s="111"/>
    </row>
    <row r="59" spans="1:7" ht="12.75" customHeight="1">
      <c r="A59" s="44"/>
      <c r="B59" s="54"/>
      <c r="C59" s="44"/>
      <c r="D59" s="44"/>
      <c r="E59" s="65" t="s">
        <v>219</v>
      </c>
      <c r="F59" s="102">
        <f>5420.23*4.98/100</f>
        <v>269.927454</v>
      </c>
      <c r="G59" s="111"/>
    </row>
    <row r="60" spans="1:7" ht="12.75" customHeight="1">
      <c r="A60" s="44"/>
      <c r="B60" s="54"/>
      <c r="C60" s="44" t="s">
        <v>21</v>
      </c>
      <c r="D60" s="44"/>
      <c r="E60" s="65"/>
      <c r="F60" s="97">
        <f>SUM(F61:F65)</f>
        <v>52835.144774</v>
      </c>
      <c r="G60" s="111"/>
    </row>
    <row r="61" spans="1:7" ht="12.75" customHeight="1">
      <c r="A61" s="44"/>
      <c r="B61" s="54"/>
      <c r="D61" s="67" t="s">
        <v>22</v>
      </c>
      <c r="E61" s="68"/>
      <c r="F61" s="98">
        <f>32137.2+(252968.7*4.98/100)-18.14</f>
        <v>44716.90126</v>
      </c>
      <c r="G61" s="111"/>
    </row>
    <row r="62" spans="1:7" ht="12.75" customHeight="1">
      <c r="A62" s="44"/>
      <c r="B62" s="54"/>
      <c r="D62" s="67" t="s">
        <v>23</v>
      </c>
      <c r="E62" s="68"/>
      <c r="F62" s="98">
        <f>4627.89+294.94</f>
        <v>4922.83</v>
      </c>
      <c r="G62" s="111"/>
    </row>
    <row r="63" spans="1:7" ht="12.75" customHeight="1">
      <c r="A63" s="44"/>
      <c r="B63" s="54"/>
      <c r="D63" s="67" t="s">
        <v>24</v>
      </c>
      <c r="E63" s="68"/>
      <c r="F63" s="98">
        <f>(44020.19*4.98/100)+(20144.74*4.98/100)</f>
        <v>3195.4135140000008</v>
      </c>
      <c r="G63" s="111"/>
    </row>
    <row r="64" spans="1:7" ht="12.75" customHeight="1">
      <c r="A64" s="44"/>
      <c r="B64" s="54"/>
      <c r="D64" s="67" t="s">
        <v>25</v>
      </c>
      <c r="E64" s="68"/>
      <c r="F64" s="98">
        <v>0</v>
      </c>
      <c r="G64" s="111"/>
    </row>
    <row r="65" spans="1:7" ht="12.75" customHeight="1">
      <c r="A65" s="44"/>
      <c r="B65" s="54"/>
      <c r="D65" s="67" t="s">
        <v>137</v>
      </c>
      <c r="E65" s="68"/>
      <c r="F65" s="98">
        <v>0</v>
      </c>
      <c r="G65" s="111"/>
    </row>
    <row r="66" spans="1:7" ht="12.75" customHeight="1">
      <c r="A66" s="44"/>
      <c r="B66" s="54"/>
      <c r="C66" s="44" t="s">
        <v>27</v>
      </c>
      <c r="D66" s="44"/>
      <c r="E66" s="65"/>
      <c r="F66" s="97">
        <f>SUM(F67:F71)</f>
        <v>8917.042722</v>
      </c>
      <c r="G66" s="111"/>
    </row>
    <row r="67" spans="1:7" ht="12.75" customHeight="1">
      <c r="A67" s="44"/>
      <c r="B67" s="54"/>
      <c r="C67" s="44"/>
      <c r="D67" s="67" t="s">
        <v>28</v>
      </c>
      <c r="E67" s="68"/>
      <c r="F67" s="98">
        <f>2090.44*4.98/100</f>
        <v>104.10391200000002</v>
      </c>
      <c r="G67" s="111"/>
    </row>
    <row r="68" spans="1:7" ht="12.75" customHeight="1">
      <c r="A68" s="44"/>
      <c r="B68" s="54"/>
      <c r="D68" s="67" t="s">
        <v>29</v>
      </c>
      <c r="E68" s="69"/>
      <c r="F68" s="98">
        <f>8747.28+(512.4*4.98/100)</f>
        <v>8772.79752</v>
      </c>
      <c r="G68" s="111"/>
    </row>
    <row r="69" spans="1:7" ht="12.75" customHeight="1">
      <c r="A69" s="44"/>
      <c r="B69" s="54"/>
      <c r="D69" s="67" t="s">
        <v>31</v>
      </c>
      <c r="E69" s="68"/>
      <c r="F69" s="98">
        <v>0</v>
      </c>
      <c r="G69" s="111"/>
    </row>
    <row r="70" spans="1:7" ht="12.75" customHeight="1">
      <c r="A70" s="44"/>
      <c r="B70" s="54"/>
      <c r="D70" s="67" t="s">
        <v>32</v>
      </c>
      <c r="E70" s="68"/>
      <c r="F70" s="98"/>
      <c r="G70" s="111"/>
    </row>
    <row r="71" spans="1:7" ht="12.75" customHeight="1">
      <c r="A71" s="44"/>
      <c r="B71" s="54"/>
      <c r="D71" s="67"/>
      <c r="E71" s="69" t="s">
        <v>33</v>
      </c>
      <c r="F71" s="98">
        <f>806.05*4.98/100</f>
        <v>40.14129</v>
      </c>
      <c r="G71" s="111"/>
    </row>
    <row r="72" spans="1:7" ht="12.75" customHeight="1">
      <c r="A72" s="44"/>
      <c r="B72" s="54"/>
      <c r="C72" s="44" t="s">
        <v>34</v>
      </c>
      <c r="D72" s="44"/>
      <c r="E72" s="65"/>
      <c r="F72" s="95"/>
      <c r="G72" s="111"/>
    </row>
    <row r="73" spans="1:7" ht="12.75" customHeight="1">
      <c r="A73" s="44"/>
      <c r="B73" s="54"/>
      <c r="D73" s="44"/>
      <c r="E73" s="70" t="s">
        <v>35</v>
      </c>
      <c r="F73" s="95">
        <v>0</v>
      </c>
      <c r="G73" s="111"/>
    </row>
    <row r="74" spans="1:7" ht="12.75" customHeight="1">
      <c r="A74" s="44"/>
      <c r="B74" s="54"/>
      <c r="C74" s="44" t="s">
        <v>36</v>
      </c>
      <c r="D74" s="44"/>
      <c r="E74" s="65"/>
      <c r="F74" s="95">
        <v>0</v>
      </c>
      <c r="G74" s="111"/>
    </row>
    <row r="75" spans="1:7" ht="12.75" customHeight="1">
      <c r="A75" s="44"/>
      <c r="B75" s="54"/>
      <c r="C75" s="44" t="s">
        <v>37</v>
      </c>
      <c r="D75" s="44"/>
      <c r="E75" s="65"/>
      <c r="F75" s="95">
        <v>0</v>
      </c>
      <c r="G75" s="111"/>
    </row>
    <row r="76" spans="1:7" ht="12.75" customHeight="1">
      <c r="A76" s="44"/>
      <c r="B76" s="54"/>
      <c r="C76" s="44" t="s">
        <v>38</v>
      </c>
      <c r="D76" s="44"/>
      <c r="E76" s="65"/>
      <c r="F76" s="95">
        <f>SUM(F77:F80)</f>
        <v>655.998936</v>
      </c>
      <c r="G76" s="111"/>
    </row>
    <row r="77" spans="1:7" ht="12.75" customHeight="1">
      <c r="A77" s="44"/>
      <c r="B77" s="54"/>
      <c r="C77" s="44"/>
      <c r="D77" s="44"/>
      <c r="E77" s="66" t="s">
        <v>64</v>
      </c>
      <c r="F77" s="103">
        <v>367.89</v>
      </c>
      <c r="G77" s="111"/>
    </row>
    <row r="78" spans="1:7" ht="13.5" customHeight="1">
      <c r="A78" s="44"/>
      <c r="B78" s="54"/>
      <c r="C78" s="44"/>
      <c r="D78" s="44" t="s">
        <v>0</v>
      </c>
      <c r="E78" s="66" t="s">
        <v>58</v>
      </c>
      <c r="F78" s="98">
        <v>0</v>
      </c>
      <c r="G78" s="111"/>
    </row>
    <row r="79" spans="1:7" ht="12.75" customHeight="1">
      <c r="A79" s="44"/>
      <c r="B79" s="54"/>
      <c r="C79" s="44"/>
      <c r="D79" s="44"/>
      <c r="E79" s="71" t="s">
        <v>135</v>
      </c>
      <c r="F79" s="98">
        <v>0</v>
      </c>
      <c r="G79" s="111"/>
    </row>
    <row r="80" spans="1:7" ht="12.75" customHeight="1">
      <c r="A80" s="44"/>
      <c r="B80" s="54"/>
      <c r="C80" s="44"/>
      <c r="D80" s="44"/>
      <c r="E80" s="66" t="s">
        <v>219</v>
      </c>
      <c r="F80" s="102">
        <f>5785.32*4.98/100</f>
        <v>288.10893599999997</v>
      </c>
      <c r="G80" s="111"/>
    </row>
    <row r="81" spans="1:7" ht="12.75" customHeight="1">
      <c r="A81" s="44"/>
      <c r="B81" s="54"/>
      <c r="C81" s="44"/>
      <c r="D81" s="44"/>
      <c r="E81" s="70"/>
      <c r="F81" s="95" t="s">
        <v>0</v>
      </c>
      <c r="G81" s="111"/>
    </row>
    <row r="82" spans="1:7" ht="12.75" customHeight="1">
      <c r="A82" s="72"/>
      <c r="B82" s="57" t="s">
        <v>39</v>
      </c>
      <c r="C82" s="73"/>
      <c r="D82" s="73"/>
      <c r="E82" s="66"/>
      <c r="F82" s="95" t="s">
        <v>0</v>
      </c>
      <c r="G82" s="106">
        <f>G19+G34</f>
        <v>4794.146948000009</v>
      </c>
    </row>
    <row r="83" spans="1:7" ht="12.75" customHeight="1">
      <c r="A83" s="44"/>
      <c r="B83" s="74" t="s">
        <v>40</v>
      </c>
      <c r="C83" s="44"/>
      <c r="D83" s="44"/>
      <c r="E83" s="70"/>
      <c r="F83" s="95" t="s">
        <v>0</v>
      </c>
      <c r="G83" s="113"/>
    </row>
    <row r="84" spans="2:7" ht="12" customHeight="1">
      <c r="B84" s="76"/>
      <c r="E84" s="65"/>
      <c r="F84" s="95" t="s">
        <v>0</v>
      </c>
      <c r="G84" s="113"/>
    </row>
    <row r="85" spans="2:7" ht="12" customHeight="1">
      <c r="B85" s="57" t="s">
        <v>81</v>
      </c>
      <c r="C85" s="62"/>
      <c r="D85" s="62"/>
      <c r="E85" s="77"/>
      <c r="F85" s="96"/>
      <c r="G85" s="107">
        <f>SUM(F87:F89)</f>
        <v>-1292.3722220000002</v>
      </c>
    </row>
    <row r="86" spans="2:7" ht="12">
      <c r="B86" s="76"/>
      <c r="E86" s="65"/>
      <c r="F86" s="95"/>
      <c r="G86" s="113"/>
    </row>
    <row r="87" spans="2:7" ht="12">
      <c r="B87" s="54"/>
      <c r="C87" s="44" t="s">
        <v>78</v>
      </c>
      <c r="D87" s="44"/>
      <c r="E87" s="65"/>
      <c r="F87" s="93">
        <v>0</v>
      </c>
      <c r="G87" s="113"/>
    </row>
    <row r="88" spans="2:7" ht="12">
      <c r="B88" s="76"/>
      <c r="C88" s="44" t="s">
        <v>79</v>
      </c>
      <c r="E88" s="65"/>
      <c r="F88" s="95">
        <f>-27786.39*4.98/100</f>
        <v>-1383.7622220000003</v>
      </c>
      <c r="G88" s="113"/>
    </row>
    <row r="89" spans="2:7" ht="12">
      <c r="B89" s="76"/>
      <c r="C89" s="44" t="s">
        <v>80</v>
      </c>
      <c r="E89" s="65"/>
      <c r="F89" s="95">
        <v>91.39</v>
      </c>
      <c r="G89" s="113"/>
    </row>
    <row r="90" spans="2:7" ht="12">
      <c r="B90" s="76"/>
      <c r="E90" s="65"/>
      <c r="F90" s="95"/>
      <c r="G90" s="113"/>
    </row>
    <row r="91" spans="2:7" ht="12">
      <c r="B91" s="57" t="s">
        <v>82</v>
      </c>
      <c r="C91" s="62"/>
      <c r="D91" s="62"/>
      <c r="E91" s="77"/>
      <c r="F91" s="96">
        <v>0</v>
      </c>
      <c r="G91" s="107">
        <v>0</v>
      </c>
    </row>
    <row r="92" spans="2:7" ht="12">
      <c r="B92" s="76"/>
      <c r="E92" s="65"/>
      <c r="F92" s="95"/>
      <c r="G92" s="113"/>
    </row>
    <row r="93" spans="2:7" ht="12">
      <c r="B93" s="57" t="s">
        <v>77</v>
      </c>
      <c r="C93" s="62"/>
      <c r="D93" s="62"/>
      <c r="E93" s="77"/>
      <c r="F93" s="96"/>
      <c r="G93" s="107">
        <f>SUM(F95:F96)</f>
        <v>2065.3534940000004</v>
      </c>
    </row>
    <row r="94" spans="2:7" ht="12">
      <c r="B94" s="76"/>
      <c r="E94" s="65"/>
      <c r="F94" s="95"/>
      <c r="G94" s="113"/>
    </row>
    <row r="95" spans="2:7" ht="12">
      <c r="B95" s="76"/>
      <c r="C95" s="44" t="s">
        <v>83</v>
      </c>
      <c r="E95" s="65"/>
      <c r="F95" s="95">
        <v>-306.89</v>
      </c>
      <c r="G95" s="113"/>
    </row>
    <row r="96" spans="2:7" ht="12">
      <c r="B96" s="76"/>
      <c r="C96" s="44" t="s">
        <v>84</v>
      </c>
      <c r="E96" s="65"/>
      <c r="F96" s="95">
        <f>1585.9+(15790.03*4.98/100)</f>
        <v>2372.2434940000003</v>
      </c>
      <c r="G96" s="113"/>
    </row>
    <row r="97" spans="2:7" ht="12">
      <c r="B97" s="76"/>
      <c r="E97" s="65"/>
      <c r="F97" s="95"/>
      <c r="G97" s="113"/>
    </row>
    <row r="98" spans="2:7" ht="12">
      <c r="B98" s="79" t="s">
        <v>85</v>
      </c>
      <c r="C98" s="63"/>
      <c r="D98" s="63"/>
      <c r="E98" s="77"/>
      <c r="F98" s="95">
        <f>109997.32*4.98/100</f>
        <v>5477.866536</v>
      </c>
      <c r="G98" s="107">
        <f>F98</f>
        <v>5477.866536</v>
      </c>
    </row>
    <row r="99" spans="2:7" ht="12">
      <c r="B99" s="76"/>
      <c r="E99" s="65"/>
      <c r="F99" s="95"/>
      <c r="G99" s="113"/>
    </row>
    <row r="100" spans="2:7" ht="12.75">
      <c r="B100" s="57"/>
      <c r="E100" s="80" t="s">
        <v>86</v>
      </c>
      <c r="F100" s="95"/>
      <c r="G100" s="108">
        <f>G82-G85-G91-G93-G98</f>
        <v>-1456.7008599999922</v>
      </c>
    </row>
    <row r="101" spans="2:7" ht="12">
      <c r="B101" s="81"/>
      <c r="C101" s="82"/>
      <c r="D101" s="82"/>
      <c r="E101" s="83"/>
      <c r="F101" s="114"/>
      <c r="G101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58">
      <selection activeCell="F71" sqref="F71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105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125702.63762000001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125112.08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123</v>
      </c>
      <c r="F21" s="94">
        <v>125112.08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SUM(F28:F29)</f>
        <v>590.5576199999999</v>
      </c>
      <c r="G27" s="111"/>
    </row>
    <row r="28" spans="1:7" ht="12.75" customHeight="1">
      <c r="A28" s="44"/>
      <c r="B28" s="54"/>
      <c r="C28" s="44"/>
      <c r="D28" s="60" t="s">
        <v>30</v>
      </c>
      <c r="E28" s="45" t="s">
        <v>56</v>
      </c>
      <c r="F28" s="94">
        <v>135.45</v>
      </c>
      <c r="G28" s="112"/>
    </row>
    <row r="29" spans="1:7" ht="12.75" customHeight="1">
      <c r="A29" s="44"/>
      <c r="B29" s="54"/>
      <c r="C29" s="44"/>
      <c r="D29" s="60" t="s">
        <v>30</v>
      </c>
      <c r="E29" s="45" t="s">
        <v>218</v>
      </c>
      <c r="F29" s="94">
        <f>18806.1*2.42/100</f>
        <v>455.10761999999994</v>
      </c>
      <c r="G29" s="112"/>
    </row>
    <row r="30" spans="1:7" ht="12.75" customHeight="1">
      <c r="A30" s="44"/>
      <c r="B30" s="54"/>
      <c r="C30" s="44"/>
      <c r="D30" s="44"/>
      <c r="E30" s="44"/>
      <c r="F30" s="95"/>
      <c r="G30" s="111"/>
    </row>
    <row r="31" spans="1:7" s="64" customFormat="1" ht="12.75" customHeight="1">
      <c r="A31" s="62"/>
      <c r="B31" s="57" t="s">
        <v>16</v>
      </c>
      <c r="C31" s="62"/>
      <c r="D31" s="62"/>
      <c r="E31" s="63"/>
      <c r="F31" s="96"/>
      <c r="G31" s="105">
        <f>-(F33+F35+F42+F44+F50+F57+F58+F59+F60)</f>
        <v>-123563.44532800002</v>
      </c>
    </row>
    <row r="32" spans="1:7" ht="12.75" customHeight="1">
      <c r="A32" s="44"/>
      <c r="B32" s="54"/>
      <c r="C32" s="44" t="s">
        <v>17</v>
      </c>
      <c r="D32" s="44"/>
      <c r="F32" s="95" t="s">
        <v>0</v>
      </c>
      <c r="G32" s="111"/>
    </row>
    <row r="33" spans="1:7" ht="12.75" customHeight="1">
      <c r="A33" s="44"/>
      <c r="B33" s="54"/>
      <c r="D33" s="44" t="s">
        <v>18</v>
      </c>
      <c r="E33" s="65"/>
      <c r="F33" s="97">
        <f>SUM(F34:F34)</f>
        <v>249.56637199999997</v>
      </c>
      <c r="G33" s="111"/>
    </row>
    <row r="34" spans="1:7" ht="12.75" customHeight="1">
      <c r="A34" s="44"/>
      <c r="B34" s="54"/>
      <c r="D34" s="44"/>
      <c r="E34" s="65" t="s">
        <v>219</v>
      </c>
      <c r="F34" s="99">
        <f>10312.66*2.42/100</f>
        <v>249.56637199999997</v>
      </c>
      <c r="G34" s="111"/>
    </row>
    <row r="35" spans="1:7" ht="12.75" customHeight="1">
      <c r="A35" s="44"/>
      <c r="B35" s="54"/>
      <c r="C35" s="44" t="s">
        <v>19</v>
      </c>
      <c r="D35" s="44"/>
      <c r="E35" s="65"/>
      <c r="F35" s="97">
        <f>SUM(F36:F41)</f>
        <v>59410.33566200001</v>
      </c>
      <c r="G35" s="111"/>
    </row>
    <row r="36" spans="1:7" ht="12.75" customHeight="1">
      <c r="A36" s="44"/>
      <c r="B36" s="54"/>
      <c r="C36" s="44"/>
      <c r="D36" s="44"/>
      <c r="E36" s="65" t="s">
        <v>212</v>
      </c>
      <c r="F36" s="97">
        <v>738</v>
      </c>
      <c r="G36" s="111"/>
    </row>
    <row r="37" spans="1:7" ht="12.75" customHeight="1">
      <c r="A37" s="44"/>
      <c r="B37" s="54"/>
      <c r="C37" s="44"/>
      <c r="D37" s="44"/>
      <c r="E37" s="65" t="s">
        <v>224</v>
      </c>
      <c r="F37" s="97">
        <v>5.68</v>
      </c>
      <c r="G37" s="111"/>
    </row>
    <row r="38" spans="1:7" ht="12.75" customHeight="1">
      <c r="A38" s="44"/>
      <c r="B38" s="54"/>
      <c r="C38" s="44"/>
      <c r="D38" s="44"/>
      <c r="E38" s="66" t="s">
        <v>121</v>
      </c>
      <c r="F38" s="97">
        <v>513.3</v>
      </c>
      <c r="G38" s="111"/>
    </row>
    <row r="39" spans="1:7" ht="12.75" customHeight="1">
      <c r="A39" s="44"/>
      <c r="B39" s="54"/>
      <c r="C39" s="44"/>
      <c r="D39" s="44"/>
      <c r="E39" s="65" t="s">
        <v>203</v>
      </c>
      <c r="F39" s="97">
        <v>45690.4</v>
      </c>
      <c r="G39" s="111"/>
    </row>
    <row r="40" spans="1:7" ht="12.75" customHeight="1">
      <c r="A40" s="44"/>
      <c r="B40" s="54"/>
      <c r="C40" s="44"/>
      <c r="D40" s="44"/>
      <c r="E40" s="66" t="s">
        <v>211</v>
      </c>
      <c r="F40" s="98">
        <v>4263.27</v>
      </c>
      <c r="G40" s="111"/>
    </row>
    <row r="41" spans="1:7" ht="12.75" customHeight="1">
      <c r="A41" s="44"/>
      <c r="B41" s="54"/>
      <c r="C41" s="44"/>
      <c r="D41" s="44"/>
      <c r="E41" s="66" t="s">
        <v>220</v>
      </c>
      <c r="F41" s="98">
        <f>340665.11*2.42/100-44.41</f>
        <v>8199.685662</v>
      </c>
      <c r="G41" s="111"/>
    </row>
    <row r="42" spans="1:7" ht="12.75" customHeight="1">
      <c r="A42" s="44"/>
      <c r="B42" s="54"/>
      <c r="C42" s="44" t="s">
        <v>20</v>
      </c>
      <c r="D42" s="44"/>
      <c r="E42" s="65"/>
      <c r="F42" s="93">
        <f>SUM(F43)</f>
        <v>131.16956599999997</v>
      </c>
      <c r="G42" s="111"/>
    </row>
    <row r="43" spans="1:7" ht="12.75" customHeight="1">
      <c r="A43" s="44"/>
      <c r="B43" s="54"/>
      <c r="C43" s="44"/>
      <c r="D43" s="44"/>
      <c r="E43" s="65" t="s">
        <v>219</v>
      </c>
      <c r="F43" s="102">
        <f>5420.23*2.42/100</f>
        <v>131.16956599999997</v>
      </c>
      <c r="G43" s="111"/>
    </row>
    <row r="44" spans="1:7" ht="12.75" customHeight="1">
      <c r="A44" s="44"/>
      <c r="B44" s="54"/>
      <c r="C44" s="44" t="s">
        <v>21</v>
      </c>
      <c r="D44" s="44"/>
      <c r="E44" s="65"/>
      <c r="F44" s="97">
        <f>SUM(F45:F49)</f>
        <v>63549.873846</v>
      </c>
      <c r="G44" s="111"/>
    </row>
    <row r="45" spans="1:7" ht="12.75" customHeight="1">
      <c r="A45" s="44"/>
      <c r="B45" s="54"/>
      <c r="D45" s="67" t="s">
        <v>22</v>
      </c>
      <c r="E45" s="68"/>
      <c r="F45" s="98">
        <f>(38275.96+477.43+3853.02)+(252968.7*2.42/100)-6.1-5.65</f>
        <v>48716.502539999994</v>
      </c>
      <c r="G45" s="111"/>
    </row>
    <row r="46" spans="1:7" ht="12.75" customHeight="1">
      <c r="A46" s="44"/>
      <c r="B46" s="54"/>
      <c r="D46" s="67" t="s">
        <v>23</v>
      </c>
      <c r="E46" s="68"/>
      <c r="F46" s="98">
        <f>(8914.55+743.23+118.45+955.94)+(44020.19*2.42/100)</f>
        <v>11797.458598000001</v>
      </c>
      <c r="G46" s="111"/>
    </row>
    <row r="47" spans="1:7" ht="12.75" customHeight="1">
      <c r="A47" s="44"/>
      <c r="B47" s="54"/>
      <c r="D47" s="67" t="s">
        <v>24</v>
      </c>
      <c r="E47" s="68"/>
      <c r="F47" s="98">
        <f>2548.41+(20144.74*2.42/100)</f>
        <v>3035.912708</v>
      </c>
      <c r="G47" s="111"/>
    </row>
    <row r="48" spans="1:7" ht="12.75" customHeight="1">
      <c r="A48" s="44"/>
      <c r="B48" s="54"/>
      <c r="D48" s="67" t="s">
        <v>25</v>
      </c>
      <c r="E48" s="68"/>
      <c r="F48" s="98">
        <v>0</v>
      </c>
      <c r="G48" s="111"/>
    </row>
    <row r="49" spans="1:7" ht="12.75" customHeight="1">
      <c r="A49" s="44"/>
      <c r="B49" s="54"/>
      <c r="D49" s="67" t="s">
        <v>137</v>
      </c>
      <c r="E49" s="68"/>
      <c r="F49" s="98">
        <v>0</v>
      </c>
      <c r="G49" s="111"/>
    </row>
    <row r="50" spans="1:7" ht="12.75" customHeight="1">
      <c r="A50" s="44"/>
      <c r="B50" s="54"/>
      <c r="C50" s="44" t="s">
        <v>27</v>
      </c>
      <c r="D50" s="44"/>
      <c r="E50" s="65"/>
      <c r="F50" s="97">
        <f>SUM(F51:F55)</f>
        <v>82.495138</v>
      </c>
      <c r="G50" s="111"/>
    </row>
    <row r="51" spans="1:7" ht="12.75" customHeight="1">
      <c r="A51" s="44"/>
      <c r="B51" s="54"/>
      <c r="C51" s="44"/>
      <c r="D51" s="67" t="s">
        <v>28</v>
      </c>
      <c r="E51" s="68"/>
      <c r="F51" s="98">
        <f>2090.44*2.42/100</f>
        <v>50.588648000000006</v>
      </c>
      <c r="G51" s="111"/>
    </row>
    <row r="52" spans="1:7" ht="12.75" customHeight="1">
      <c r="A52" s="44"/>
      <c r="B52" s="54"/>
      <c r="D52" s="67" t="s">
        <v>29</v>
      </c>
      <c r="E52" s="69"/>
      <c r="F52" s="98">
        <f>512.4*2.42/100</f>
        <v>12.400079999999997</v>
      </c>
      <c r="G52" s="111"/>
    </row>
    <row r="53" spans="1:7" ht="12.75" customHeight="1">
      <c r="A53" s="44"/>
      <c r="B53" s="54"/>
      <c r="D53" s="67" t="s">
        <v>31</v>
      </c>
      <c r="E53" s="68"/>
      <c r="F53" s="98">
        <v>0</v>
      </c>
      <c r="G53" s="111"/>
    </row>
    <row r="54" spans="1:7" ht="12.75" customHeight="1">
      <c r="A54" s="44"/>
      <c r="B54" s="54"/>
      <c r="D54" s="67" t="s">
        <v>32</v>
      </c>
      <c r="E54" s="68"/>
      <c r="F54" s="98"/>
      <c r="G54" s="111"/>
    </row>
    <row r="55" spans="1:7" ht="12.75" customHeight="1">
      <c r="A55" s="44"/>
      <c r="B55" s="54"/>
      <c r="D55" s="67"/>
      <c r="E55" s="69" t="s">
        <v>33</v>
      </c>
      <c r="F55" s="98">
        <f>806.05*2.42/100</f>
        <v>19.50641</v>
      </c>
      <c r="G55" s="111"/>
    </row>
    <row r="56" spans="1:7" ht="12.75" customHeight="1">
      <c r="A56" s="44"/>
      <c r="B56" s="54"/>
      <c r="C56" s="44" t="s">
        <v>34</v>
      </c>
      <c r="D56" s="44"/>
      <c r="E56" s="65"/>
      <c r="F56" s="95"/>
      <c r="G56" s="111"/>
    </row>
    <row r="57" spans="1:7" ht="12.75" customHeight="1">
      <c r="A57" s="44"/>
      <c r="B57" s="54"/>
      <c r="D57" s="44"/>
      <c r="E57" s="70" t="s">
        <v>35</v>
      </c>
      <c r="F57" s="95">
        <v>0</v>
      </c>
      <c r="G57" s="111"/>
    </row>
    <row r="58" spans="1:7" ht="12.75" customHeight="1">
      <c r="A58" s="44"/>
      <c r="B58" s="54"/>
      <c r="C58" s="44" t="s">
        <v>36</v>
      </c>
      <c r="D58" s="44"/>
      <c r="E58" s="65"/>
      <c r="F58" s="95">
        <v>0</v>
      </c>
      <c r="G58" s="111"/>
    </row>
    <row r="59" spans="1:7" ht="12.75" customHeight="1">
      <c r="A59" s="44"/>
      <c r="B59" s="54"/>
      <c r="C59" s="44" t="s">
        <v>37</v>
      </c>
      <c r="D59" s="44"/>
      <c r="E59" s="65"/>
      <c r="F59" s="95">
        <v>0</v>
      </c>
      <c r="G59" s="111"/>
    </row>
    <row r="60" spans="1:7" ht="12.75" customHeight="1">
      <c r="A60" s="44"/>
      <c r="B60" s="54"/>
      <c r="C60" s="44" t="s">
        <v>38</v>
      </c>
      <c r="D60" s="44"/>
      <c r="E60" s="65"/>
      <c r="F60" s="95">
        <f>SUM(F61:F61)</f>
        <v>140.004744</v>
      </c>
      <c r="G60" s="111"/>
    </row>
    <row r="61" spans="1:7" ht="12.75" customHeight="1">
      <c r="A61" s="44"/>
      <c r="B61" s="54"/>
      <c r="C61" s="44"/>
      <c r="D61" s="44"/>
      <c r="E61" s="66" t="s">
        <v>220</v>
      </c>
      <c r="F61" s="102">
        <f>5785.32*2.42/100</f>
        <v>140.004744</v>
      </c>
      <c r="G61" s="111"/>
    </row>
    <row r="62" spans="1:7" ht="12.75" customHeight="1">
      <c r="A62" s="44"/>
      <c r="B62" s="54"/>
      <c r="C62" s="44"/>
      <c r="D62" s="44"/>
      <c r="E62" s="70"/>
      <c r="F62" s="95" t="s">
        <v>0</v>
      </c>
      <c r="G62" s="111"/>
    </row>
    <row r="63" spans="1:7" ht="12.75" customHeight="1">
      <c r="A63" s="72"/>
      <c r="B63" s="57" t="s">
        <v>39</v>
      </c>
      <c r="C63" s="73"/>
      <c r="D63" s="73"/>
      <c r="E63" s="66"/>
      <c r="F63" s="95" t="s">
        <v>0</v>
      </c>
      <c r="G63" s="106">
        <f>G19+G31</f>
        <v>2139.1922919999924</v>
      </c>
    </row>
    <row r="64" spans="1:7" ht="12.75" customHeight="1">
      <c r="A64" s="44"/>
      <c r="B64" s="74" t="s">
        <v>40</v>
      </c>
      <c r="C64" s="44"/>
      <c r="D64" s="44"/>
      <c r="E64" s="70"/>
      <c r="F64" s="95" t="s">
        <v>0</v>
      </c>
      <c r="G64" s="113"/>
    </row>
    <row r="65" spans="2:7" ht="12" customHeight="1">
      <c r="B65" s="76"/>
      <c r="E65" s="65"/>
      <c r="F65" s="95" t="s">
        <v>0</v>
      </c>
      <c r="G65" s="113"/>
    </row>
    <row r="66" spans="2:7" ht="12" customHeight="1">
      <c r="B66" s="57" t="s">
        <v>81</v>
      </c>
      <c r="C66" s="62"/>
      <c r="D66" s="62"/>
      <c r="E66" s="77"/>
      <c r="F66" s="96"/>
      <c r="G66" s="107">
        <f>SUM(F68:F70)</f>
        <v>-622.370638</v>
      </c>
    </row>
    <row r="67" spans="2:7" ht="12">
      <c r="B67" s="76"/>
      <c r="E67" s="65"/>
      <c r="F67" s="95"/>
      <c r="G67" s="113"/>
    </row>
    <row r="68" spans="2:7" ht="12">
      <c r="B68" s="54"/>
      <c r="C68" s="44" t="s">
        <v>78</v>
      </c>
      <c r="D68" s="44"/>
      <c r="E68" s="65"/>
      <c r="F68" s="93">
        <v>0</v>
      </c>
      <c r="G68" s="113"/>
    </row>
    <row r="69" spans="2:7" ht="12">
      <c r="B69" s="76"/>
      <c r="C69" s="44" t="s">
        <v>79</v>
      </c>
      <c r="E69" s="65"/>
      <c r="F69" s="95">
        <f>-27786.39*2.42/100-0.03</f>
        <v>-672.460638</v>
      </c>
      <c r="G69" s="113"/>
    </row>
    <row r="70" spans="2:7" ht="12">
      <c r="B70" s="76"/>
      <c r="C70" s="44" t="s">
        <v>80</v>
      </c>
      <c r="E70" s="65"/>
      <c r="F70" s="95">
        <f>5.68+44.41</f>
        <v>50.089999999999996</v>
      </c>
      <c r="G70" s="113"/>
    </row>
    <row r="71" spans="2:7" ht="12">
      <c r="B71" s="76"/>
      <c r="E71" s="65"/>
      <c r="F71" s="95"/>
      <c r="G71" s="113"/>
    </row>
    <row r="72" spans="2:7" ht="12">
      <c r="B72" s="57" t="s">
        <v>82</v>
      </c>
      <c r="C72" s="62"/>
      <c r="D72" s="62"/>
      <c r="E72" s="77"/>
      <c r="F72" s="96">
        <v>0</v>
      </c>
      <c r="G72" s="107">
        <v>0</v>
      </c>
    </row>
    <row r="73" spans="2:7" ht="12">
      <c r="B73" s="76"/>
      <c r="E73" s="65"/>
      <c r="F73" s="95"/>
      <c r="G73" s="113"/>
    </row>
    <row r="74" spans="2:7" ht="12">
      <c r="B74" s="57" t="s">
        <v>77</v>
      </c>
      <c r="C74" s="62"/>
      <c r="D74" s="62"/>
      <c r="E74" s="77"/>
      <c r="F74" s="96"/>
      <c r="G74" s="107">
        <f>SUM(F76:F77)</f>
        <v>382.11872600000004</v>
      </c>
    </row>
    <row r="75" spans="2:7" ht="12">
      <c r="B75" s="76"/>
      <c r="E75" s="65"/>
      <c r="F75" s="95"/>
      <c r="G75" s="113"/>
    </row>
    <row r="76" spans="2:7" ht="12">
      <c r="B76" s="76"/>
      <c r="C76" s="44" t="s">
        <v>83</v>
      </c>
      <c r="E76" s="65"/>
      <c r="F76" s="95">
        <v>0</v>
      </c>
      <c r="G76" s="113"/>
    </row>
    <row r="77" spans="2:7" ht="12">
      <c r="B77" s="76"/>
      <c r="C77" s="44" t="s">
        <v>84</v>
      </c>
      <c r="E77" s="65"/>
      <c r="F77" s="95">
        <f>15790.03*2.42/100</f>
        <v>382.11872600000004</v>
      </c>
      <c r="G77" s="113"/>
    </row>
    <row r="78" spans="2:7" ht="12">
      <c r="B78" s="76"/>
      <c r="E78" s="65"/>
      <c r="F78" s="95"/>
      <c r="G78" s="113"/>
    </row>
    <row r="79" spans="2:7" ht="12">
      <c r="B79" s="79" t="s">
        <v>85</v>
      </c>
      <c r="C79" s="63"/>
      <c r="D79" s="63"/>
      <c r="E79" s="77"/>
      <c r="F79" s="95">
        <f>109997.32*2.42/100</f>
        <v>2661.935144</v>
      </c>
      <c r="G79" s="107">
        <f>F79</f>
        <v>2661.935144</v>
      </c>
    </row>
    <row r="80" spans="2:7" ht="12">
      <c r="B80" s="76"/>
      <c r="E80" s="65"/>
      <c r="F80" s="95"/>
      <c r="G80" s="113"/>
    </row>
    <row r="81" spans="2:7" ht="12.75">
      <c r="B81" s="57"/>
      <c r="E81" s="80" t="s">
        <v>86</v>
      </c>
      <c r="F81" s="95"/>
      <c r="G81" s="108">
        <f>G63-G66-G72-G74-G79</f>
        <v>-282.49094000000787</v>
      </c>
    </row>
    <row r="82" spans="2:7" ht="12">
      <c r="B82" s="81"/>
      <c r="C82" s="82"/>
      <c r="D82" s="82"/>
      <c r="E82" s="83"/>
      <c r="F82" s="114"/>
      <c r="G82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51">
      <selection activeCell="F53" sqref="F53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159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278620.25598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251981.4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124</v>
      </c>
      <c r="F21" s="94">
        <v>251981.4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SUM(F28:F30)</f>
        <v>26638.855979999997</v>
      </c>
      <c r="G27" s="111"/>
    </row>
    <row r="28" spans="1:7" ht="12.75" customHeight="1">
      <c r="A28" s="44"/>
      <c r="B28" s="54"/>
      <c r="C28" s="44"/>
      <c r="D28" s="44" t="s">
        <v>30</v>
      </c>
      <c r="E28" s="45" t="s">
        <v>120</v>
      </c>
      <c r="F28" s="118">
        <v>12352.1</v>
      </c>
      <c r="G28" s="111"/>
    </row>
    <row r="29" spans="1:7" ht="12.75" customHeight="1">
      <c r="A29" s="44"/>
      <c r="B29" s="54"/>
      <c r="C29" s="44"/>
      <c r="D29" s="60" t="s">
        <v>30</v>
      </c>
      <c r="E29" s="45" t="s">
        <v>56</v>
      </c>
      <c r="F29" s="94">
        <f>12279.39+1006.43</f>
        <v>13285.82</v>
      </c>
      <c r="G29" s="112"/>
    </row>
    <row r="30" spans="1:7" ht="12.75" customHeight="1">
      <c r="A30" s="44"/>
      <c r="B30" s="54"/>
      <c r="C30" s="44"/>
      <c r="D30" s="60" t="s">
        <v>30</v>
      </c>
      <c r="E30" s="45" t="s">
        <v>218</v>
      </c>
      <c r="F30" s="94">
        <f>18806.1*5.18/100+26.78</f>
        <v>1000.9359799999999</v>
      </c>
      <c r="G30" s="112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-(F34+F37+F48+F51+F57+F64+F65+F66+F67)</f>
        <v>-273335.97851199994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SUM(F35:F36)</f>
        <v>539.235788</v>
      </c>
      <c r="G34" s="111"/>
    </row>
    <row r="35" spans="1:7" ht="12.75" customHeight="1">
      <c r="A35" s="44"/>
      <c r="B35" s="54"/>
      <c r="D35" s="44"/>
      <c r="E35" s="65" t="s">
        <v>45</v>
      </c>
      <c r="F35" s="98">
        <v>5.04</v>
      </c>
      <c r="G35" s="111"/>
    </row>
    <row r="36" spans="1:7" ht="12.75" customHeight="1">
      <c r="A36" s="44"/>
      <c r="B36" s="54"/>
      <c r="D36" s="44"/>
      <c r="E36" s="65" t="s">
        <v>219</v>
      </c>
      <c r="F36" s="99">
        <f>10312.66*5.18/100</f>
        <v>534.195788</v>
      </c>
      <c r="G36" s="111"/>
    </row>
    <row r="37" spans="1:7" ht="12.75" customHeight="1">
      <c r="A37" s="44"/>
      <c r="B37" s="54"/>
      <c r="C37" s="44" t="s">
        <v>19</v>
      </c>
      <c r="D37" s="44"/>
      <c r="E37" s="65"/>
      <c r="F37" s="97">
        <f>SUM(F38:F47)</f>
        <v>251795.822698</v>
      </c>
      <c r="G37" s="111"/>
    </row>
    <row r="38" spans="1:7" ht="12.75" customHeight="1">
      <c r="A38" s="44"/>
      <c r="B38" s="54"/>
      <c r="C38" s="44"/>
      <c r="D38" s="44"/>
      <c r="E38" s="66" t="s">
        <v>47</v>
      </c>
      <c r="F38" s="98">
        <v>2942.54</v>
      </c>
      <c r="G38" s="111"/>
    </row>
    <row r="39" spans="1:7" ht="12.75" customHeight="1">
      <c r="A39" s="44"/>
      <c r="B39" s="54"/>
      <c r="C39" s="44"/>
      <c r="D39" s="44"/>
      <c r="E39" s="66" t="s">
        <v>46</v>
      </c>
      <c r="F39" s="98">
        <v>2773.8</v>
      </c>
      <c r="G39" s="111"/>
    </row>
    <row r="40" spans="1:7" ht="12.75" customHeight="1">
      <c r="A40" s="44"/>
      <c r="B40" s="54"/>
      <c r="C40" s="44"/>
      <c r="D40" s="44"/>
      <c r="E40" s="66" t="s">
        <v>53</v>
      </c>
      <c r="F40" s="98">
        <v>1396.26</v>
      </c>
      <c r="G40" s="111"/>
    </row>
    <row r="41" spans="1:7" ht="12.75" customHeight="1">
      <c r="A41" s="44"/>
      <c r="B41" s="54"/>
      <c r="C41" s="44"/>
      <c r="D41" s="44"/>
      <c r="E41" s="66" t="s">
        <v>52</v>
      </c>
      <c r="F41" s="98">
        <v>564.97</v>
      </c>
      <c r="G41" s="111"/>
    </row>
    <row r="42" spans="1:7" ht="12.75" customHeight="1">
      <c r="A42" s="44"/>
      <c r="B42" s="54"/>
      <c r="C42" s="44"/>
      <c r="D42" s="44"/>
      <c r="E42" s="66" t="s">
        <v>129</v>
      </c>
      <c r="F42" s="98">
        <f>908.68+96.05</f>
        <v>1004.7299999999999</v>
      </c>
      <c r="G42" s="111"/>
    </row>
    <row r="43" spans="1:7" ht="12.75" customHeight="1">
      <c r="A43" s="44"/>
      <c r="B43" s="54"/>
      <c r="C43" s="44"/>
      <c r="D43" s="44"/>
      <c r="E43" s="66" t="s">
        <v>121</v>
      </c>
      <c r="F43" s="98">
        <v>710.36</v>
      </c>
      <c r="G43" s="111"/>
    </row>
    <row r="44" spans="1:7" ht="12.75" customHeight="1">
      <c r="A44" s="44"/>
      <c r="B44" s="54"/>
      <c r="C44" s="44"/>
      <c r="D44" s="44"/>
      <c r="E44" s="66" t="s">
        <v>49</v>
      </c>
      <c r="F44" s="98">
        <v>4505.52</v>
      </c>
      <c r="G44" s="111"/>
    </row>
    <row r="45" spans="1:7" ht="12.75" customHeight="1">
      <c r="A45" s="44"/>
      <c r="B45" s="54"/>
      <c r="C45" s="44"/>
      <c r="D45" s="44"/>
      <c r="E45" s="66" t="s">
        <v>93</v>
      </c>
      <c r="F45" s="98">
        <v>8634.27</v>
      </c>
      <c r="G45" s="111"/>
    </row>
    <row r="46" spans="1:7" ht="12.75" customHeight="1">
      <c r="A46" s="44"/>
      <c r="B46" s="54"/>
      <c r="C46" s="44"/>
      <c r="D46" s="44"/>
      <c r="E46" s="66" t="s">
        <v>213</v>
      </c>
      <c r="F46" s="98">
        <v>211714.37</v>
      </c>
      <c r="G46" s="111"/>
    </row>
    <row r="47" spans="1:7" ht="12.75" customHeight="1">
      <c r="A47" s="44"/>
      <c r="B47" s="54"/>
      <c r="C47" s="44"/>
      <c r="D47" s="44"/>
      <c r="E47" s="66" t="s">
        <v>220</v>
      </c>
      <c r="F47" s="98">
        <f>340665.11*5.18/100-97.45</f>
        <v>17549.002697999997</v>
      </c>
      <c r="G47" s="111"/>
    </row>
    <row r="48" spans="1:7" ht="12.75" customHeight="1">
      <c r="A48" s="44"/>
      <c r="B48" s="54"/>
      <c r="C48" s="44" t="s">
        <v>20</v>
      </c>
      <c r="D48" s="44"/>
      <c r="E48" s="65"/>
      <c r="F48" s="93">
        <f>SUM(F49:F50)</f>
        <v>1876.327914</v>
      </c>
      <c r="G48" s="111"/>
    </row>
    <row r="49" spans="1:7" ht="12.75" customHeight="1">
      <c r="A49" s="44"/>
      <c r="B49" s="54"/>
      <c r="C49" s="44"/>
      <c r="D49" s="44"/>
      <c r="E49" s="66" t="s">
        <v>119</v>
      </c>
      <c r="F49" s="102">
        <v>1595.56</v>
      </c>
      <c r="G49" s="111"/>
    </row>
    <row r="50" spans="1:7" ht="12.75" customHeight="1">
      <c r="A50" s="44"/>
      <c r="B50" s="54"/>
      <c r="C50" s="44"/>
      <c r="D50" s="44"/>
      <c r="E50" s="66" t="s">
        <v>220</v>
      </c>
      <c r="F50" s="102">
        <f>5420.23*5.18/100</f>
        <v>280.76791399999996</v>
      </c>
      <c r="G50" s="111"/>
    </row>
    <row r="51" spans="1:7" ht="12.75" customHeight="1">
      <c r="A51" s="44"/>
      <c r="B51" s="54"/>
      <c r="C51" s="44" t="s">
        <v>21</v>
      </c>
      <c r="D51" s="44"/>
      <c r="E51" s="65"/>
      <c r="F51" s="97">
        <f>SUM(F52:F56)</f>
        <v>15963.072034</v>
      </c>
      <c r="G51" s="111"/>
    </row>
    <row r="52" spans="1:7" ht="12.75" customHeight="1">
      <c r="A52" s="44"/>
      <c r="B52" s="54"/>
      <c r="D52" s="67" t="s">
        <v>22</v>
      </c>
      <c r="E52" s="68"/>
      <c r="F52" s="98">
        <f>(252968.7*5.18/100)-921.38+291.18+160.12+5.63</f>
        <v>12639.328660000001</v>
      </c>
      <c r="G52" s="111"/>
    </row>
    <row r="53" spans="1:7" ht="12.75" customHeight="1">
      <c r="A53" s="44"/>
      <c r="B53" s="54"/>
      <c r="D53" s="67" t="s">
        <v>23</v>
      </c>
      <c r="E53" s="68"/>
      <c r="F53" s="98">
        <f>44020.19*5.18/100</f>
        <v>2280.2458420000003</v>
      </c>
      <c r="G53" s="111"/>
    </row>
    <row r="54" spans="1:7" ht="12.75" customHeight="1">
      <c r="A54" s="44"/>
      <c r="B54" s="54"/>
      <c r="D54" s="67" t="s">
        <v>24</v>
      </c>
      <c r="E54" s="68"/>
      <c r="F54" s="98">
        <f>20144.74*5.18/100</f>
        <v>1043.497532</v>
      </c>
      <c r="G54" s="111"/>
    </row>
    <row r="55" spans="1:7" ht="12.75" customHeight="1">
      <c r="A55" s="44"/>
      <c r="B55" s="54"/>
      <c r="D55" s="67" t="s">
        <v>25</v>
      </c>
      <c r="E55" s="68"/>
      <c r="F55" s="98">
        <v>0</v>
      </c>
      <c r="G55" s="111"/>
    </row>
    <row r="56" spans="1:7" ht="12.75" customHeight="1">
      <c r="A56" s="44"/>
      <c r="B56" s="54"/>
      <c r="D56" s="67" t="s">
        <v>137</v>
      </c>
      <c r="E56" s="68"/>
      <c r="F56" s="98">
        <v>0</v>
      </c>
      <c r="G56" s="111"/>
    </row>
    <row r="57" spans="1:7" ht="12.75" customHeight="1">
      <c r="A57" s="44"/>
      <c r="B57" s="54"/>
      <c r="C57" s="44" t="s">
        <v>27</v>
      </c>
      <c r="D57" s="44"/>
      <c r="E57" s="65"/>
      <c r="F57" s="97">
        <f>SUM(F58:F62)</f>
        <v>2651.770502</v>
      </c>
      <c r="G57" s="111"/>
    </row>
    <row r="58" spans="1:7" ht="12.75" customHeight="1">
      <c r="A58" s="44"/>
      <c r="B58" s="54"/>
      <c r="C58" s="44"/>
      <c r="D58" s="67" t="s">
        <v>28</v>
      </c>
      <c r="E58" s="68"/>
      <c r="F58" s="98">
        <f>173.53+(2090.44*5.18/100)</f>
        <v>281.814792</v>
      </c>
      <c r="G58" s="111"/>
    </row>
    <row r="59" spans="1:7" ht="12.75" customHeight="1">
      <c r="A59" s="44"/>
      <c r="B59" s="54"/>
      <c r="D59" s="67" t="s">
        <v>29</v>
      </c>
      <c r="E59" s="69"/>
      <c r="F59" s="98">
        <f>1861.23+(512.4*5.18/100)+440.43</f>
        <v>2328.20232</v>
      </c>
      <c r="G59" s="111"/>
    </row>
    <row r="60" spans="1:7" ht="12.75" customHeight="1">
      <c r="A60" s="44"/>
      <c r="B60" s="54"/>
      <c r="D60" s="67" t="s">
        <v>31</v>
      </c>
      <c r="E60" s="68"/>
      <c r="F60" s="98">
        <v>0</v>
      </c>
      <c r="G60" s="111"/>
    </row>
    <row r="61" spans="1:7" ht="12.75" customHeight="1">
      <c r="A61" s="44"/>
      <c r="B61" s="54"/>
      <c r="D61" s="67" t="s">
        <v>32</v>
      </c>
      <c r="E61" s="68"/>
      <c r="F61" s="98"/>
      <c r="G61" s="111"/>
    </row>
    <row r="62" spans="1:7" ht="12.75" customHeight="1">
      <c r="A62" s="44"/>
      <c r="B62" s="54"/>
      <c r="D62" s="67"/>
      <c r="E62" s="69" t="s">
        <v>33</v>
      </c>
      <c r="F62" s="98">
        <f>806.05*5.18/100</f>
        <v>41.753389999999996</v>
      </c>
      <c r="G62" s="111"/>
    </row>
    <row r="63" spans="1:7" ht="12.75" customHeight="1">
      <c r="A63" s="44"/>
      <c r="B63" s="54"/>
      <c r="C63" s="44" t="s">
        <v>34</v>
      </c>
      <c r="D63" s="44"/>
      <c r="E63" s="65"/>
      <c r="F63" s="95"/>
      <c r="G63" s="111"/>
    </row>
    <row r="64" spans="1:7" ht="12.75" customHeight="1">
      <c r="A64" s="44"/>
      <c r="B64" s="54"/>
      <c r="D64" s="44"/>
      <c r="E64" s="70" t="s">
        <v>35</v>
      </c>
      <c r="F64" s="95">
        <v>0</v>
      </c>
      <c r="G64" s="111"/>
    </row>
    <row r="65" spans="1:7" ht="12.75" customHeight="1">
      <c r="A65" s="44"/>
      <c r="B65" s="54"/>
      <c r="C65" s="44" t="s">
        <v>36</v>
      </c>
      <c r="D65" s="44"/>
      <c r="E65" s="65"/>
      <c r="F65" s="95">
        <v>0</v>
      </c>
      <c r="G65" s="111"/>
    </row>
    <row r="66" spans="1:7" ht="12.75" customHeight="1">
      <c r="A66" s="44"/>
      <c r="B66" s="54"/>
      <c r="C66" s="44" t="s">
        <v>37</v>
      </c>
      <c r="D66" s="44"/>
      <c r="E66" s="65"/>
      <c r="F66" s="95">
        <v>0</v>
      </c>
      <c r="G66" s="111"/>
    </row>
    <row r="67" spans="1:7" ht="12.75" customHeight="1">
      <c r="A67" s="44"/>
      <c r="B67" s="54"/>
      <c r="C67" s="44" t="s">
        <v>38</v>
      </c>
      <c r="D67" s="44"/>
      <c r="E67" s="65"/>
      <c r="F67" s="95">
        <f>SUM(F68:F70)</f>
        <v>509.749576</v>
      </c>
      <c r="G67" s="111"/>
    </row>
    <row r="68" spans="1:7" ht="13.5" customHeight="1">
      <c r="A68" s="44"/>
      <c r="B68" s="54"/>
      <c r="C68" s="44"/>
      <c r="D68" s="44" t="s">
        <v>0</v>
      </c>
      <c r="E68" s="66" t="s">
        <v>64</v>
      </c>
      <c r="F68" s="98">
        <v>166.99</v>
      </c>
      <c r="G68" s="111"/>
    </row>
    <row r="69" spans="1:7" ht="12.75" customHeight="1">
      <c r="A69" s="44"/>
      <c r="B69" s="54"/>
      <c r="C69" s="44"/>
      <c r="D69" s="44"/>
      <c r="E69" s="66" t="s">
        <v>135</v>
      </c>
      <c r="F69" s="98">
        <v>35.55</v>
      </c>
      <c r="G69" s="111"/>
    </row>
    <row r="70" spans="1:7" ht="12.75" customHeight="1">
      <c r="A70" s="44"/>
      <c r="B70" s="54"/>
      <c r="C70" s="44"/>
      <c r="D70" s="44"/>
      <c r="E70" s="66" t="s">
        <v>220</v>
      </c>
      <c r="F70" s="102">
        <f>5785.32*5.18/100+7.53</f>
        <v>307.20957599999997</v>
      </c>
      <c r="G70" s="111"/>
    </row>
    <row r="71" spans="1:7" ht="12.75" customHeight="1">
      <c r="A71" s="44"/>
      <c r="B71" s="54"/>
      <c r="C71" s="44"/>
      <c r="D71" s="44"/>
      <c r="E71" s="70"/>
      <c r="F71" s="95" t="s">
        <v>0</v>
      </c>
      <c r="G71" s="111"/>
    </row>
    <row r="72" spans="1:7" ht="12.75" customHeight="1">
      <c r="A72" s="72"/>
      <c r="B72" s="57" t="s">
        <v>39</v>
      </c>
      <c r="C72" s="73"/>
      <c r="D72" s="73"/>
      <c r="E72" s="66"/>
      <c r="F72" s="95" t="s">
        <v>0</v>
      </c>
      <c r="G72" s="106">
        <f>G19+G32</f>
        <v>5284.277468000073</v>
      </c>
    </row>
    <row r="73" spans="1:7" ht="12.75" customHeight="1">
      <c r="A73" s="44"/>
      <c r="B73" s="74" t="s">
        <v>40</v>
      </c>
      <c r="C73" s="44"/>
      <c r="D73" s="44"/>
      <c r="E73" s="70"/>
      <c r="F73" s="95" t="s">
        <v>0</v>
      </c>
      <c r="G73" s="113"/>
    </row>
    <row r="74" spans="2:7" ht="12" customHeight="1">
      <c r="B74" s="76"/>
      <c r="E74" s="65"/>
      <c r="F74" s="95" t="s">
        <v>0</v>
      </c>
      <c r="G74" s="113"/>
    </row>
    <row r="75" spans="2:7" ht="12" customHeight="1">
      <c r="B75" s="57" t="s">
        <v>81</v>
      </c>
      <c r="C75" s="62"/>
      <c r="D75" s="62"/>
      <c r="E75" s="77"/>
      <c r="F75" s="96"/>
      <c r="G75" s="107">
        <f>SUM(F77:F79)</f>
        <v>-1378.0150019999999</v>
      </c>
    </row>
    <row r="76" spans="2:7" ht="12">
      <c r="B76" s="76"/>
      <c r="E76" s="65"/>
      <c r="F76" s="95"/>
      <c r="G76" s="113"/>
    </row>
    <row r="77" spans="2:7" ht="12">
      <c r="B77" s="54"/>
      <c r="C77" s="44" t="s">
        <v>78</v>
      </c>
      <c r="D77" s="44"/>
      <c r="E77" s="65"/>
      <c r="F77" s="93">
        <v>0</v>
      </c>
      <c r="G77" s="113"/>
    </row>
    <row r="78" spans="2:7" ht="12">
      <c r="B78" s="76"/>
      <c r="C78" s="44" t="s">
        <v>79</v>
      </c>
      <c r="E78" s="65"/>
      <c r="F78" s="95">
        <f>-27786.39*5.18/100-36.13</f>
        <v>-1475.465002</v>
      </c>
      <c r="G78" s="113"/>
    </row>
    <row r="79" spans="2:7" ht="12">
      <c r="B79" s="76"/>
      <c r="C79" s="44" t="s">
        <v>80</v>
      </c>
      <c r="E79" s="65"/>
      <c r="F79" s="95">
        <v>97.45</v>
      </c>
      <c r="G79" s="113"/>
    </row>
    <row r="80" spans="2:7" ht="12">
      <c r="B80" s="76"/>
      <c r="E80" s="65"/>
      <c r="F80" s="95"/>
      <c r="G80" s="113"/>
    </row>
    <row r="81" spans="2:7" ht="12">
      <c r="B81" s="57" t="s">
        <v>82</v>
      </c>
      <c r="C81" s="62"/>
      <c r="D81" s="62"/>
      <c r="E81" s="77"/>
      <c r="F81" s="96">
        <v>0</v>
      </c>
      <c r="G81" s="107">
        <v>0</v>
      </c>
    </row>
    <row r="82" spans="2:7" ht="12">
      <c r="B82" s="76"/>
      <c r="E82" s="65"/>
      <c r="F82" s="95"/>
      <c r="G82" s="113"/>
    </row>
    <row r="83" spans="2:7" ht="12">
      <c r="B83" s="57" t="s">
        <v>77</v>
      </c>
      <c r="C83" s="62"/>
      <c r="D83" s="62"/>
      <c r="E83" s="77"/>
      <c r="F83" s="96"/>
      <c r="G83" s="107">
        <f>SUM(F85:F86)</f>
        <v>964.443554</v>
      </c>
    </row>
    <row r="84" spans="2:7" ht="12">
      <c r="B84" s="76"/>
      <c r="E84" s="65"/>
      <c r="F84" s="95"/>
      <c r="G84" s="113"/>
    </row>
    <row r="85" spans="2:7" ht="12">
      <c r="B85" s="76"/>
      <c r="C85" s="44" t="s">
        <v>83</v>
      </c>
      <c r="E85" s="65"/>
      <c r="F85" s="95">
        <v>0</v>
      </c>
      <c r="G85" s="113"/>
    </row>
    <row r="86" spans="2:7" ht="12">
      <c r="B86" s="76"/>
      <c r="C86" s="44" t="s">
        <v>84</v>
      </c>
      <c r="E86" s="65"/>
      <c r="F86" s="95">
        <f>146.52+(15790.03*5.18/100)</f>
        <v>964.443554</v>
      </c>
      <c r="G86" s="113"/>
    </row>
    <row r="87" spans="2:7" ht="12">
      <c r="B87" s="76"/>
      <c r="E87" s="65"/>
      <c r="F87" s="95"/>
      <c r="G87" s="113"/>
    </row>
    <row r="88" spans="2:7" ht="12">
      <c r="B88" s="79" t="s">
        <v>85</v>
      </c>
      <c r="C88" s="63"/>
      <c r="D88" s="63"/>
      <c r="E88" s="77"/>
      <c r="F88" s="95">
        <f>109997.32*5.18/100</f>
        <v>5697.861176</v>
      </c>
      <c r="G88" s="107">
        <f>F88</f>
        <v>5697.861176</v>
      </c>
    </row>
    <row r="89" spans="2:7" ht="12">
      <c r="B89" s="76"/>
      <c r="E89" s="65"/>
      <c r="F89" s="95"/>
      <c r="G89" s="113"/>
    </row>
    <row r="90" spans="2:7" ht="12.75">
      <c r="B90" s="57"/>
      <c r="E90" s="80" t="s">
        <v>86</v>
      </c>
      <c r="F90" s="95"/>
      <c r="G90" s="108">
        <f>G72-G75-G81-G83-G88</f>
        <v>-0.012259999926754972</v>
      </c>
    </row>
    <row r="91" spans="2:7" ht="12">
      <c r="B91" s="81"/>
      <c r="C91" s="82"/>
      <c r="D91" s="82"/>
      <c r="E91" s="83"/>
      <c r="F91" s="84"/>
      <c r="G91" s="8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1"/>
  <sheetViews>
    <sheetView showGridLines="0" zoomScale="90" zoomScaleNormal="90" workbookViewId="0" topLeftCell="A1">
      <selection activeCell="F11" sqref="F11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2.00390625" style="6" customWidth="1"/>
    <col min="4" max="4" width="2.25390625" style="6" customWidth="1"/>
    <col min="5" max="5" width="35.875" style="6" customWidth="1"/>
    <col min="6" max="6" width="14.375" style="5" customWidth="1"/>
    <col min="7" max="7" width="17.75390625" style="5" customWidth="1"/>
    <col min="8" max="8" width="8.375" style="5" customWidth="1"/>
    <col min="9" max="9" width="17.875" style="5" customWidth="1"/>
    <col min="10" max="10" width="2.875" style="1" customWidth="1"/>
    <col min="11" max="12" width="9.875" style="1" customWidth="1"/>
    <col min="13" max="255" width="11.875" style="1" customWidth="1"/>
    <col min="256" max="16384" width="10.875" style="1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="4" customFormat="1" ht="12"/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7"/>
      <c r="D7" s="8"/>
      <c r="E7" s="8"/>
      <c r="F7" s="8"/>
      <c r="G7" s="8"/>
      <c r="H7" s="9"/>
      <c r="I7" s="1"/>
    </row>
    <row r="8" spans="1:9" ht="15">
      <c r="A8" s="1"/>
      <c r="B8" s="1"/>
      <c r="C8" s="10"/>
      <c r="D8" s="11"/>
      <c r="E8" s="13" t="s">
        <v>223</v>
      </c>
      <c r="F8" s="11"/>
      <c r="G8" s="11"/>
      <c r="H8" s="12"/>
      <c r="I8" s="1"/>
    </row>
    <row r="9" spans="1:9" ht="15">
      <c r="A9" s="1"/>
      <c r="B9" s="1"/>
      <c r="C9" s="10"/>
      <c r="D9" s="11"/>
      <c r="E9" s="13"/>
      <c r="F9" s="11"/>
      <c r="G9" s="11"/>
      <c r="H9" s="12"/>
      <c r="I9" s="1"/>
    </row>
    <row r="10" spans="1:9" ht="15">
      <c r="A10" s="1"/>
      <c r="B10" s="1"/>
      <c r="C10" s="10"/>
      <c r="D10" s="11"/>
      <c r="E10" s="13"/>
      <c r="F10" s="11"/>
      <c r="G10" s="11"/>
      <c r="H10" s="12"/>
      <c r="I10" s="1"/>
    </row>
    <row r="11" spans="1:9" ht="15">
      <c r="A11" s="1"/>
      <c r="B11" s="1"/>
      <c r="C11" s="10"/>
      <c r="D11" s="11"/>
      <c r="E11" s="13" t="s">
        <v>41</v>
      </c>
      <c r="F11" s="120">
        <f>RSA!G130</f>
        <v>-391667.0041849998</v>
      </c>
      <c r="G11" s="14"/>
      <c r="H11" s="12"/>
      <c r="I11" s="1"/>
    </row>
    <row r="12" spans="1:9" ht="15">
      <c r="A12" s="1"/>
      <c r="B12" s="1"/>
      <c r="C12" s="10"/>
      <c r="D12" s="11"/>
      <c r="E12" s="13" t="s">
        <v>96</v>
      </c>
      <c r="F12" s="120">
        <f>Ristorazione!G88</f>
        <v>0.00018999989242729498</v>
      </c>
      <c r="G12" s="14"/>
      <c r="H12" s="12"/>
      <c r="I12" s="1"/>
    </row>
    <row r="13" spans="1:9" ht="13.5" customHeight="1">
      <c r="A13" s="1"/>
      <c r="B13" s="1"/>
      <c r="C13" s="10"/>
      <c r="D13" s="13"/>
      <c r="E13" s="13" t="s">
        <v>42</v>
      </c>
      <c r="F13" s="120">
        <f>SAD!G104</f>
        <v>-0.0019199999696866143</v>
      </c>
      <c r="G13" s="14"/>
      <c r="H13" s="15"/>
      <c r="I13" s="1"/>
    </row>
    <row r="14" spans="1:9" ht="13.5" customHeight="1">
      <c r="A14" s="1"/>
      <c r="B14" s="1"/>
      <c r="C14" s="10"/>
      <c r="D14" s="13"/>
      <c r="E14" s="13" t="s">
        <v>70</v>
      </c>
      <c r="F14" s="120">
        <f>CDI!G88</f>
        <v>-284.5468299999884</v>
      </c>
      <c r="G14" s="14"/>
      <c r="H14" s="15"/>
      <c r="I14" s="1"/>
    </row>
    <row r="15" spans="1:9" ht="13.5" customHeight="1">
      <c r="A15" s="1"/>
      <c r="B15" s="1"/>
      <c r="C15" s="10"/>
      <c r="D15" s="13"/>
      <c r="E15" s="13" t="s">
        <v>214</v>
      </c>
      <c r="F15" s="120">
        <f>'AGENZIA DI LOCAZIONE'!G74</f>
        <v>-200.52999999999997</v>
      </c>
      <c r="G15" s="14"/>
      <c r="H15" s="15"/>
      <c r="I15" s="1"/>
    </row>
    <row r="16" spans="1:9" ht="13.5" customHeight="1">
      <c r="A16" s="1"/>
      <c r="B16" s="1"/>
      <c r="C16" s="10"/>
      <c r="D16" s="13"/>
      <c r="E16" s="13" t="s">
        <v>215</v>
      </c>
      <c r="F16" s="120">
        <f>DORMITORIO!G93</f>
        <v>-158.2998</v>
      </c>
      <c r="G16" s="14"/>
      <c r="H16" s="15"/>
      <c r="I16" s="1"/>
    </row>
    <row r="17" spans="1:9" ht="13.5" customHeight="1">
      <c r="A17" s="1"/>
      <c r="B17" s="1"/>
      <c r="C17" s="10"/>
      <c r="D17" s="13"/>
      <c r="E17" s="13" t="s">
        <v>65</v>
      </c>
      <c r="F17" s="120">
        <f>'DUE PINI'!G102</f>
        <v>127059.53832000018</v>
      </c>
      <c r="G17" s="14"/>
      <c r="H17" s="16"/>
      <c r="I17" s="1"/>
    </row>
    <row r="18" spans="1:9" ht="13.5" customHeight="1">
      <c r="A18" s="1"/>
      <c r="B18" s="1"/>
      <c r="C18" s="10"/>
      <c r="D18" s="13"/>
      <c r="E18" s="13" t="s">
        <v>66</v>
      </c>
      <c r="F18" s="120">
        <f>GRAMSCI!G103</f>
        <v>289836.03737999994</v>
      </c>
      <c r="G18" s="14"/>
      <c r="H18" s="16"/>
      <c r="I18" s="1"/>
    </row>
    <row r="19" spans="1:9" ht="13.5" customHeight="1">
      <c r="A19" s="1"/>
      <c r="B19" s="1"/>
      <c r="C19" s="10"/>
      <c r="D19" s="13"/>
      <c r="E19" s="13" t="s">
        <v>76</v>
      </c>
      <c r="F19" s="120">
        <f>TRASPORTI!G88</f>
        <v>-2.2094699999992145</v>
      </c>
      <c r="G19" s="14"/>
      <c r="H19" s="16"/>
      <c r="I19" s="1"/>
    </row>
    <row r="20" spans="1:9" ht="13.5" customHeight="1">
      <c r="A20" s="1"/>
      <c r="B20" s="1"/>
      <c r="C20" s="10"/>
      <c r="D20" s="13"/>
      <c r="E20" s="13" t="s">
        <v>158</v>
      </c>
      <c r="F20" s="120">
        <v>-34.53</v>
      </c>
      <c r="G20" s="14"/>
      <c r="H20" s="16"/>
      <c r="I20" s="1"/>
    </row>
    <row r="21" spans="3:8" s="3" customFormat="1" ht="15">
      <c r="C21" s="17"/>
      <c r="D21" s="13"/>
      <c r="E21" s="13" t="s">
        <v>216</v>
      </c>
      <c r="F21" s="120">
        <f>'AREA MINORI'!G100</f>
        <v>-1456.7008599999922</v>
      </c>
      <c r="G21" s="14"/>
      <c r="H21" s="16"/>
    </row>
    <row r="22" spans="3:8" s="3" customFormat="1" ht="13.5" customHeight="1">
      <c r="C22" s="17"/>
      <c r="D22" s="13"/>
      <c r="E22" s="13" t="s">
        <v>67</v>
      </c>
      <c r="F22" s="120">
        <f>SND!G81</f>
        <v>-282.49094000000787</v>
      </c>
      <c r="G22" s="14"/>
      <c r="H22" s="16"/>
    </row>
    <row r="23" spans="3:8" s="3" customFormat="1" ht="13.5" customHeight="1">
      <c r="C23" s="17"/>
      <c r="D23" s="13"/>
      <c r="E23" s="13" t="s">
        <v>217</v>
      </c>
      <c r="F23" s="120">
        <f>'C.A.H.'!G90</f>
        <v>-0.012259999926754972</v>
      </c>
      <c r="G23" s="14"/>
      <c r="H23" s="16"/>
    </row>
    <row r="24" spans="3:8" s="3" customFormat="1" ht="13.5" customHeight="1">
      <c r="C24" s="17"/>
      <c r="D24" s="13"/>
      <c r="E24" s="13"/>
      <c r="F24" s="120"/>
      <c r="G24" s="14"/>
      <c r="H24" s="16"/>
    </row>
    <row r="25" spans="3:8" s="3" customFormat="1" ht="13.5" customHeight="1">
      <c r="C25" s="17"/>
      <c r="D25" s="13"/>
      <c r="E25" s="13"/>
      <c r="F25" s="14"/>
      <c r="G25" s="14"/>
      <c r="H25" s="16"/>
    </row>
    <row r="26" spans="1:9" ht="15.75" customHeight="1">
      <c r="A26" s="1"/>
      <c r="B26" s="1"/>
      <c r="C26" s="10"/>
      <c r="D26" s="13"/>
      <c r="E26" s="13" t="s">
        <v>68</v>
      </c>
      <c r="F26" s="14"/>
      <c r="G26" s="120">
        <f>SUM(F11:F23)</f>
        <v>22809.249625000295</v>
      </c>
      <c r="H26" s="16"/>
      <c r="I26" s="1"/>
    </row>
    <row r="27" spans="1:9" ht="13.5" customHeight="1">
      <c r="A27" s="1"/>
      <c r="B27" s="1"/>
      <c r="C27" s="10"/>
      <c r="D27" s="13"/>
      <c r="E27" s="13"/>
      <c r="F27" s="14"/>
      <c r="G27" s="14"/>
      <c r="H27" s="16"/>
      <c r="I27" s="1"/>
    </row>
    <row r="28" spans="1:9" ht="12.75" customHeight="1">
      <c r="A28" s="1"/>
      <c r="B28" s="1"/>
      <c r="C28" s="10"/>
      <c r="D28" s="13"/>
      <c r="E28" s="13"/>
      <c r="F28" s="14"/>
      <c r="G28" s="14"/>
      <c r="H28" s="15"/>
      <c r="I28" s="1"/>
    </row>
    <row r="29" spans="1:9" ht="15.75" customHeight="1">
      <c r="A29" s="1"/>
      <c r="B29" s="1"/>
      <c r="C29" s="10"/>
      <c r="D29" s="13"/>
      <c r="E29" s="21" t="s">
        <v>69</v>
      </c>
      <c r="F29" s="14"/>
      <c r="G29" s="121">
        <f>SUM(G26:G28)</f>
        <v>22809.249625000295</v>
      </c>
      <c r="H29" s="15"/>
      <c r="I29" s="1"/>
    </row>
    <row r="30" spans="1:9" ht="12.75" customHeight="1">
      <c r="A30" s="1"/>
      <c r="B30" s="1"/>
      <c r="C30" s="10"/>
      <c r="D30" s="13"/>
      <c r="E30" s="13"/>
      <c r="F30" s="13"/>
      <c r="G30" s="13"/>
      <c r="H30" s="15"/>
      <c r="I30" s="1"/>
    </row>
    <row r="31" spans="1:9" ht="12.75" customHeight="1">
      <c r="A31" s="1"/>
      <c r="B31" s="1"/>
      <c r="C31" s="18"/>
      <c r="D31" s="19"/>
      <c r="E31" s="19"/>
      <c r="F31" s="19"/>
      <c r="G31" s="19"/>
      <c r="H31" s="20"/>
      <c r="I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="2" customFormat="1" ht="12.75" customHeight="1"/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="2" customFormat="1" ht="12.75" customHeight="1"/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="2" customFormat="1" ht="12.75" customHeight="1"/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="2" customFormat="1" ht="12.75" customHeight="1"/>
    <row r="128" spans="1:9" ht="12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</sheetData>
  <sheetProtection password="C052"/>
  <printOptions horizontalCentered="1"/>
  <pageMargins left="0" right="0" top="0.7874015748031497" bottom="0.5905511811023623" header="0.5118110236220472" footer="0.5118110236220472"/>
  <pageSetup fitToHeight="2" fitToWidth="1" horizontalDpi="600" verticalDpi="600" orientation="portrait" paperSize="9" r:id="rId1"/>
  <rowBreaks count="1" manualBreakCount="1">
    <brk id="44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1"/>
  <sheetViews>
    <sheetView workbookViewId="0" topLeftCell="A5">
      <selection activeCell="F11" sqref="F11"/>
    </sheetView>
  </sheetViews>
  <sheetFormatPr defaultColWidth="9.00390625" defaultRowHeight="12"/>
  <cols>
    <col min="1" max="1" width="1.25" style="6" customWidth="1"/>
    <col min="2" max="2" width="2.75390625" style="6" customWidth="1"/>
    <col min="3" max="3" width="2.00390625" style="6" customWidth="1"/>
    <col min="4" max="4" width="2.25390625" style="6" customWidth="1"/>
    <col min="5" max="5" width="35.875" style="6" customWidth="1"/>
    <col min="6" max="6" width="14.375" style="5" customWidth="1"/>
    <col min="7" max="7" width="17.75390625" style="5" customWidth="1"/>
    <col min="8" max="8" width="8.375" style="5" customWidth="1"/>
    <col min="9" max="9" width="17.875" style="5" customWidth="1"/>
    <col min="10" max="10" width="2.875" style="1" customWidth="1"/>
    <col min="11" max="12" width="9.875" style="1" customWidth="1"/>
    <col min="13" max="255" width="11.875" style="1" customWidth="1"/>
    <col min="256" max="16384" width="10.875" style="1" customWidth="1"/>
  </cols>
  <sheetData>
    <row r="1" spans="1:9" ht="12">
      <c r="A1" s="1"/>
      <c r="B1" s="1"/>
      <c r="C1" s="1"/>
      <c r="D1" s="1"/>
      <c r="E1" s="1"/>
      <c r="F1" s="1"/>
      <c r="G1" s="1"/>
      <c r="H1" s="1"/>
      <c r="I1" s="1"/>
    </row>
    <row r="2" s="4" customFormat="1" ht="12"/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7"/>
      <c r="D7" s="8"/>
      <c r="E7" s="8"/>
      <c r="F7" s="8"/>
      <c r="G7" s="8"/>
      <c r="H7" s="9"/>
      <c r="I7" s="1"/>
    </row>
    <row r="8" spans="1:9" ht="15">
      <c r="A8" s="1"/>
      <c r="B8" s="1"/>
      <c r="C8" s="10"/>
      <c r="D8" s="11"/>
      <c r="E8" s="13" t="s">
        <v>39</v>
      </c>
      <c r="F8" s="11"/>
      <c r="G8" s="11"/>
      <c r="H8" s="12"/>
      <c r="I8" s="1"/>
    </row>
    <row r="9" spans="1:9" ht="15">
      <c r="A9" s="1"/>
      <c r="B9" s="1"/>
      <c r="C9" s="10"/>
      <c r="D9" s="11"/>
      <c r="E9" s="13"/>
      <c r="F9" s="11"/>
      <c r="G9" s="11"/>
      <c r="H9" s="12"/>
      <c r="I9" s="1"/>
    </row>
    <row r="10" spans="1:9" ht="15">
      <c r="A10" s="1"/>
      <c r="B10" s="1"/>
      <c r="C10" s="10"/>
      <c r="D10" s="11"/>
      <c r="E10" s="13"/>
      <c r="F10" s="11"/>
      <c r="G10" s="11"/>
      <c r="H10" s="12"/>
      <c r="I10" s="1"/>
    </row>
    <row r="11" spans="1:9" ht="15">
      <c r="A11" s="1"/>
      <c r="B11" s="1"/>
      <c r="C11" s="10"/>
      <c r="D11" s="11"/>
      <c r="E11" s="13" t="s">
        <v>41</v>
      </c>
      <c r="F11" s="120">
        <f>RSA!G112</f>
        <v>-395028.5749209998</v>
      </c>
      <c r="G11" s="14"/>
      <c r="H11" s="12"/>
      <c r="I11" s="1"/>
    </row>
    <row r="12" spans="1:9" ht="15">
      <c r="A12" s="1"/>
      <c r="B12" s="1"/>
      <c r="C12" s="10"/>
      <c r="D12" s="11"/>
      <c r="E12" s="13" t="s">
        <v>96</v>
      </c>
      <c r="F12" s="120">
        <f>Ristorazione!G70</f>
        <v>4822.086557999894</v>
      </c>
      <c r="G12" s="14"/>
      <c r="H12" s="12"/>
      <c r="I12" s="1"/>
    </row>
    <row r="13" spans="1:9" ht="13.5" customHeight="1">
      <c r="A13" s="1"/>
      <c r="B13" s="1"/>
      <c r="C13" s="10"/>
      <c r="D13" s="13"/>
      <c r="E13" s="13" t="s">
        <v>42</v>
      </c>
      <c r="F13" s="120">
        <f>SAD!G86</f>
        <v>-4089.119743999967</v>
      </c>
      <c r="G13" s="14"/>
      <c r="H13" s="15"/>
      <c r="I13" s="1"/>
    </row>
    <row r="14" spans="1:9" ht="13.5" customHeight="1">
      <c r="A14" s="1"/>
      <c r="B14" s="1"/>
      <c r="C14" s="10"/>
      <c r="D14" s="13"/>
      <c r="E14" s="13" t="s">
        <v>70</v>
      </c>
      <c r="F14" s="120">
        <f>CDI!G70</f>
        <v>2401.0489940000116</v>
      </c>
      <c r="G14" s="14"/>
      <c r="H14" s="15"/>
      <c r="I14" s="1"/>
    </row>
    <row r="15" spans="1:9" ht="13.5" customHeight="1">
      <c r="A15" s="1"/>
      <c r="B15" s="1"/>
      <c r="C15" s="10"/>
      <c r="D15" s="13"/>
      <c r="E15" s="13" t="s">
        <v>214</v>
      </c>
      <c r="F15" s="120">
        <f>'AGENZIA DI LOCAZIONE'!G56</f>
        <v>-175.41999999999996</v>
      </c>
      <c r="G15" s="14"/>
      <c r="H15" s="15"/>
      <c r="I15" s="1"/>
    </row>
    <row r="16" spans="1:9" ht="13.5" customHeight="1">
      <c r="A16" s="1"/>
      <c r="B16" s="1"/>
      <c r="C16" s="10"/>
      <c r="D16" s="13"/>
      <c r="E16" s="13" t="s">
        <v>215</v>
      </c>
      <c r="F16" s="120">
        <f>DORMITORIO!G75</f>
        <v>872.63364</v>
      </c>
      <c r="G16" s="14"/>
      <c r="H16" s="15"/>
      <c r="I16" s="1"/>
    </row>
    <row r="17" spans="1:9" ht="13.5" customHeight="1">
      <c r="A17" s="1"/>
      <c r="B17" s="1"/>
      <c r="C17" s="10"/>
      <c r="D17" s="13"/>
      <c r="E17" s="13" t="s">
        <v>65</v>
      </c>
      <c r="F17" s="120">
        <f>'DUE PINI'!G84</f>
        <v>133660.95822400018</v>
      </c>
      <c r="G17" s="14"/>
      <c r="H17" s="16"/>
      <c r="I17" s="1"/>
    </row>
    <row r="18" spans="1:9" ht="13.5" customHeight="1">
      <c r="A18" s="1"/>
      <c r="B18" s="1"/>
      <c r="C18" s="10"/>
      <c r="D18" s="13"/>
      <c r="E18" s="13" t="s">
        <v>66</v>
      </c>
      <c r="F18" s="120">
        <f>GRAMSCI!G85</f>
        <v>296035.71051599993</v>
      </c>
      <c r="G18" s="14"/>
      <c r="H18" s="16"/>
      <c r="I18" s="1"/>
    </row>
    <row r="19" spans="1:9" ht="13.5" customHeight="1">
      <c r="A19" s="1"/>
      <c r="B19" s="1"/>
      <c r="C19" s="10"/>
      <c r="D19" s="13"/>
      <c r="E19" s="13" t="s">
        <v>76</v>
      </c>
      <c r="F19" s="120">
        <f>TRASPORTI!G70</f>
        <v>-441.8494699999992</v>
      </c>
      <c r="G19" s="14"/>
      <c r="H19" s="16"/>
      <c r="I19" s="1"/>
    </row>
    <row r="20" spans="1:9" ht="13.5" customHeight="1">
      <c r="A20" s="1"/>
      <c r="B20" s="1"/>
      <c r="C20" s="10"/>
      <c r="D20" s="13"/>
      <c r="E20" s="13" t="s">
        <v>158</v>
      </c>
      <c r="F20" s="120">
        <v>784.13</v>
      </c>
      <c r="G20" s="14"/>
      <c r="H20" s="16"/>
      <c r="I20" s="1"/>
    </row>
    <row r="21" spans="3:8" s="3" customFormat="1" ht="15">
      <c r="C21" s="17"/>
      <c r="D21" s="13"/>
      <c r="E21" s="13" t="s">
        <v>216</v>
      </c>
      <c r="F21" s="120">
        <f>'AREA MINORI'!G82</f>
        <v>4794.146948000009</v>
      </c>
      <c r="G21" s="14"/>
      <c r="H21" s="16"/>
    </row>
    <row r="22" spans="3:8" s="3" customFormat="1" ht="13.5" customHeight="1">
      <c r="C22" s="17"/>
      <c r="D22" s="13"/>
      <c r="E22" s="13" t="s">
        <v>67</v>
      </c>
      <c r="F22" s="120">
        <f>SND!G63</f>
        <v>2139.1922919999924</v>
      </c>
      <c r="G22" s="14"/>
      <c r="H22" s="16"/>
    </row>
    <row r="23" spans="3:8" s="3" customFormat="1" ht="13.5" customHeight="1">
      <c r="C23" s="17"/>
      <c r="D23" s="13"/>
      <c r="E23" s="13" t="s">
        <v>217</v>
      </c>
      <c r="F23" s="120">
        <f>'C.A.H.'!G72</f>
        <v>5284.277468000073</v>
      </c>
      <c r="G23" s="14"/>
      <c r="H23" s="16"/>
    </row>
    <row r="24" spans="3:8" s="3" customFormat="1" ht="13.5" customHeight="1">
      <c r="C24" s="17"/>
      <c r="D24" s="13"/>
      <c r="E24" s="13"/>
      <c r="F24" s="120"/>
      <c r="G24" s="14"/>
      <c r="H24" s="16"/>
    </row>
    <row r="25" spans="3:8" s="3" customFormat="1" ht="13.5" customHeight="1">
      <c r="C25" s="17"/>
      <c r="D25" s="13"/>
      <c r="E25" s="13"/>
      <c r="F25" s="14"/>
      <c r="G25" s="14"/>
      <c r="H25" s="16"/>
    </row>
    <row r="26" spans="1:9" ht="15.75" customHeight="1">
      <c r="A26" s="1"/>
      <c r="B26" s="1"/>
      <c r="C26" s="10"/>
      <c r="D26" s="13"/>
      <c r="E26" s="13" t="s">
        <v>68</v>
      </c>
      <c r="F26" s="14"/>
      <c r="G26" s="120">
        <f>SUM(F11:F23)</f>
        <v>51059.22050500033</v>
      </c>
      <c r="H26" s="16"/>
      <c r="I26" s="1"/>
    </row>
    <row r="27" spans="1:9" ht="13.5" customHeight="1">
      <c r="A27" s="1"/>
      <c r="B27" s="1"/>
      <c r="C27" s="10"/>
      <c r="D27" s="13"/>
      <c r="E27" s="13"/>
      <c r="F27" s="14"/>
      <c r="G27" s="14"/>
      <c r="H27" s="16"/>
      <c r="I27" s="1"/>
    </row>
    <row r="28" spans="1:9" ht="12.75" customHeight="1">
      <c r="A28" s="1"/>
      <c r="B28" s="1"/>
      <c r="C28" s="10"/>
      <c r="D28" s="13"/>
      <c r="E28" s="13"/>
      <c r="F28" s="14"/>
      <c r="G28" s="14"/>
      <c r="H28" s="15"/>
      <c r="I28" s="1"/>
    </row>
    <row r="29" spans="1:9" ht="15.75" customHeight="1">
      <c r="A29" s="1"/>
      <c r="B29" s="1"/>
      <c r="C29" s="10"/>
      <c r="D29" s="13"/>
      <c r="E29" s="21" t="s">
        <v>69</v>
      </c>
      <c r="F29" s="14"/>
      <c r="G29" s="121">
        <f>SUM(G26:G28)</f>
        <v>51059.22050500033</v>
      </c>
      <c r="H29" s="15"/>
      <c r="I29" s="1"/>
    </row>
    <row r="30" spans="1:9" ht="12.75" customHeight="1">
      <c r="A30" s="1"/>
      <c r="B30" s="1"/>
      <c r="C30" s="10"/>
      <c r="D30" s="13"/>
      <c r="E30" s="13"/>
      <c r="F30" s="13"/>
      <c r="G30" s="13"/>
      <c r="H30" s="15"/>
      <c r="I30" s="1"/>
    </row>
    <row r="31" spans="1:9" ht="12.75" customHeight="1">
      <c r="A31" s="1"/>
      <c r="B31" s="1"/>
      <c r="C31" s="18"/>
      <c r="D31" s="19"/>
      <c r="E31" s="19"/>
      <c r="F31" s="19"/>
      <c r="G31" s="19"/>
      <c r="H31" s="20"/>
      <c r="I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2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2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2.75" customHeight="1">
      <c r="A47" s="1"/>
      <c r="B47" s="1"/>
      <c r="C47" s="1"/>
      <c r="D47" s="1"/>
      <c r="E47" s="1"/>
      <c r="F47" s="1"/>
      <c r="G47" s="1"/>
      <c r="H47" s="1"/>
      <c r="I47" s="1"/>
    </row>
    <row r="48" s="2" customFormat="1" ht="12.75" customHeight="1"/>
    <row r="49" spans="1:9" ht="12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2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2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2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2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2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="2" customFormat="1" ht="12.75" customHeight="1"/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="2" customFormat="1" ht="12.75" customHeight="1"/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="2" customFormat="1" ht="12.75" customHeight="1"/>
    <row r="128" spans="1:9" ht="12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74">
      <selection activeCell="F76" sqref="F76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96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6.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403941.10463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403202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97</v>
      </c>
      <c r="F21" s="94">
        <v>403202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-1005.94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SUM(F28:F29)</f>
        <v>1745.0446299999999</v>
      </c>
      <c r="G27" s="111"/>
    </row>
    <row r="28" spans="1:7" ht="12.75" customHeight="1">
      <c r="A28" s="44"/>
      <c r="B28" s="54"/>
      <c r="C28" s="44"/>
      <c r="D28" s="60" t="s">
        <v>30</v>
      </c>
      <c r="E28" s="45" t="s">
        <v>98</v>
      </c>
      <c r="F28" s="94">
        <v>846.37</v>
      </c>
      <c r="G28" s="112"/>
    </row>
    <row r="29" spans="1:7" ht="12.75" customHeight="1">
      <c r="A29" s="44"/>
      <c r="B29" s="54"/>
      <c r="C29" s="44"/>
      <c r="D29" s="60" t="s">
        <v>30</v>
      </c>
      <c r="E29" s="45" t="s">
        <v>56</v>
      </c>
      <c r="F29" s="94">
        <f>18606.1*4.83/100</f>
        <v>898.6746299999999</v>
      </c>
      <c r="G29" s="112"/>
    </row>
    <row r="30" spans="1:7" ht="12.75" customHeight="1">
      <c r="A30" s="44"/>
      <c r="B30" s="54"/>
      <c r="C30" s="44"/>
      <c r="D30" s="44"/>
      <c r="E30" s="44"/>
      <c r="F30" s="95"/>
      <c r="G30" s="111"/>
    </row>
    <row r="31" spans="1:7" s="64" customFormat="1" ht="12.75" customHeight="1">
      <c r="A31" s="62"/>
      <c r="B31" s="57" t="s">
        <v>16</v>
      </c>
      <c r="C31" s="62"/>
      <c r="D31" s="62"/>
      <c r="E31" s="63"/>
      <c r="F31" s="96"/>
      <c r="G31" s="105">
        <f>-(F33+F40+F46+F49+F55+F62+F63+F64+F65)</f>
        <v>-399119.0180720001</v>
      </c>
    </row>
    <row r="32" spans="1:7" ht="12.75" customHeight="1">
      <c r="A32" s="44"/>
      <c r="B32" s="54"/>
      <c r="C32" s="44" t="s">
        <v>17</v>
      </c>
      <c r="D32" s="44"/>
      <c r="F32" s="95" t="s">
        <v>0</v>
      </c>
      <c r="G32" s="111"/>
    </row>
    <row r="33" spans="1:7" ht="12.75" customHeight="1">
      <c r="A33" s="44"/>
      <c r="B33" s="54"/>
      <c r="D33" s="44" t="s">
        <v>18</v>
      </c>
      <c r="E33" s="65"/>
      <c r="F33" s="97">
        <f>SUM(F34:F39)</f>
        <v>169380.59147800002</v>
      </c>
      <c r="G33" s="111"/>
    </row>
    <row r="34" spans="1:7" ht="12.75" customHeight="1">
      <c r="A34" s="44"/>
      <c r="B34" s="54"/>
      <c r="D34" s="44"/>
      <c r="E34" s="65" t="s">
        <v>99</v>
      </c>
      <c r="F34" s="98">
        <v>161255.2</v>
      </c>
      <c r="G34" s="111"/>
    </row>
    <row r="35" spans="1:7" ht="12.75" customHeight="1">
      <c r="A35" s="44"/>
      <c r="B35" s="54"/>
      <c r="D35" s="44"/>
      <c r="E35" s="65" t="s">
        <v>89</v>
      </c>
      <c r="F35" s="98">
        <v>1008.71</v>
      </c>
      <c r="G35" s="111"/>
    </row>
    <row r="36" spans="1:7" ht="12.75" customHeight="1">
      <c r="A36" s="44"/>
      <c r="B36" s="54"/>
      <c r="D36" s="44"/>
      <c r="E36" s="65" t="s">
        <v>45</v>
      </c>
      <c r="F36" s="98">
        <v>29.85</v>
      </c>
      <c r="G36" s="111"/>
    </row>
    <row r="37" spans="1:7" ht="12.75" customHeight="1">
      <c r="A37" s="44"/>
      <c r="B37" s="54"/>
      <c r="D37" s="44"/>
      <c r="E37" s="65" t="s">
        <v>100</v>
      </c>
      <c r="F37" s="98">
        <v>569.6</v>
      </c>
      <c r="G37" s="111"/>
    </row>
    <row r="38" spans="1:7" ht="12.75" customHeight="1">
      <c r="A38" s="44"/>
      <c r="B38" s="54"/>
      <c r="C38" s="44"/>
      <c r="D38" s="44"/>
      <c r="E38" s="66" t="s">
        <v>59</v>
      </c>
      <c r="F38" s="98">
        <v>6019.13</v>
      </c>
      <c r="G38" s="111"/>
    </row>
    <row r="39" spans="1:7" ht="12.75" customHeight="1">
      <c r="A39" s="44"/>
      <c r="B39" s="54"/>
      <c r="D39" s="44"/>
      <c r="E39" s="65" t="s">
        <v>219</v>
      </c>
      <c r="F39" s="99">
        <f>10312.66*4.83/100</f>
        <v>498.101478</v>
      </c>
      <c r="G39" s="111"/>
    </row>
    <row r="40" spans="1:7" ht="12.75" customHeight="1">
      <c r="A40" s="44"/>
      <c r="B40" s="54"/>
      <c r="C40" s="44" t="s">
        <v>19</v>
      </c>
      <c r="D40" s="44"/>
      <c r="E40" s="65"/>
      <c r="F40" s="97">
        <f>SUM(F41:F45)</f>
        <v>62106.204813000004</v>
      </c>
      <c r="G40" s="111"/>
    </row>
    <row r="41" spans="1:7" ht="12.75" customHeight="1">
      <c r="A41" s="44"/>
      <c r="B41" s="54"/>
      <c r="C41" s="44"/>
      <c r="D41" s="44"/>
      <c r="E41" s="66" t="s">
        <v>47</v>
      </c>
      <c r="F41" s="98">
        <v>7380.58</v>
      </c>
      <c r="G41" s="111"/>
    </row>
    <row r="42" spans="1:7" ht="12.75" customHeight="1">
      <c r="A42" s="44"/>
      <c r="B42" s="54"/>
      <c r="C42" s="44"/>
      <c r="D42" s="44"/>
      <c r="E42" s="66" t="s">
        <v>46</v>
      </c>
      <c r="F42" s="98">
        <v>4791.08</v>
      </c>
      <c r="G42" s="111"/>
    </row>
    <row r="43" spans="1:7" ht="12.75" customHeight="1">
      <c r="A43" s="44"/>
      <c r="B43" s="54"/>
      <c r="C43" s="44"/>
      <c r="D43" s="44"/>
      <c r="E43" s="66" t="s">
        <v>53</v>
      </c>
      <c r="F43" s="98">
        <v>2757.38</v>
      </c>
      <c r="G43" s="111"/>
    </row>
    <row r="44" spans="1:7" ht="12.75" customHeight="1">
      <c r="A44" s="44"/>
      <c r="B44" s="54"/>
      <c r="C44" s="44"/>
      <c r="D44" s="44"/>
      <c r="E44" s="66" t="s">
        <v>136</v>
      </c>
      <c r="F44" s="98">
        <v>30811.68</v>
      </c>
      <c r="G44" s="111"/>
    </row>
    <row r="45" spans="1:7" ht="12.75" customHeight="1">
      <c r="A45" s="44"/>
      <c r="B45" s="54"/>
      <c r="C45" s="44"/>
      <c r="D45" s="44"/>
      <c r="E45" s="66" t="s">
        <v>219</v>
      </c>
      <c r="F45" s="98">
        <f>340665.11*4.83/100-88.64</f>
        <v>16365.484813</v>
      </c>
      <c r="G45" s="111"/>
    </row>
    <row r="46" spans="1:7" ht="12.75" customHeight="1">
      <c r="A46" s="44"/>
      <c r="B46" s="54"/>
      <c r="C46" s="44" t="s">
        <v>20</v>
      </c>
      <c r="D46" s="44"/>
      <c r="E46" s="65"/>
      <c r="F46" s="93">
        <f>SUM(F47:F48)</f>
        <v>804.077109</v>
      </c>
      <c r="G46" s="111"/>
    </row>
    <row r="47" spans="1:7" ht="12.75" customHeight="1">
      <c r="A47" s="44"/>
      <c r="B47" s="54"/>
      <c r="C47" s="44"/>
      <c r="D47" s="44"/>
      <c r="E47" s="66" t="s">
        <v>122</v>
      </c>
      <c r="F47" s="102">
        <v>542.28</v>
      </c>
      <c r="G47" s="111"/>
    </row>
    <row r="48" spans="1:7" ht="12.75" customHeight="1">
      <c r="A48" s="44"/>
      <c r="B48" s="54"/>
      <c r="C48" s="44"/>
      <c r="D48" s="44"/>
      <c r="E48" s="66" t="s">
        <v>219</v>
      </c>
      <c r="F48" s="102">
        <f>5420.23*4.83/100</f>
        <v>261.797109</v>
      </c>
      <c r="G48" s="111"/>
    </row>
    <row r="49" spans="1:7" ht="12.75" customHeight="1">
      <c r="A49" s="44"/>
      <c r="B49" s="54"/>
      <c r="C49" s="44" t="s">
        <v>21</v>
      </c>
      <c r="D49" s="44"/>
      <c r="E49" s="65"/>
      <c r="F49" s="97">
        <f>SUM(F50:F54)</f>
        <v>162850.16432900002</v>
      </c>
      <c r="G49" s="111"/>
    </row>
    <row r="50" spans="1:7" ht="12.75" customHeight="1">
      <c r="A50" s="44"/>
      <c r="B50" s="54"/>
      <c r="D50" s="67" t="s">
        <v>22</v>
      </c>
      <c r="E50" s="68"/>
      <c r="F50" s="98">
        <f>(89831.24+1962.76+7385.92)+(252968.7*4.83/100)+214.05-101.68-160.12</f>
        <v>111350.55821000002</v>
      </c>
      <c r="G50" s="111"/>
    </row>
    <row r="51" spans="1:7" ht="12.75" customHeight="1">
      <c r="A51" s="44"/>
      <c r="B51" s="54"/>
      <c r="D51" s="67" t="s">
        <v>23</v>
      </c>
      <c r="E51" s="68"/>
      <c r="F51" s="98">
        <f>(31724.35+4954.85+496.88+1869.75)+(44020.19*4.83/100)</f>
        <v>41172.00517699999</v>
      </c>
      <c r="G51" s="111"/>
    </row>
    <row r="52" spans="1:7" ht="12.75" customHeight="1">
      <c r="A52" s="44"/>
      <c r="B52" s="54"/>
      <c r="D52" s="67" t="s">
        <v>24</v>
      </c>
      <c r="E52" s="68"/>
      <c r="F52" s="98">
        <f>9225.51+(20144.74*4.83/100)</f>
        <v>10198.500942</v>
      </c>
      <c r="G52" s="111"/>
    </row>
    <row r="53" spans="1:7" ht="12.75" customHeight="1">
      <c r="A53" s="44"/>
      <c r="B53" s="54"/>
      <c r="D53" s="67" t="s">
        <v>25</v>
      </c>
      <c r="E53" s="68"/>
      <c r="F53" s="98">
        <v>0</v>
      </c>
      <c r="G53" s="111"/>
    </row>
    <row r="54" spans="1:7" ht="12.75" customHeight="1">
      <c r="A54" s="44"/>
      <c r="B54" s="54"/>
      <c r="D54" s="67" t="s">
        <v>137</v>
      </c>
      <c r="E54" s="68"/>
      <c r="F54" s="98">
        <v>129.1</v>
      </c>
      <c r="G54" s="111"/>
    </row>
    <row r="55" spans="1:7" ht="12.75" customHeight="1">
      <c r="A55" s="44"/>
      <c r="B55" s="54"/>
      <c r="C55" s="44" t="s">
        <v>27</v>
      </c>
      <c r="D55" s="44"/>
      <c r="E55" s="65"/>
      <c r="F55" s="97">
        <f>SUM(F56:F60)</f>
        <v>453.729387</v>
      </c>
      <c r="G55" s="111"/>
    </row>
    <row r="56" spans="1:7" ht="12.75" customHeight="1">
      <c r="A56" s="44"/>
      <c r="B56" s="54"/>
      <c r="C56" s="44"/>
      <c r="D56" s="67" t="s">
        <v>28</v>
      </c>
      <c r="E56" s="68"/>
      <c r="F56" s="98">
        <f>2090.44*4.83/100</f>
        <v>100.968252</v>
      </c>
      <c r="G56" s="111"/>
    </row>
    <row r="57" spans="1:7" ht="12.75" customHeight="1">
      <c r="A57" s="44"/>
      <c r="B57" s="54"/>
      <c r="D57" s="67" t="s">
        <v>29</v>
      </c>
      <c r="E57" s="69"/>
      <c r="F57" s="98">
        <f>289.08+(512.4*4.83/100)</f>
        <v>313.82892</v>
      </c>
      <c r="G57" s="111"/>
    </row>
    <row r="58" spans="1:7" ht="12.75" customHeight="1">
      <c r="A58" s="44"/>
      <c r="B58" s="54"/>
      <c r="D58" s="67" t="s">
        <v>31</v>
      </c>
      <c r="E58" s="68"/>
      <c r="F58" s="98">
        <v>0</v>
      </c>
      <c r="G58" s="111"/>
    </row>
    <row r="59" spans="1:7" ht="12.75" customHeight="1">
      <c r="A59" s="44"/>
      <c r="B59" s="54"/>
      <c r="D59" s="67" t="s">
        <v>32</v>
      </c>
      <c r="E59" s="68"/>
      <c r="F59" s="98"/>
      <c r="G59" s="111"/>
    </row>
    <row r="60" spans="1:7" ht="12.75" customHeight="1">
      <c r="A60" s="44"/>
      <c r="B60" s="54"/>
      <c r="D60" s="67"/>
      <c r="E60" s="69" t="s">
        <v>33</v>
      </c>
      <c r="F60" s="98">
        <f>806.05*4.83/100</f>
        <v>38.932215</v>
      </c>
      <c r="G60" s="111"/>
    </row>
    <row r="61" spans="1:7" ht="12.75" customHeight="1">
      <c r="A61" s="44"/>
      <c r="B61" s="54"/>
      <c r="C61" s="44" t="s">
        <v>34</v>
      </c>
      <c r="D61" s="44"/>
      <c r="E61" s="65"/>
      <c r="F61" s="95"/>
      <c r="G61" s="111"/>
    </row>
    <row r="62" spans="1:7" ht="12.75" customHeight="1">
      <c r="A62" s="44"/>
      <c r="B62" s="54"/>
      <c r="D62" s="44"/>
      <c r="E62" s="70" t="s">
        <v>35</v>
      </c>
      <c r="F62" s="95">
        <v>0</v>
      </c>
      <c r="G62" s="111"/>
    </row>
    <row r="63" spans="1:7" ht="12.75" customHeight="1">
      <c r="A63" s="44"/>
      <c r="B63" s="54"/>
      <c r="C63" s="44" t="s">
        <v>36</v>
      </c>
      <c r="D63" s="44"/>
      <c r="E63" s="65"/>
      <c r="F63" s="95">
        <v>0</v>
      </c>
      <c r="G63" s="111"/>
    </row>
    <row r="64" spans="1:7" ht="12.75" customHeight="1">
      <c r="A64" s="44"/>
      <c r="B64" s="54"/>
      <c r="C64" s="44" t="s">
        <v>37</v>
      </c>
      <c r="D64" s="44"/>
      <c r="E64" s="65"/>
      <c r="F64" s="95">
        <v>0</v>
      </c>
      <c r="G64" s="111"/>
    </row>
    <row r="65" spans="1:7" ht="12.75" customHeight="1">
      <c r="A65" s="44"/>
      <c r="B65" s="54"/>
      <c r="C65" s="44" t="s">
        <v>38</v>
      </c>
      <c r="D65" s="44"/>
      <c r="E65" s="65"/>
      <c r="F65" s="95">
        <f>SUM(F66:F68)</f>
        <v>3524.2509560000003</v>
      </c>
      <c r="G65" s="111"/>
    </row>
    <row r="66" spans="1:7" ht="12.75" customHeight="1">
      <c r="A66" s="44"/>
      <c r="B66" s="54"/>
      <c r="C66" s="44"/>
      <c r="D66" s="44"/>
      <c r="E66" s="65" t="s">
        <v>133</v>
      </c>
      <c r="F66" s="103">
        <v>25.82</v>
      </c>
      <c r="G66" s="111"/>
    </row>
    <row r="67" spans="1:7" ht="13.5" customHeight="1">
      <c r="A67" s="44"/>
      <c r="B67" s="54"/>
      <c r="C67" s="44"/>
      <c r="D67" s="44" t="s">
        <v>0</v>
      </c>
      <c r="E67" s="66" t="s">
        <v>58</v>
      </c>
      <c r="F67" s="98">
        <v>3219</v>
      </c>
      <c r="G67" s="111"/>
    </row>
    <row r="68" spans="1:7" ht="12.75" customHeight="1">
      <c r="A68" s="44"/>
      <c r="B68" s="54"/>
      <c r="C68" s="44"/>
      <c r="D68" s="44"/>
      <c r="E68" s="66" t="s">
        <v>220</v>
      </c>
      <c r="F68" s="102">
        <f>5785.32*4.83/100</f>
        <v>279.430956</v>
      </c>
      <c r="G68" s="111"/>
    </row>
    <row r="69" spans="1:7" ht="12.75" customHeight="1">
      <c r="A69" s="44"/>
      <c r="B69" s="54"/>
      <c r="C69" s="44"/>
      <c r="D69" s="44"/>
      <c r="E69" s="70"/>
      <c r="F69" s="95" t="s">
        <v>0</v>
      </c>
      <c r="G69" s="111"/>
    </row>
    <row r="70" spans="1:7" ht="12.75" customHeight="1">
      <c r="A70" s="72"/>
      <c r="B70" s="57" t="s">
        <v>39</v>
      </c>
      <c r="C70" s="73"/>
      <c r="D70" s="73"/>
      <c r="E70" s="66"/>
      <c r="F70" s="95" t="s">
        <v>0</v>
      </c>
      <c r="G70" s="106">
        <f>G19+G31</f>
        <v>4822.086557999894</v>
      </c>
    </row>
    <row r="71" spans="1:7" ht="12.75" customHeight="1">
      <c r="A71" s="44"/>
      <c r="B71" s="74" t="s">
        <v>40</v>
      </c>
      <c r="C71" s="44"/>
      <c r="D71" s="44"/>
      <c r="E71" s="70"/>
      <c r="F71" s="95" t="s">
        <v>0</v>
      </c>
      <c r="G71" s="113"/>
    </row>
    <row r="72" spans="2:7" ht="12" customHeight="1">
      <c r="B72" s="76"/>
      <c r="E72" s="65"/>
      <c r="F72" s="95" t="s">
        <v>0</v>
      </c>
      <c r="G72" s="113"/>
    </row>
    <row r="73" spans="2:7" ht="12" customHeight="1">
      <c r="B73" s="57" t="s">
        <v>81</v>
      </c>
      <c r="C73" s="62"/>
      <c r="D73" s="62"/>
      <c r="E73" s="77"/>
      <c r="F73" s="96"/>
      <c r="G73" s="107">
        <f>SUM(F75:F77)</f>
        <v>-1253.442637</v>
      </c>
    </row>
    <row r="74" spans="2:7" ht="12">
      <c r="B74" s="76"/>
      <c r="E74" s="65"/>
      <c r="F74" s="95"/>
      <c r="G74" s="113"/>
    </row>
    <row r="75" spans="2:7" ht="12">
      <c r="B75" s="54"/>
      <c r="C75" s="44" t="s">
        <v>78</v>
      </c>
      <c r="D75" s="44"/>
      <c r="E75" s="65"/>
      <c r="F75" s="93">
        <v>0</v>
      </c>
      <c r="G75" s="113"/>
    </row>
    <row r="76" spans="2:7" ht="12">
      <c r="B76" s="76"/>
      <c r="C76" s="44" t="s">
        <v>79</v>
      </c>
      <c r="E76" s="65"/>
      <c r="F76" s="95">
        <f>-27786.39*4.83/100</f>
        <v>-1342.0826370000002</v>
      </c>
      <c r="G76" s="113"/>
    </row>
    <row r="77" spans="2:7" ht="12">
      <c r="B77" s="76"/>
      <c r="C77" s="44" t="s">
        <v>80</v>
      </c>
      <c r="E77" s="65"/>
      <c r="F77" s="95">
        <v>88.64</v>
      </c>
      <c r="G77" s="113"/>
    </row>
    <row r="78" spans="2:7" ht="12">
      <c r="B78" s="76"/>
      <c r="E78" s="65"/>
      <c r="F78" s="95"/>
      <c r="G78" s="113"/>
    </row>
    <row r="79" spans="2:7" ht="12">
      <c r="B79" s="57" t="s">
        <v>82</v>
      </c>
      <c r="C79" s="62"/>
      <c r="D79" s="62"/>
      <c r="E79" s="77"/>
      <c r="F79" s="96">
        <v>0</v>
      </c>
      <c r="G79" s="107">
        <v>0</v>
      </c>
    </row>
    <row r="80" spans="2:7" ht="12">
      <c r="B80" s="76"/>
      <c r="E80" s="65"/>
      <c r="F80" s="95"/>
      <c r="G80" s="113"/>
    </row>
    <row r="81" spans="2:7" ht="12">
      <c r="B81" s="57" t="s">
        <v>77</v>
      </c>
      <c r="C81" s="62"/>
      <c r="D81" s="62"/>
      <c r="E81" s="77"/>
      <c r="F81" s="96"/>
      <c r="G81" s="107">
        <f>SUM(F83:F84)</f>
        <v>762.6584490000001</v>
      </c>
    </row>
    <row r="82" spans="2:7" ht="12">
      <c r="B82" s="76"/>
      <c r="E82" s="65"/>
      <c r="F82" s="95"/>
      <c r="G82" s="113"/>
    </row>
    <row r="83" spans="2:7" ht="12">
      <c r="B83" s="76"/>
      <c r="C83" s="44" t="s">
        <v>83</v>
      </c>
      <c r="E83" s="65"/>
      <c r="F83" s="95">
        <v>0</v>
      </c>
      <c r="G83" s="113"/>
    </row>
    <row r="84" spans="2:7" ht="12">
      <c r="B84" s="76"/>
      <c r="C84" s="44" t="s">
        <v>84</v>
      </c>
      <c r="E84" s="65"/>
      <c r="F84" s="95">
        <f>15790.03*4.83/100</f>
        <v>762.6584490000001</v>
      </c>
      <c r="G84" s="113"/>
    </row>
    <row r="85" spans="2:7" ht="12">
      <c r="B85" s="76"/>
      <c r="E85" s="65"/>
      <c r="F85" s="95"/>
      <c r="G85" s="113"/>
    </row>
    <row r="86" spans="2:7" ht="12">
      <c r="B86" s="79" t="s">
        <v>85</v>
      </c>
      <c r="C86" s="63"/>
      <c r="D86" s="63"/>
      <c r="E86" s="77"/>
      <c r="F86" s="95">
        <f>109997.32*4.83/100</f>
        <v>5312.870556000001</v>
      </c>
      <c r="G86" s="107">
        <f>F86</f>
        <v>5312.870556000001</v>
      </c>
    </row>
    <row r="87" spans="2:7" ht="12">
      <c r="B87" s="76"/>
      <c r="E87" s="65"/>
      <c r="F87" s="95"/>
      <c r="G87" s="113"/>
    </row>
    <row r="88" spans="2:7" ht="12.75">
      <c r="B88" s="57"/>
      <c r="E88" s="80" t="s">
        <v>86</v>
      </c>
      <c r="F88" s="95"/>
      <c r="G88" s="108">
        <f>G70-G73-G79-G81-G86</f>
        <v>0.00018999989242729498</v>
      </c>
    </row>
    <row r="89" spans="2:7" ht="12">
      <c r="B89" s="81"/>
      <c r="C89" s="82"/>
      <c r="D89" s="82"/>
      <c r="E89" s="83"/>
      <c r="F89" s="114"/>
      <c r="G89" s="115"/>
    </row>
  </sheetData>
  <mergeCells count="4">
    <mergeCell ref="B6:G6"/>
    <mergeCell ref="B11:G11"/>
    <mergeCell ref="B13:G13"/>
    <mergeCell ref="F16:G16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97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workbookViewId="0" topLeftCell="A88">
      <selection activeCell="F92" sqref="F92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88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42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6.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F20+F27+F28+F29+F31</f>
        <v>476712.18216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SUM(F21:F25)</f>
        <v>193188.22000000003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106</v>
      </c>
      <c r="F21" s="94">
        <v>75112.1</v>
      </c>
      <c r="G21" s="110"/>
    </row>
    <row r="22" spans="1:7" ht="12.75" customHeight="1">
      <c r="A22" s="44"/>
      <c r="B22" s="54"/>
      <c r="C22" s="44"/>
      <c r="D22" s="44" t="s">
        <v>30</v>
      </c>
      <c r="E22" s="45" t="s">
        <v>107</v>
      </c>
      <c r="F22" s="94">
        <v>3364.94</v>
      </c>
      <c r="G22" s="110"/>
    </row>
    <row r="23" spans="1:7" ht="12.75" customHeight="1">
      <c r="A23" s="44"/>
      <c r="B23" s="54"/>
      <c r="C23" s="44"/>
      <c r="D23" s="44" t="s">
        <v>30</v>
      </c>
      <c r="E23" s="45" t="s">
        <v>108</v>
      </c>
      <c r="F23" s="94">
        <v>64208.48</v>
      </c>
      <c r="G23" s="110"/>
    </row>
    <row r="24" spans="1:7" ht="12.75" customHeight="1">
      <c r="A24" s="44"/>
      <c r="B24" s="54"/>
      <c r="C24" s="44"/>
      <c r="D24" s="44" t="s">
        <v>30</v>
      </c>
      <c r="E24" s="45" t="s">
        <v>138</v>
      </c>
      <c r="F24" s="94">
        <v>3655</v>
      </c>
      <c r="G24" s="110"/>
    </row>
    <row r="25" spans="1:7" ht="12.75" customHeight="1">
      <c r="A25" s="44"/>
      <c r="B25" s="54"/>
      <c r="C25" s="44"/>
      <c r="D25" s="44" t="s">
        <v>30</v>
      </c>
      <c r="E25" s="45" t="s">
        <v>109</v>
      </c>
      <c r="F25" s="94">
        <v>46847.7</v>
      </c>
      <c r="G25" s="110"/>
    </row>
    <row r="26" spans="1:7" ht="12.75" customHeight="1">
      <c r="A26" s="44"/>
      <c r="B26" s="54"/>
      <c r="C26" s="44" t="s">
        <v>8</v>
      </c>
      <c r="D26" s="44" t="s">
        <v>9</v>
      </c>
      <c r="F26" s="95"/>
      <c r="G26" s="110"/>
    </row>
    <row r="27" spans="1:7" ht="12.75" customHeight="1">
      <c r="A27" s="44"/>
      <c r="B27" s="54"/>
      <c r="C27" s="44"/>
      <c r="D27" s="44" t="s">
        <v>10</v>
      </c>
      <c r="F27" s="95">
        <v>0</v>
      </c>
      <c r="G27" s="110"/>
    </row>
    <row r="28" spans="1:7" ht="12.75" customHeight="1">
      <c r="A28" s="44"/>
      <c r="B28" s="54"/>
      <c r="C28" s="44" t="s">
        <v>11</v>
      </c>
      <c r="D28" s="44" t="s">
        <v>12</v>
      </c>
      <c r="F28" s="95">
        <v>0</v>
      </c>
      <c r="G28" s="110"/>
    </row>
    <row r="29" spans="1:7" ht="12.75" customHeight="1">
      <c r="A29" s="44"/>
      <c r="B29" s="54"/>
      <c r="C29" s="44" t="s">
        <v>13</v>
      </c>
      <c r="D29" s="44"/>
      <c r="F29" s="95">
        <v>0</v>
      </c>
      <c r="G29" s="110"/>
    </row>
    <row r="30" spans="1:7" ht="12.75" customHeight="1">
      <c r="A30" s="44"/>
      <c r="B30" s="54"/>
      <c r="C30" s="44" t="s">
        <v>14</v>
      </c>
      <c r="D30" s="44"/>
      <c r="F30" s="95" t="s">
        <v>0</v>
      </c>
      <c r="G30" s="111"/>
    </row>
    <row r="31" spans="1:7" ht="12.75" customHeight="1">
      <c r="A31" s="44"/>
      <c r="B31" s="54"/>
      <c r="C31" s="44"/>
      <c r="D31" s="44" t="s">
        <v>15</v>
      </c>
      <c r="F31" s="93">
        <f>SUM(F32:F35)</f>
        <v>283523.96216</v>
      </c>
      <c r="G31" s="111"/>
    </row>
    <row r="32" spans="1:7" ht="12.75" customHeight="1">
      <c r="A32" s="44"/>
      <c r="B32" s="54"/>
      <c r="C32" s="44"/>
      <c r="D32" s="60" t="s">
        <v>30</v>
      </c>
      <c r="E32" s="45" t="s">
        <v>55</v>
      </c>
      <c r="F32" s="94">
        <v>177382.21</v>
      </c>
      <c r="G32" s="112"/>
    </row>
    <row r="33" spans="1:7" ht="12.75" customHeight="1">
      <c r="A33" s="44"/>
      <c r="B33" s="54"/>
      <c r="C33" s="44"/>
      <c r="D33" s="60" t="s">
        <v>30</v>
      </c>
      <c r="E33" s="45" t="s">
        <v>172</v>
      </c>
      <c r="F33" s="94">
        <v>103797</v>
      </c>
      <c r="G33" s="112"/>
    </row>
    <row r="34" spans="1:7" ht="12.75" customHeight="1">
      <c r="A34" s="44"/>
      <c r="B34" s="54"/>
      <c r="C34" s="44"/>
      <c r="D34" s="60" t="s">
        <v>30</v>
      </c>
      <c r="E34" s="45" t="s">
        <v>56</v>
      </c>
      <c r="F34" s="94">
        <v>752.07</v>
      </c>
      <c r="G34" s="112"/>
    </row>
    <row r="35" spans="1:7" ht="12.75" customHeight="1">
      <c r="A35" s="44"/>
      <c r="B35" s="54"/>
      <c r="C35" s="44"/>
      <c r="D35" s="60" t="s">
        <v>30</v>
      </c>
      <c r="E35" s="45" t="s">
        <v>218</v>
      </c>
      <c r="F35" s="94">
        <f>18606.1*8.56/100</f>
        <v>1592.6821599999998</v>
      </c>
      <c r="G35" s="112"/>
    </row>
    <row r="36" spans="1:7" ht="12.75" customHeight="1">
      <c r="A36" s="44"/>
      <c r="B36" s="54"/>
      <c r="C36" s="44"/>
      <c r="D36" s="44"/>
      <c r="E36" s="44"/>
      <c r="F36" s="95"/>
      <c r="G36" s="111"/>
    </row>
    <row r="37" spans="1:7" s="64" customFormat="1" ht="12.75" customHeight="1">
      <c r="A37" s="62"/>
      <c r="B37" s="57" t="s">
        <v>16</v>
      </c>
      <c r="C37" s="62"/>
      <c r="D37" s="62"/>
      <c r="E37" s="63"/>
      <c r="F37" s="96"/>
      <c r="G37" s="105">
        <f>-(F39+F44+F61+F64+F70+F77+F78+F79+F80)</f>
        <v>-480801.301904</v>
      </c>
    </row>
    <row r="38" spans="1:7" ht="12.75" customHeight="1">
      <c r="A38" s="44"/>
      <c r="B38" s="54"/>
      <c r="C38" s="44" t="s">
        <v>17</v>
      </c>
      <c r="D38" s="44"/>
      <c r="F38" s="95" t="s">
        <v>0</v>
      </c>
      <c r="G38" s="111"/>
    </row>
    <row r="39" spans="1:7" ht="12.75" customHeight="1">
      <c r="A39" s="44"/>
      <c r="B39" s="54"/>
      <c r="D39" s="44" t="s">
        <v>18</v>
      </c>
      <c r="E39" s="65"/>
      <c r="F39" s="97">
        <f>SUM(F40:F43)</f>
        <v>8438.803696</v>
      </c>
      <c r="G39" s="111"/>
    </row>
    <row r="40" spans="1:7" ht="12.75" customHeight="1">
      <c r="A40" s="44"/>
      <c r="B40" s="54"/>
      <c r="C40" s="44"/>
      <c r="D40" s="44"/>
      <c r="E40" s="66" t="s">
        <v>45</v>
      </c>
      <c r="F40" s="98">
        <v>612</v>
      </c>
      <c r="G40" s="111"/>
    </row>
    <row r="41" spans="1:7" ht="12.75" customHeight="1">
      <c r="A41" s="44"/>
      <c r="B41" s="54"/>
      <c r="C41" s="44"/>
      <c r="D41" s="44"/>
      <c r="E41" s="66" t="s">
        <v>74</v>
      </c>
      <c r="F41" s="98">
        <v>5944.04</v>
      </c>
      <c r="G41" s="111"/>
    </row>
    <row r="42" spans="1:7" ht="12.75" customHeight="1">
      <c r="A42" s="44"/>
      <c r="B42" s="54"/>
      <c r="C42" s="44"/>
      <c r="D42" s="44"/>
      <c r="E42" s="66" t="s">
        <v>59</v>
      </c>
      <c r="F42" s="116">
        <v>1000</v>
      </c>
      <c r="G42" s="111"/>
    </row>
    <row r="43" spans="1:7" ht="12.75" customHeight="1">
      <c r="A43" s="44"/>
      <c r="B43" s="54"/>
      <c r="D43" s="44"/>
      <c r="E43" s="65" t="s">
        <v>219</v>
      </c>
      <c r="F43" s="99">
        <f>10312.66*8.56/100</f>
        <v>882.7636960000001</v>
      </c>
      <c r="G43" s="111"/>
    </row>
    <row r="44" spans="1:7" ht="12.75" customHeight="1">
      <c r="A44" s="44"/>
      <c r="B44" s="54"/>
      <c r="C44" s="44" t="s">
        <v>19</v>
      </c>
      <c r="D44" s="44"/>
      <c r="E44" s="65"/>
      <c r="F44" s="97">
        <f>SUM(F45:F60)</f>
        <v>238059.083416</v>
      </c>
      <c r="G44" s="111"/>
    </row>
    <row r="45" spans="1:7" ht="12.75" customHeight="1">
      <c r="A45" s="44"/>
      <c r="B45" s="54"/>
      <c r="C45" s="44"/>
      <c r="D45" s="44"/>
      <c r="E45" s="65" t="s">
        <v>50</v>
      </c>
      <c r="F45" s="97">
        <v>21948.71</v>
      </c>
      <c r="G45" s="111"/>
    </row>
    <row r="46" spans="1:7" ht="12.75" customHeight="1">
      <c r="A46" s="44"/>
      <c r="B46" s="54"/>
      <c r="C46" s="44"/>
      <c r="D46" s="44"/>
      <c r="E46" s="66" t="s">
        <v>46</v>
      </c>
      <c r="F46" s="98">
        <v>319.41</v>
      </c>
      <c r="G46" s="111"/>
    </row>
    <row r="47" spans="1:7" ht="12.75" customHeight="1">
      <c r="A47" s="44"/>
      <c r="B47" s="54"/>
      <c r="C47" s="44"/>
      <c r="D47" s="44"/>
      <c r="E47" s="66" t="s">
        <v>173</v>
      </c>
      <c r="F47" s="98">
        <v>43.38</v>
      </c>
      <c r="G47" s="111"/>
    </row>
    <row r="48" spans="1:7" ht="12.75" customHeight="1">
      <c r="A48" s="44"/>
      <c r="B48" s="54"/>
      <c r="C48" s="44"/>
      <c r="D48" s="44"/>
      <c r="E48" s="66" t="s">
        <v>140</v>
      </c>
      <c r="F48" s="98">
        <v>3840.19</v>
      </c>
      <c r="G48" s="111"/>
    </row>
    <row r="49" spans="1:7" ht="12.75" customHeight="1">
      <c r="A49" s="44"/>
      <c r="B49" s="54"/>
      <c r="C49" s="44"/>
      <c r="D49" s="44"/>
      <c r="E49" s="66" t="s">
        <v>154</v>
      </c>
      <c r="F49" s="98">
        <v>1409.1</v>
      </c>
      <c r="G49" s="111"/>
    </row>
    <row r="50" spans="1:7" ht="12.75" customHeight="1">
      <c r="A50" s="44"/>
      <c r="B50" s="54"/>
      <c r="C50" s="44"/>
      <c r="D50" s="44"/>
      <c r="E50" s="66" t="s">
        <v>128</v>
      </c>
      <c r="F50" s="98">
        <v>863.7</v>
      </c>
      <c r="G50" s="111"/>
    </row>
    <row r="51" spans="1:7" ht="12.75" customHeight="1">
      <c r="A51" s="44"/>
      <c r="B51" s="54"/>
      <c r="C51" s="44"/>
      <c r="D51" s="44"/>
      <c r="E51" s="66" t="s">
        <v>129</v>
      </c>
      <c r="F51" s="98">
        <v>4906.86</v>
      </c>
      <c r="G51" s="111"/>
    </row>
    <row r="52" spans="1:7" ht="12.75" customHeight="1">
      <c r="A52" s="44"/>
      <c r="B52" s="54"/>
      <c r="C52" s="44"/>
      <c r="D52" s="44"/>
      <c r="E52" s="66" t="s">
        <v>48</v>
      </c>
      <c r="F52" s="98">
        <v>246</v>
      </c>
      <c r="G52" s="111"/>
    </row>
    <row r="53" spans="1:7" ht="12.75" customHeight="1">
      <c r="A53" s="44"/>
      <c r="B53" s="54"/>
      <c r="C53" s="44"/>
      <c r="D53" s="44"/>
      <c r="E53" s="66" t="s">
        <v>174</v>
      </c>
      <c r="F53" s="98">
        <v>1301.65</v>
      </c>
      <c r="G53" s="111"/>
    </row>
    <row r="54" spans="1:7" ht="12.75" customHeight="1">
      <c r="A54" s="44"/>
      <c r="B54" s="54"/>
      <c r="C54" s="44"/>
      <c r="D54" s="44"/>
      <c r="E54" s="66" t="s">
        <v>125</v>
      </c>
      <c r="F54" s="98">
        <v>12361.1</v>
      </c>
      <c r="G54" s="111"/>
    </row>
    <row r="55" spans="1:7" ht="12.75" customHeight="1">
      <c r="A55" s="44"/>
      <c r="B55" s="54"/>
      <c r="C55" s="44"/>
      <c r="D55" s="44"/>
      <c r="E55" s="66" t="s">
        <v>93</v>
      </c>
      <c r="F55" s="98">
        <v>12316.07</v>
      </c>
      <c r="G55" s="111"/>
    </row>
    <row r="56" spans="1:7" ht="12.75" customHeight="1">
      <c r="A56" s="44"/>
      <c r="B56" s="54"/>
      <c r="C56" s="44"/>
      <c r="D56" s="44"/>
      <c r="E56" s="66" t="s">
        <v>139</v>
      </c>
      <c r="F56" s="98">
        <v>60698.05</v>
      </c>
      <c r="G56" s="111"/>
    </row>
    <row r="57" spans="1:7" ht="12.75" customHeight="1">
      <c r="A57" s="44"/>
      <c r="B57" s="54"/>
      <c r="C57" s="44"/>
      <c r="D57" s="44"/>
      <c r="E57" s="66" t="s">
        <v>175</v>
      </c>
      <c r="F57" s="98">
        <v>71459.67</v>
      </c>
      <c r="G57" s="111"/>
    </row>
    <row r="58" spans="1:7" ht="12.75" customHeight="1">
      <c r="A58" s="44"/>
      <c r="B58" s="54"/>
      <c r="C58" s="44"/>
      <c r="D58" s="44"/>
      <c r="E58" s="66" t="s">
        <v>177</v>
      </c>
      <c r="F58" s="98">
        <v>16214.96</v>
      </c>
      <c r="G58" s="111"/>
    </row>
    <row r="59" spans="1:7" ht="12.75" customHeight="1">
      <c r="A59" s="44"/>
      <c r="B59" s="54"/>
      <c r="C59" s="44"/>
      <c r="D59" s="44"/>
      <c r="E59" s="66" t="s">
        <v>176</v>
      </c>
      <c r="F59" s="98">
        <v>1126.4</v>
      </c>
      <c r="G59" s="111"/>
    </row>
    <row r="60" spans="1:7" ht="12.75" customHeight="1">
      <c r="A60" s="44"/>
      <c r="B60" s="54"/>
      <c r="C60" s="44"/>
      <c r="D60" s="44"/>
      <c r="E60" s="66" t="s">
        <v>219</v>
      </c>
      <c r="F60" s="98">
        <f>340665.11*8.56/100-157.1</f>
        <v>29003.833416</v>
      </c>
      <c r="G60" s="111"/>
    </row>
    <row r="61" spans="1:7" ht="12.75" customHeight="1">
      <c r="A61" s="44"/>
      <c r="B61" s="54"/>
      <c r="C61" s="44" t="s">
        <v>20</v>
      </c>
      <c r="D61" s="44"/>
      <c r="E61" s="65"/>
      <c r="F61" s="93">
        <f>SUM(F62:F63)</f>
        <v>4372.711687999999</v>
      </c>
      <c r="G61" s="111"/>
    </row>
    <row r="62" spans="1:7" ht="12.75" customHeight="1">
      <c r="A62" s="44"/>
      <c r="B62" s="54"/>
      <c r="C62" s="44"/>
      <c r="D62" s="44"/>
      <c r="E62" s="66" t="s">
        <v>94</v>
      </c>
      <c r="F62" s="98">
        <v>3908.74</v>
      </c>
      <c r="G62" s="111"/>
    </row>
    <row r="63" spans="1:7" ht="12.75" customHeight="1">
      <c r="A63" s="44"/>
      <c r="B63" s="54"/>
      <c r="C63" s="44"/>
      <c r="D63" s="44"/>
      <c r="E63" s="66" t="s">
        <v>219</v>
      </c>
      <c r="F63" s="98">
        <f>5420.23*8.56/100</f>
        <v>463.971688</v>
      </c>
      <c r="G63" s="111"/>
    </row>
    <row r="64" spans="1:7" ht="12.75" customHeight="1">
      <c r="A64" s="44"/>
      <c r="B64" s="54"/>
      <c r="C64" s="44" t="s">
        <v>21</v>
      </c>
      <c r="D64" s="44"/>
      <c r="E64" s="65"/>
      <c r="F64" s="97">
        <f>SUM(F65:F69)</f>
        <v>221117.61872800003</v>
      </c>
      <c r="G64" s="111"/>
    </row>
    <row r="65" spans="1:7" ht="12.75" customHeight="1">
      <c r="A65" s="44"/>
      <c r="B65" s="54"/>
      <c r="D65" s="67" t="s">
        <v>22</v>
      </c>
      <c r="E65" s="68"/>
      <c r="F65" s="98">
        <f>(149608.69+1480.82+4579.12)+(252968.7*8.56/100)+18.38</f>
        <v>177341.13072000002</v>
      </c>
      <c r="G65" s="111"/>
    </row>
    <row r="66" spans="1:7" ht="12.75" customHeight="1">
      <c r="A66" s="44"/>
      <c r="B66" s="54"/>
      <c r="D66" s="67" t="s">
        <v>23</v>
      </c>
      <c r="E66" s="68"/>
      <c r="F66" s="98">
        <f>(25017+2477.43+368.88+1140.7)+(44020.19*8.56/100)</f>
        <v>32772.138264</v>
      </c>
      <c r="G66" s="111"/>
    </row>
    <row r="67" spans="1:7" ht="12.75" customHeight="1">
      <c r="A67" s="44"/>
      <c r="B67" s="54"/>
      <c r="D67" s="67" t="s">
        <v>24</v>
      </c>
      <c r="E67" s="68"/>
      <c r="F67" s="98">
        <f>7050.92+(20144.74*8.56/100)</f>
        <v>8775.309744</v>
      </c>
      <c r="G67" s="111"/>
    </row>
    <row r="68" spans="1:7" ht="12.75" customHeight="1">
      <c r="A68" s="44"/>
      <c r="B68" s="54"/>
      <c r="D68" s="67" t="s">
        <v>25</v>
      </c>
      <c r="E68" s="68"/>
      <c r="F68" s="98">
        <v>0</v>
      </c>
      <c r="G68" s="111"/>
    </row>
    <row r="69" spans="1:7" ht="12.75" customHeight="1">
      <c r="A69" s="44"/>
      <c r="B69" s="54"/>
      <c r="D69" s="67" t="s">
        <v>137</v>
      </c>
      <c r="E69" s="68"/>
      <c r="F69" s="98">
        <v>2229.04</v>
      </c>
      <c r="G69" s="111"/>
    </row>
    <row r="70" spans="1:7" ht="12.75" customHeight="1">
      <c r="A70" s="44"/>
      <c r="B70" s="54"/>
      <c r="C70" s="44" t="s">
        <v>27</v>
      </c>
      <c r="D70" s="44"/>
      <c r="E70" s="65"/>
      <c r="F70" s="97">
        <f>SUM(F71:F75)</f>
        <v>6157.960983999999</v>
      </c>
      <c r="G70" s="111"/>
    </row>
    <row r="71" spans="1:7" ht="12.75" customHeight="1">
      <c r="A71" s="44"/>
      <c r="B71" s="54"/>
      <c r="C71" s="44"/>
      <c r="D71" s="67" t="s">
        <v>28</v>
      </c>
      <c r="E71" s="68"/>
      <c r="F71" s="98">
        <f>2090.44*8.56/100</f>
        <v>178.94166400000003</v>
      </c>
      <c r="G71" s="111"/>
    </row>
    <row r="72" spans="1:7" ht="12.75" customHeight="1">
      <c r="A72" s="44"/>
      <c r="B72" s="54"/>
      <c r="D72" s="67" t="s">
        <v>29</v>
      </c>
      <c r="E72" s="69"/>
      <c r="F72" s="98">
        <f>5866.16+(512.4*8.56/100)</f>
        <v>5910.0214399999995</v>
      </c>
      <c r="G72" s="111"/>
    </row>
    <row r="73" spans="1:7" ht="12.75" customHeight="1">
      <c r="A73" s="44"/>
      <c r="B73" s="54"/>
      <c r="D73" s="67" t="s">
        <v>31</v>
      </c>
      <c r="E73" s="68"/>
      <c r="F73" s="98">
        <v>0</v>
      </c>
      <c r="G73" s="111"/>
    </row>
    <row r="74" spans="1:7" ht="12.75" customHeight="1">
      <c r="A74" s="44"/>
      <c r="B74" s="54"/>
      <c r="D74" s="67" t="s">
        <v>32</v>
      </c>
      <c r="E74" s="68"/>
      <c r="F74" s="98"/>
      <c r="G74" s="111"/>
    </row>
    <row r="75" spans="1:7" ht="12.75" customHeight="1">
      <c r="A75" s="44"/>
      <c r="B75" s="54"/>
      <c r="D75" s="67"/>
      <c r="E75" s="69" t="s">
        <v>33</v>
      </c>
      <c r="F75" s="98">
        <f>806.05*8.56/100</f>
        <v>68.99788000000001</v>
      </c>
      <c r="G75" s="111"/>
    </row>
    <row r="76" spans="1:7" ht="12.75" customHeight="1">
      <c r="A76" s="44"/>
      <c r="B76" s="54"/>
      <c r="C76" s="44" t="s">
        <v>34</v>
      </c>
      <c r="D76" s="44"/>
      <c r="E76" s="65"/>
      <c r="F76" s="95"/>
      <c r="G76" s="111"/>
    </row>
    <row r="77" spans="1:7" ht="12.75" customHeight="1">
      <c r="A77" s="44"/>
      <c r="B77" s="54"/>
      <c r="D77" s="44"/>
      <c r="E77" s="70" t="s">
        <v>35</v>
      </c>
      <c r="F77" s="95">
        <v>0</v>
      </c>
      <c r="G77" s="111"/>
    </row>
    <row r="78" spans="1:7" ht="12.75" customHeight="1">
      <c r="A78" s="44"/>
      <c r="B78" s="54"/>
      <c r="C78" s="44" t="s">
        <v>36</v>
      </c>
      <c r="D78" s="44"/>
      <c r="E78" s="65"/>
      <c r="F78" s="95">
        <v>0</v>
      </c>
      <c r="G78" s="111"/>
    </row>
    <row r="79" spans="1:7" ht="12.75" customHeight="1">
      <c r="A79" s="44"/>
      <c r="B79" s="54"/>
      <c r="C79" s="44" t="s">
        <v>37</v>
      </c>
      <c r="D79" s="44"/>
      <c r="E79" s="65"/>
      <c r="F79" s="95">
        <v>0</v>
      </c>
      <c r="G79" s="111"/>
    </row>
    <row r="80" spans="1:7" ht="12.75" customHeight="1">
      <c r="A80" s="44"/>
      <c r="B80" s="54"/>
      <c r="C80" s="44" t="s">
        <v>38</v>
      </c>
      <c r="D80" s="44"/>
      <c r="E80" s="65"/>
      <c r="F80" s="95">
        <f>SUM(F81:F84)</f>
        <v>2655.123392</v>
      </c>
      <c r="G80" s="111"/>
    </row>
    <row r="81" spans="1:7" ht="12.75" customHeight="1">
      <c r="A81" s="44"/>
      <c r="B81" s="54"/>
      <c r="C81" s="44"/>
      <c r="D81" s="44"/>
      <c r="E81" s="71" t="s">
        <v>141</v>
      </c>
      <c r="F81" s="103">
        <v>1199.75</v>
      </c>
      <c r="G81" s="111"/>
    </row>
    <row r="82" spans="1:7" ht="12.75" customHeight="1">
      <c r="A82" s="44"/>
      <c r="B82" s="54"/>
      <c r="C82" s="44"/>
      <c r="D82" s="44"/>
      <c r="E82" s="71" t="s">
        <v>133</v>
      </c>
      <c r="F82" s="103">
        <v>37.8</v>
      </c>
      <c r="G82" s="111"/>
    </row>
    <row r="83" spans="1:7" ht="12.75" customHeight="1">
      <c r="A83" s="44"/>
      <c r="B83" s="54"/>
      <c r="C83" s="44"/>
      <c r="D83" s="44"/>
      <c r="E83" s="66" t="s">
        <v>95</v>
      </c>
      <c r="F83" s="98">
        <v>922.35</v>
      </c>
      <c r="G83" s="111"/>
    </row>
    <row r="84" spans="1:7" ht="12.75" customHeight="1">
      <c r="A84" s="44"/>
      <c r="B84" s="54"/>
      <c r="C84" s="44"/>
      <c r="D84" s="44"/>
      <c r="E84" s="66" t="s">
        <v>219</v>
      </c>
      <c r="F84" s="102">
        <f>5785.32*8.56/100</f>
        <v>495.22339200000005</v>
      </c>
      <c r="G84" s="111"/>
    </row>
    <row r="85" spans="1:7" ht="12.75" customHeight="1">
      <c r="A85" s="44"/>
      <c r="B85" s="54"/>
      <c r="C85" s="44"/>
      <c r="D85" s="44"/>
      <c r="E85" s="70"/>
      <c r="F85" s="95" t="s">
        <v>0</v>
      </c>
      <c r="G85" s="111"/>
    </row>
    <row r="86" spans="1:7" ht="12.75" customHeight="1">
      <c r="A86" s="72"/>
      <c r="B86" s="57" t="s">
        <v>39</v>
      </c>
      <c r="C86" s="73"/>
      <c r="D86" s="73"/>
      <c r="E86" s="66"/>
      <c r="F86" s="95" t="s">
        <v>0</v>
      </c>
      <c r="G86" s="106">
        <f>G19+G37</f>
        <v>-4089.119743999967</v>
      </c>
    </row>
    <row r="87" spans="1:7" ht="12.75" customHeight="1">
      <c r="A87" s="44"/>
      <c r="B87" s="74" t="s">
        <v>40</v>
      </c>
      <c r="C87" s="44"/>
      <c r="D87" s="44"/>
      <c r="E87" s="70"/>
      <c r="F87" s="95" t="s">
        <v>0</v>
      </c>
      <c r="G87" s="113"/>
    </row>
    <row r="88" spans="2:7" ht="12" customHeight="1">
      <c r="B88" s="76"/>
      <c r="E88" s="65"/>
      <c r="F88" s="95" t="s">
        <v>0</v>
      </c>
      <c r="G88" s="113"/>
    </row>
    <row r="89" spans="2:7" ht="12" customHeight="1">
      <c r="B89" s="57" t="s">
        <v>81</v>
      </c>
      <c r="C89" s="62"/>
      <c r="D89" s="62"/>
      <c r="E89" s="77"/>
      <c r="F89" s="96"/>
      <c r="G89" s="107">
        <f>SUM(F91:F93)</f>
        <v>-2221.414984</v>
      </c>
    </row>
    <row r="90" spans="2:7" ht="12">
      <c r="B90" s="76"/>
      <c r="E90" s="65"/>
      <c r="F90" s="95"/>
      <c r="G90" s="113"/>
    </row>
    <row r="91" spans="2:7" ht="12">
      <c r="B91" s="54"/>
      <c r="C91" s="44" t="s">
        <v>78</v>
      </c>
      <c r="D91" s="44"/>
      <c r="E91" s="65"/>
      <c r="F91" s="93">
        <v>0</v>
      </c>
      <c r="G91" s="113"/>
    </row>
    <row r="92" spans="2:7" ht="12">
      <c r="B92" s="76"/>
      <c r="C92" s="44" t="s">
        <v>79</v>
      </c>
      <c r="E92" s="65"/>
      <c r="F92" s="95">
        <f>-27786.39*8.56/100</f>
        <v>-2378.514984</v>
      </c>
      <c r="G92" s="113"/>
    </row>
    <row r="93" spans="2:7" ht="12">
      <c r="B93" s="76"/>
      <c r="C93" s="44" t="s">
        <v>80</v>
      </c>
      <c r="E93" s="65"/>
      <c r="F93" s="95">
        <v>157.1</v>
      </c>
      <c r="G93" s="113"/>
    </row>
    <row r="94" spans="2:7" ht="12">
      <c r="B94" s="76"/>
      <c r="E94" s="65"/>
      <c r="F94" s="95"/>
      <c r="G94" s="113"/>
    </row>
    <row r="95" spans="2:7" ht="12">
      <c r="B95" s="57" t="s">
        <v>82</v>
      </c>
      <c r="C95" s="62"/>
      <c r="D95" s="62"/>
      <c r="E95" s="77"/>
      <c r="F95" s="96">
        <v>0</v>
      </c>
      <c r="G95" s="107">
        <v>0</v>
      </c>
    </row>
    <row r="96" spans="2:7" ht="12">
      <c r="B96" s="76"/>
      <c r="E96" s="65"/>
      <c r="F96" s="95"/>
      <c r="G96" s="113"/>
    </row>
    <row r="97" spans="2:7" ht="12">
      <c r="B97" s="57" t="s">
        <v>77</v>
      </c>
      <c r="C97" s="62"/>
      <c r="D97" s="62"/>
      <c r="E97" s="77"/>
      <c r="F97" s="96"/>
      <c r="G97" s="107">
        <f>SUM(F99:F100)</f>
        <v>-11283.473431999999</v>
      </c>
    </row>
    <row r="98" spans="2:7" ht="12">
      <c r="B98" s="76"/>
      <c r="E98" s="65"/>
      <c r="F98" s="95"/>
      <c r="G98" s="113"/>
    </row>
    <row r="99" spans="2:7" ht="12">
      <c r="B99" s="76"/>
      <c r="C99" s="44" t="s">
        <v>83</v>
      </c>
      <c r="E99" s="65"/>
      <c r="F99" s="95">
        <v>-16012.73</v>
      </c>
      <c r="G99" s="113"/>
    </row>
    <row r="100" spans="2:7" ht="12">
      <c r="B100" s="76"/>
      <c r="C100" s="44" t="s">
        <v>84</v>
      </c>
      <c r="E100" s="65"/>
      <c r="F100" s="95">
        <f>3377.63+(15790.03*8.56/100)</f>
        <v>4729.256568000001</v>
      </c>
      <c r="G100" s="113"/>
    </row>
    <row r="101" spans="2:7" ht="12">
      <c r="B101" s="76"/>
      <c r="E101" s="65"/>
      <c r="F101" s="95"/>
      <c r="G101" s="113"/>
    </row>
    <row r="102" spans="2:7" ht="12">
      <c r="B102" s="79" t="s">
        <v>85</v>
      </c>
      <c r="C102" s="63"/>
      <c r="D102" s="63"/>
      <c r="E102" s="77"/>
      <c r="F102" s="95">
        <f>109997.32*8.56/100</f>
        <v>9415.770592</v>
      </c>
      <c r="G102" s="107">
        <f>F102</f>
        <v>9415.770592</v>
      </c>
    </row>
    <row r="103" spans="2:7" ht="12">
      <c r="B103" s="76"/>
      <c r="E103" s="65"/>
      <c r="F103" s="95"/>
      <c r="G103" s="113"/>
    </row>
    <row r="104" spans="2:7" ht="12.75">
      <c r="B104" s="57"/>
      <c r="E104" s="80" t="s">
        <v>86</v>
      </c>
      <c r="F104" s="95"/>
      <c r="G104" s="108">
        <f>G86-G89-G95-G97-G102</f>
        <v>-0.0019199999696866143</v>
      </c>
    </row>
    <row r="105" spans="2:7" ht="12">
      <c r="B105" s="81"/>
      <c r="C105" s="82"/>
      <c r="D105" s="82"/>
      <c r="E105" s="83"/>
      <c r="F105" s="114"/>
      <c r="G105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fitToWidth="1" horizontalDpi="300" verticalDpi="300" orientation="portrait" paperSize="9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74">
      <selection activeCell="F51" sqref="F51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101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8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147045.24409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76840.37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110</v>
      </c>
      <c r="F21" s="94">
        <v>76840.37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SUM(F28:F30)</f>
        <v>70204.87409000001</v>
      </c>
      <c r="G27" s="111"/>
    </row>
    <row r="28" spans="1:7" ht="12.75" customHeight="1">
      <c r="A28" s="44"/>
      <c r="B28" s="54"/>
      <c r="C28" s="44"/>
      <c r="D28" s="60" t="s">
        <v>30</v>
      </c>
      <c r="E28" s="45" t="s">
        <v>55</v>
      </c>
      <c r="F28" s="94">
        <v>69477.11</v>
      </c>
      <c r="G28" s="112"/>
    </row>
    <row r="29" spans="1:7" ht="12.75" customHeight="1">
      <c r="A29" s="44"/>
      <c r="B29" s="54"/>
      <c r="C29" s="44"/>
      <c r="D29" s="60" t="s">
        <v>30</v>
      </c>
      <c r="E29" s="45" t="s">
        <v>56</v>
      </c>
      <c r="F29" s="94">
        <v>221.88</v>
      </c>
      <c r="G29" s="112"/>
    </row>
    <row r="30" spans="1:7" ht="12.75" customHeight="1">
      <c r="A30" s="44"/>
      <c r="B30" s="54"/>
      <c r="C30" s="44"/>
      <c r="D30" s="60" t="s">
        <v>30</v>
      </c>
      <c r="E30" s="45" t="s">
        <v>218</v>
      </c>
      <c r="F30" s="94">
        <f>18806.1*2.69/100</f>
        <v>505.8840899999999</v>
      </c>
      <c r="G30" s="112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-(F34+F38+F49+F51+F57+F64+F65+F66+F67)</f>
        <v>-144644.19509599998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SUM(F35:F37)</f>
        <v>5323.730554</v>
      </c>
      <c r="G34" s="111"/>
    </row>
    <row r="35" spans="1:7" ht="12.75" customHeight="1">
      <c r="A35" s="44"/>
      <c r="B35" s="54"/>
      <c r="D35" s="44"/>
      <c r="E35" s="65" t="s">
        <v>178</v>
      </c>
      <c r="F35" s="97">
        <v>220.29</v>
      </c>
      <c r="G35" s="111"/>
    </row>
    <row r="36" spans="1:7" ht="12.75" customHeight="1">
      <c r="A36" s="44"/>
      <c r="B36" s="54"/>
      <c r="C36" s="44"/>
      <c r="D36" s="44"/>
      <c r="E36" s="66" t="s">
        <v>59</v>
      </c>
      <c r="F36" s="98">
        <v>4826.03</v>
      </c>
      <c r="G36" s="111"/>
    </row>
    <row r="37" spans="1:7" ht="12.75" customHeight="1">
      <c r="A37" s="44"/>
      <c r="B37" s="54"/>
      <c r="D37" s="44"/>
      <c r="E37" s="65" t="s">
        <v>219</v>
      </c>
      <c r="F37" s="99">
        <f>10312.66*2.69/100</f>
        <v>277.410554</v>
      </c>
      <c r="G37" s="111"/>
    </row>
    <row r="38" spans="1:7" ht="12.75" customHeight="1">
      <c r="A38" s="44"/>
      <c r="B38" s="54"/>
      <c r="C38" s="44" t="s">
        <v>19</v>
      </c>
      <c r="D38" s="44"/>
      <c r="E38" s="65"/>
      <c r="F38" s="97">
        <f>SUM(F39:F48)</f>
        <v>49852.29145899999</v>
      </c>
      <c r="G38" s="111"/>
    </row>
    <row r="39" spans="1:7" ht="12.75" customHeight="1">
      <c r="A39" s="44"/>
      <c r="B39" s="54"/>
      <c r="C39" s="44"/>
      <c r="D39" s="44"/>
      <c r="E39" s="66" t="s">
        <v>46</v>
      </c>
      <c r="F39" s="98">
        <v>1597.03</v>
      </c>
      <c r="G39" s="111"/>
    </row>
    <row r="40" spans="1:7" ht="12.75" customHeight="1">
      <c r="A40" s="44"/>
      <c r="B40" s="54"/>
      <c r="C40" s="44"/>
      <c r="D40" s="44"/>
      <c r="E40" s="66" t="s">
        <v>173</v>
      </c>
      <c r="F40" s="98">
        <v>160</v>
      </c>
      <c r="G40" s="111"/>
    </row>
    <row r="41" spans="1:7" ht="12.75" customHeight="1">
      <c r="A41" s="44"/>
      <c r="B41" s="54"/>
      <c r="C41" s="44"/>
      <c r="D41" s="44"/>
      <c r="E41" s="66" t="s">
        <v>129</v>
      </c>
      <c r="F41" s="98">
        <v>908.68</v>
      </c>
      <c r="G41" s="111"/>
    </row>
    <row r="42" spans="1:7" ht="12.75" customHeight="1">
      <c r="A42" s="44"/>
      <c r="B42" s="54"/>
      <c r="C42" s="44"/>
      <c r="D42" s="44"/>
      <c r="E42" s="66" t="s">
        <v>166</v>
      </c>
      <c r="F42" s="98">
        <v>2203.2</v>
      </c>
      <c r="G42" s="111"/>
    </row>
    <row r="43" spans="1:7" ht="12.75" customHeight="1">
      <c r="A43" s="44"/>
      <c r="B43" s="54"/>
      <c r="C43" s="44"/>
      <c r="D43" s="44"/>
      <c r="E43" s="66" t="s">
        <v>49</v>
      </c>
      <c r="F43" s="98">
        <v>2790.17</v>
      </c>
      <c r="G43" s="111"/>
    </row>
    <row r="44" spans="1:7" ht="13.5" customHeight="1">
      <c r="A44" s="44"/>
      <c r="B44" s="54"/>
      <c r="C44" s="44"/>
      <c r="D44" s="44"/>
      <c r="E44" s="66" t="s">
        <v>142</v>
      </c>
      <c r="F44" s="98">
        <v>972.42</v>
      </c>
      <c r="G44" s="111"/>
    </row>
    <row r="45" spans="1:7" ht="13.5" customHeight="1">
      <c r="A45" s="44"/>
      <c r="B45" s="54"/>
      <c r="C45" s="44"/>
      <c r="D45" s="44"/>
      <c r="E45" s="66" t="s">
        <v>93</v>
      </c>
      <c r="F45" s="98">
        <v>13582.25</v>
      </c>
      <c r="G45" s="111"/>
    </row>
    <row r="46" spans="1:7" ht="13.5" customHeight="1">
      <c r="A46" s="44"/>
      <c r="B46" s="54"/>
      <c r="C46" s="44"/>
      <c r="D46" s="44"/>
      <c r="E46" s="66" t="s">
        <v>179</v>
      </c>
      <c r="F46" s="98">
        <v>16942.82</v>
      </c>
      <c r="G46" s="111"/>
    </row>
    <row r="47" spans="1:7" ht="13.5" customHeight="1">
      <c r="A47" s="44"/>
      <c r="B47" s="54"/>
      <c r="C47" s="44"/>
      <c r="D47" s="44"/>
      <c r="E47" s="66" t="s">
        <v>180</v>
      </c>
      <c r="F47" s="98">
        <v>1581.2</v>
      </c>
      <c r="G47" s="111"/>
    </row>
    <row r="48" spans="1:7" ht="12.75" customHeight="1">
      <c r="A48" s="44"/>
      <c r="B48" s="54"/>
      <c r="C48" s="44"/>
      <c r="D48" s="44"/>
      <c r="E48" s="66" t="s">
        <v>219</v>
      </c>
      <c r="F48" s="98">
        <f>340665.11*2.69/100-49.37</f>
        <v>9114.521458999998</v>
      </c>
      <c r="G48" s="111"/>
    </row>
    <row r="49" spans="1:7" ht="12.75" customHeight="1">
      <c r="A49" s="44"/>
      <c r="B49" s="54"/>
      <c r="C49" s="44" t="s">
        <v>20</v>
      </c>
      <c r="D49" s="44"/>
      <c r="E49" s="65"/>
      <c r="F49" s="93">
        <f>SUM(F50)</f>
        <v>145.80418699999998</v>
      </c>
      <c r="G49" s="111"/>
    </row>
    <row r="50" spans="1:7" ht="12.75" customHeight="1">
      <c r="A50" s="44"/>
      <c r="B50" s="54"/>
      <c r="C50" s="44"/>
      <c r="D50" s="44"/>
      <c r="E50" s="65" t="s">
        <v>219</v>
      </c>
      <c r="F50" s="102">
        <f>5420.23*2.69/100</f>
        <v>145.80418699999998</v>
      </c>
      <c r="G50" s="111"/>
    </row>
    <row r="51" spans="1:7" ht="12.75" customHeight="1">
      <c r="A51" s="44"/>
      <c r="B51" s="54"/>
      <c r="C51" s="44" t="s">
        <v>21</v>
      </c>
      <c r="D51" s="44"/>
      <c r="E51" s="65"/>
      <c r="F51" s="97">
        <f>SUM(F52:F56)</f>
        <v>88770.83464699998</v>
      </c>
      <c r="G51" s="111"/>
    </row>
    <row r="52" spans="1:7" ht="12.75" customHeight="1">
      <c r="A52" s="44"/>
      <c r="B52" s="54"/>
      <c r="D52" s="67" t="s">
        <v>22</v>
      </c>
      <c r="E52" s="68"/>
      <c r="F52" s="98">
        <f>(55764.09+613.14+3925.79)+(252968.7*2.69/100)-3.44</f>
        <v>67104.43802999999</v>
      </c>
      <c r="G52" s="111"/>
    </row>
    <row r="53" spans="1:7" ht="12.75" customHeight="1">
      <c r="A53" s="44"/>
      <c r="B53" s="54"/>
      <c r="D53" s="67" t="s">
        <v>23</v>
      </c>
      <c r="E53" s="68"/>
      <c r="F53" s="98">
        <f>(13532.57+1486.46+155.22+993.82)+(44020.19*2.69/100)</f>
        <v>17352.213110999997</v>
      </c>
      <c r="G53" s="111"/>
    </row>
    <row r="54" spans="1:7" ht="12.75" customHeight="1">
      <c r="A54" s="44"/>
      <c r="B54" s="54"/>
      <c r="D54" s="67" t="s">
        <v>24</v>
      </c>
      <c r="E54" s="68"/>
      <c r="F54" s="98">
        <f>3772.29+(20144.74*2.69/100)</f>
        <v>4314.183506</v>
      </c>
      <c r="G54" s="111"/>
    </row>
    <row r="55" spans="1:7" ht="12.75" customHeight="1">
      <c r="A55" s="44"/>
      <c r="B55" s="54"/>
      <c r="D55" s="67" t="s">
        <v>25</v>
      </c>
      <c r="E55" s="68"/>
      <c r="F55" s="98">
        <v>0</v>
      </c>
      <c r="G55" s="111"/>
    </row>
    <row r="56" spans="1:7" ht="12.75" customHeight="1">
      <c r="A56" s="44"/>
      <c r="B56" s="54"/>
      <c r="D56" s="67" t="s">
        <v>143</v>
      </c>
      <c r="E56" s="68"/>
      <c r="F56" s="98">
        <v>0</v>
      </c>
      <c r="G56" s="111"/>
    </row>
    <row r="57" spans="1:7" ht="12.75" customHeight="1">
      <c r="A57" s="44"/>
      <c r="B57" s="54"/>
      <c r="C57" s="44" t="s">
        <v>27</v>
      </c>
      <c r="D57" s="44"/>
      <c r="E57" s="65"/>
      <c r="F57" s="97">
        <f>SUM(F58:F62)</f>
        <v>395.90914100000003</v>
      </c>
      <c r="G57" s="111"/>
    </row>
    <row r="58" spans="1:7" ht="12.75" customHeight="1">
      <c r="A58" s="44"/>
      <c r="B58" s="54"/>
      <c r="C58" s="44"/>
      <c r="D58" s="67" t="s">
        <v>28</v>
      </c>
      <c r="E58" s="68"/>
      <c r="F58" s="98">
        <f>2090.44*2.69/100</f>
        <v>56.232836</v>
      </c>
      <c r="G58" s="111"/>
    </row>
    <row r="59" spans="1:7" ht="12.75" customHeight="1">
      <c r="A59" s="44"/>
      <c r="B59" s="54"/>
      <c r="D59" s="67" t="s">
        <v>29</v>
      </c>
      <c r="E59" s="69"/>
      <c r="F59" s="98">
        <f>304.21+(512.4*2.69/100)</f>
        <v>317.99356</v>
      </c>
      <c r="G59" s="111"/>
    </row>
    <row r="60" spans="1:7" ht="12.75" customHeight="1">
      <c r="A60" s="44"/>
      <c r="B60" s="54"/>
      <c r="D60" s="67" t="s">
        <v>31</v>
      </c>
      <c r="E60" s="68"/>
      <c r="F60" s="98">
        <v>0</v>
      </c>
      <c r="G60" s="111"/>
    </row>
    <row r="61" spans="1:7" ht="12.75" customHeight="1">
      <c r="A61" s="44"/>
      <c r="B61" s="54"/>
      <c r="D61" s="67" t="s">
        <v>32</v>
      </c>
      <c r="E61" s="68"/>
      <c r="F61" s="98"/>
      <c r="G61" s="111"/>
    </row>
    <row r="62" spans="1:7" ht="12.75" customHeight="1">
      <c r="A62" s="44"/>
      <c r="B62" s="54"/>
      <c r="D62" s="67"/>
      <c r="E62" s="69" t="s">
        <v>33</v>
      </c>
      <c r="F62" s="98">
        <f>806.05*2.69/100</f>
        <v>21.682745</v>
      </c>
      <c r="G62" s="111"/>
    </row>
    <row r="63" spans="1:7" ht="12.75" customHeight="1">
      <c r="A63" s="44"/>
      <c r="B63" s="54"/>
      <c r="C63" s="44" t="s">
        <v>34</v>
      </c>
      <c r="D63" s="44"/>
      <c r="E63" s="65"/>
      <c r="F63" s="95"/>
      <c r="G63" s="111"/>
    </row>
    <row r="64" spans="1:7" ht="12.75" customHeight="1">
      <c r="A64" s="44"/>
      <c r="B64" s="54"/>
      <c r="D64" s="44"/>
      <c r="E64" s="70" t="s">
        <v>35</v>
      </c>
      <c r="F64" s="95">
        <v>0</v>
      </c>
      <c r="G64" s="111"/>
    </row>
    <row r="65" spans="1:7" ht="12.75" customHeight="1">
      <c r="A65" s="44"/>
      <c r="B65" s="54"/>
      <c r="C65" s="44" t="s">
        <v>36</v>
      </c>
      <c r="D65" s="44"/>
      <c r="E65" s="65"/>
      <c r="F65" s="95">
        <v>0</v>
      </c>
      <c r="G65" s="111"/>
    </row>
    <row r="66" spans="1:7" ht="12.75" customHeight="1">
      <c r="A66" s="44"/>
      <c r="B66" s="54"/>
      <c r="C66" s="44" t="s">
        <v>37</v>
      </c>
      <c r="D66" s="44"/>
      <c r="E66" s="65"/>
      <c r="F66" s="95">
        <v>0</v>
      </c>
      <c r="G66" s="111"/>
    </row>
    <row r="67" spans="1:7" ht="12.75" customHeight="1">
      <c r="A67" s="44"/>
      <c r="B67" s="54"/>
      <c r="C67" s="44" t="s">
        <v>38</v>
      </c>
      <c r="D67" s="44"/>
      <c r="E67" s="65"/>
      <c r="F67" s="95">
        <f>SUM(F68:F68)</f>
        <v>155.62510799999998</v>
      </c>
      <c r="G67" s="111"/>
    </row>
    <row r="68" spans="1:7" ht="12.75" customHeight="1">
      <c r="A68" s="44"/>
      <c r="B68" s="54"/>
      <c r="C68" s="44"/>
      <c r="D68" s="44"/>
      <c r="E68" s="66" t="s">
        <v>220</v>
      </c>
      <c r="F68" s="102">
        <f>5785.32*2.69/100</f>
        <v>155.62510799999998</v>
      </c>
      <c r="G68" s="111"/>
    </row>
    <row r="69" spans="1:7" ht="12.75" customHeight="1">
      <c r="A69" s="44"/>
      <c r="B69" s="54"/>
      <c r="C69" s="44"/>
      <c r="D69" s="44"/>
      <c r="E69" s="70"/>
      <c r="F69" s="95" t="s">
        <v>0</v>
      </c>
      <c r="G69" s="111"/>
    </row>
    <row r="70" spans="1:7" ht="12.75" customHeight="1">
      <c r="A70" s="72"/>
      <c r="B70" s="57" t="s">
        <v>39</v>
      </c>
      <c r="C70" s="73"/>
      <c r="D70" s="73"/>
      <c r="E70" s="66"/>
      <c r="F70" s="95" t="s">
        <v>0</v>
      </c>
      <c r="G70" s="106">
        <f>G19+G32</f>
        <v>2401.0489940000116</v>
      </c>
    </row>
    <row r="71" spans="1:7" ht="12.75" customHeight="1">
      <c r="A71" s="44"/>
      <c r="B71" s="74" t="s">
        <v>40</v>
      </c>
      <c r="C71" s="44"/>
      <c r="D71" s="44"/>
      <c r="E71" s="70"/>
      <c r="F71" s="95" t="s">
        <v>0</v>
      </c>
      <c r="G71" s="113"/>
    </row>
    <row r="72" spans="2:7" ht="12" customHeight="1">
      <c r="B72" s="76"/>
      <c r="E72" s="65"/>
      <c r="F72" s="95" t="s">
        <v>0</v>
      </c>
      <c r="G72" s="113"/>
    </row>
    <row r="73" spans="2:7" ht="12" customHeight="1">
      <c r="B73" s="57" t="s">
        <v>81</v>
      </c>
      <c r="C73" s="62"/>
      <c r="D73" s="62"/>
      <c r="E73" s="77"/>
      <c r="F73" s="96"/>
      <c r="G73" s="107">
        <f>SUM(F75:F77)</f>
        <v>-698.083891</v>
      </c>
    </row>
    <row r="74" spans="2:7" ht="12">
      <c r="B74" s="76"/>
      <c r="E74" s="65"/>
      <c r="F74" s="95"/>
      <c r="G74" s="113"/>
    </row>
    <row r="75" spans="2:7" ht="12">
      <c r="B75" s="54"/>
      <c r="C75" s="44" t="s">
        <v>78</v>
      </c>
      <c r="D75" s="44"/>
      <c r="E75" s="65"/>
      <c r="F75" s="93">
        <v>0</v>
      </c>
      <c r="G75" s="113"/>
    </row>
    <row r="76" spans="2:7" ht="12">
      <c r="B76" s="76"/>
      <c r="C76" s="44" t="s">
        <v>79</v>
      </c>
      <c r="E76" s="65"/>
      <c r="F76" s="95">
        <f>-27786.39*2.69/100</f>
        <v>-747.453891</v>
      </c>
      <c r="G76" s="113"/>
    </row>
    <row r="77" spans="2:7" ht="12">
      <c r="B77" s="76"/>
      <c r="C77" s="44" t="s">
        <v>80</v>
      </c>
      <c r="E77" s="65"/>
      <c r="F77" s="95">
        <v>49.37</v>
      </c>
      <c r="G77" s="113"/>
    </row>
    <row r="78" spans="2:7" ht="12">
      <c r="B78" s="76"/>
      <c r="E78" s="65"/>
      <c r="F78" s="95"/>
      <c r="G78" s="113"/>
    </row>
    <row r="79" spans="2:7" ht="12">
      <c r="B79" s="57" t="s">
        <v>82</v>
      </c>
      <c r="C79" s="62"/>
      <c r="D79" s="62"/>
      <c r="E79" s="77"/>
      <c r="F79" s="96">
        <v>0</v>
      </c>
      <c r="G79" s="107">
        <v>0</v>
      </c>
    </row>
    <row r="80" spans="2:7" ht="12">
      <c r="B80" s="76"/>
      <c r="E80" s="65"/>
      <c r="F80" s="95"/>
      <c r="G80" s="113"/>
    </row>
    <row r="81" spans="2:7" ht="12">
      <c r="B81" s="57" t="s">
        <v>77</v>
      </c>
      <c r="C81" s="62"/>
      <c r="D81" s="62"/>
      <c r="E81" s="77"/>
      <c r="F81" s="96"/>
      <c r="G81" s="107">
        <f>SUM(F83:F84)</f>
        <v>424.75180700000004</v>
      </c>
    </row>
    <row r="82" spans="2:7" ht="12">
      <c r="B82" s="76"/>
      <c r="E82" s="65"/>
      <c r="F82" s="95"/>
      <c r="G82" s="113"/>
    </row>
    <row r="83" spans="2:7" ht="12">
      <c r="B83" s="76"/>
      <c r="C83" s="44" t="s">
        <v>83</v>
      </c>
      <c r="E83" s="65"/>
      <c r="F83" s="95">
        <v>0</v>
      </c>
      <c r="G83" s="113"/>
    </row>
    <row r="84" spans="2:7" ht="12">
      <c r="B84" s="76"/>
      <c r="C84" s="44" t="s">
        <v>84</v>
      </c>
      <c r="E84" s="65"/>
      <c r="F84" s="95">
        <f>15790.03*2.69/100</f>
        <v>424.75180700000004</v>
      </c>
      <c r="G84" s="113"/>
    </row>
    <row r="85" spans="2:7" ht="12">
      <c r="B85" s="76"/>
      <c r="E85" s="65"/>
      <c r="F85" s="95"/>
      <c r="G85" s="113"/>
    </row>
    <row r="86" spans="2:7" ht="12">
      <c r="B86" s="79" t="s">
        <v>85</v>
      </c>
      <c r="C86" s="63"/>
      <c r="D86" s="63"/>
      <c r="E86" s="77"/>
      <c r="F86" s="95">
        <f>109997.32*2.69/100</f>
        <v>2958.927908</v>
      </c>
      <c r="G86" s="107">
        <f>F86</f>
        <v>2958.927908</v>
      </c>
    </row>
    <row r="87" spans="2:7" ht="12">
      <c r="B87" s="76"/>
      <c r="E87" s="65"/>
      <c r="F87" s="95"/>
      <c r="G87" s="113"/>
    </row>
    <row r="88" spans="2:7" ht="12.75">
      <c r="B88" s="57"/>
      <c r="E88" s="80" t="s">
        <v>86</v>
      </c>
      <c r="F88" s="95"/>
      <c r="G88" s="108">
        <f>G70-G73-G79-G81-G86</f>
        <v>-284.5468299999884</v>
      </c>
    </row>
    <row r="89" spans="2:7" ht="12">
      <c r="B89" s="81"/>
      <c r="C89" s="82"/>
      <c r="D89" s="82"/>
      <c r="E89" s="83"/>
      <c r="F89" s="114"/>
      <c r="G89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73">
      <selection activeCell="F53" sqref="F53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2" customHeight="1">
      <c r="A4" s="33"/>
      <c r="B4" s="34"/>
      <c r="C4" s="33"/>
      <c r="D4" s="33"/>
      <c r="E4" s="33"/>
      <c r="F4" s="35"/>
      <c r="G4" s="36"/>
    </row>
    <row r="5" spans="1:7" s="37" customFormat="1" ht="23.25" customHeight="1">
      <c r="A5" s="33"/>
      <c r="B5" s="129" t="s">
        <v>183</v>
      </c>
      <c r="C5" s="130"/>
      <c r="D5" s="130"/>
      <c r="E5" s="130"/>
      <c r="F5" s="130"/>
      <c r="G5" s="131"/>
    </row>
    <row r="6" spans="1:7" s="37" customFormat="1" ht="23.25">
      <c r="A6" s="33"/>
      <c r="B6" s="122" t="s">
        <v>182</v>
      </c>
      <c r="C6" s="126"/>
      <c r="D6" s="126"/>
      <c r="E6" s="126"/>
      <c r="F6" s="126"/>
      <c r="G6" s="132"/>
    </row>
    <row r="7" spans="1:7" s="37" customFormat="1" ht="23.25" customHeight="1">
      <c r="A7" s="33"/>
      <c r="B7" s="129" t="s">
        <v>184</v>
      </c>
      <c r="C7" s="133"/>
      <c r="D7" s="133"/>
      <c r="E7" s="133"/>
      <c r="F7" s="133"/>
      <c r="G7" s="134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92339.5254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49493.78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111</v>
      </c>
      <c r="F21" s="94">
        <v>49493.78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SUM(F28:F30)</f>
        <v>42845.7454</v>
      </c>
      <c r="G27" s="111"/>
    </row>
    <row r="28" spans="1:7" ht="12.75" customHeight="1">
      <c r="A28" s="44"/>
      <c r="B28" s="54"/>
      <c r="C28" s="44"/>
      <c r="D28" s="44"/>
      <c r="E28" s="45" t="s">
        <v>185</v>
      </c>
      <c r="F28" s="117">
        <v>41873</v>
      </c>
      <c r="G28" s="111"/>
    </row>
    <row r="29" spans="1:7" ht="12.75" customHeight="1">
      <c r="A29" s="44"/>
      <c r="B29" s="54"/>
      <c r="C29" s="44"/>
      <c r="D29" s="44"/>
      <c r="E29" s="45" t="s">
        <v>186</v>
      </c>
      <c r="F29" s="117">
        <v>709.46</v>
      </c>
      <c r="G29" s="111"/>
    </row>
    <row r="30" spans="1:7" ht="12.75" customHeight="1">
      <c r="A30" s="44"/>
      <c r="B30" s="54"/>
      <c r="C30" s="44"/>
      <c r="D30" s="44"/>
      <c r="E30" s="45" t="s">
        <v>221</v>
      </c>
      <c r="F30" s="117">
        <f>18806.1*1.4/100</f>
        <v>263.2854</v>
      </c>
      <c r="G30" s="111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-(F34+F39+F51+F53+F59+F66+F67+F68+F69)</f>
        <v>-91466.89176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SUM(F35:F38)</f>
        <v>12376.52724</v>
      </c>
      <c r="G34" s="111"/>
    </row>
    <row r="35" spans="1:7" ht="12.75" customHeight="1">
      <c r="A35" s="44"/>
      <c r="B35" s="54"/>
      <c r="D35" s="44"/>
      <c r="E35" s="65" t="s">
        <v>89</v>
      </c>
      <c r="F35" s="98">
        <v>609.56</v>
      </c>
      <c r="G35" s="111"/>
    </row>
    <row r="36" spans="1:7" ht="12.75" customHeight="1">
      <c r="A36" s="44"/>
      <c r="B36" s="54"/>
      <c r="D36" s="44"/>
      <c r="E36" s="66" t="s">
        <v>45</v>
      </c>
      <c r="F36" s="98">
        <v>20.65</v>
      </c>
      <c r="G36" s="111"/>
    </row>
    <row r="37" spans="1:7" ht="12.75" customHeight="1">
      <c r="A37" s="44"/>
      <c r="B37" s="54"/>
      <c r="C37" s="44"/>
      <c r="D37" s="44"/>
      <c r="E37" s="66" t="s">
        <v>59</v>
      </c>
      <c r="F37" s="98">
        <v>11601.94</v>
      </c>
      <c r="G37" s="111"/>
    </row>
    <row r="38" spans="1:7" ht="12.75" customHeight="1">
      <c r="A38" s="44"/>
      <c r="B38" s="54"/>
      <c r="D38" s="44"/>
      <c r="E38" s="65" t="s">
        <v>222</v>
      </c>
      <c r="F38" s="99">
        <f>10312.66*1.4/100</f>
        <v>144.37723999999997</v>
      </c>
      <c r="G38" s="111"/>
    </row>
    <row r="39" spans="1:7" ht="12.75" customHeight="1">
      <c r="A39" s="44"/>
      <c r="B39" s="54"/>
      <c r="C39" s="44" t="s">
        <v>19</v>
      </c>
      <c r="D39" s="44"/>
      <c r="E39" s="65"/>
      <c r="F39" s="97">
        <f>SUM(F40:F50)</f>
        <v>48300.37154</v>
      </c>
      <c r="G39" s="111"/>
    </row>
    <row r="40" spans="1:7" ht="12.75" customHeight="1">
      <c r="A40" s="44"/>
      <c r="B40" s="54"/>
      <c r="C40" s="44"/>
      <c r="D40" s="44"/>
      <c r="E40" s="66" t="s">
        <v>47</v>
      </c>
      <c r="F40" s="98">
        <v>2856.11</v>
      </c>
      <c r="G40" s="111"/>
    </row>
    <row r="41" spans="1:7" ht="12.75" customHeight="1">
      <c r="A41" s="44"/>
      <c r="B41" s="54"/>
      <c r="C41" s="44"/>
      <c r="D41" s="44"/>
      <c r="E41" s="66" t="s">
        <v>46</v>
      </c>
      <c r="F41" s="98">
        <v>339.27</v>
      </c>
      <c r="G41" s="111"/>
    </row>
    <row r="42" spans="1:7" ht="12.75" customHeight="1">
      <c r="A42" s="44"/>
      <c r="B42" s="54"/>
      <c r="C42" s="44"/>
      <c r="D42" s="44"/>
      <c r="E42" s="66" t="s">
        <v>53</v>
      </c>
      <c r="F42" s="98">
        <v>2453.85</v>
      </c>
      <c r="G42" s="111"/>
    </row>
    <row r="43" spans="1:7" ht="13.5" customHeight="1">
      <c r="A43" s="44"/>
      <c r="B43" s="54"/>
      <c r="C43" s="44"/>
      <c r="D43" s="44"/>
      <c r="E43" s="66" t="s">
        <v>52</v>
      </c>
      <c r="F43" s="98">
        <v>84</v>
      </c>
      <c r="G43" s="111"/>
    </row>
    <row r="44" spans="1:7" ht="13.5" customHeight="1">
      <c r="A44" s="44"/>
      <c r="B44" s="54"/>
      <c r="C44" s="44"/>
      <c r="D44" s="44"/>
      <c r="E44" s="66" t="s">
        <v>130</v>
      </c>
      <c r="F44" s="98">
        <v>99.7</v>
      </c>
      <c r="G44" s="111"/>
    </row>
    <row r="45" spans="1:7" ht="13.5" customHeight="1">
      <c r="A45" s="44"/>
      <c r="B45" s="54"/>
      <c r="C45" s="44"/>
      <c r="D45" s="44"/>
      <c r="E45" s="66" t="s">
        <v>121</v>
      </c>
      <c r="F45" s="98">
        <v>280.83</v>
      </c>
      <c r="G45" s="111"/>
    </row>
    <row r="46" spans="1:7" ht="12.75" customHeight="1">
      <c r="A46" s="44"/>
      <c r="B46" s="54"/>
      <c r="C46" s="44"/>
      <c r="D46" s="44"/>
      <c r="E46" s="66" t="s">
        <v>90</v>
      </c>
      <c r="F46" s="98">
        <v>917.22</v>
      </c>
      <c r="G46" s="111"/>
    </row>
    <row r="47" spans="1:7" ht="12.75" customHeight="1">
      <c r="A47" s="44"/>
      <c r="B47" s="54"/>
      <c r="C47" s="44"/>
      <c r="D47" s="44"/>
      <c r="E47" s="66" t="s">
        <v>49</v>
      </c>
      <c r="F47" s="98">
        <v>1382.49</v>
      </c>
      <c r="G47" s="111"/>
    </row>
    <row r="48" spans="1:7" ht="12.75" customHeight="1">
      <c r="A48" s="44"/>
      <c r="B48" s="54"/>
      <c r="C48" s="44"/>
      <c r="D48" s="44"/>
      <c r="E48" s="66" t="s">
        <v>170</v>
      </c>
      <c r="F48" s="98">
        <v>32144.24</v>
      </c>
      <c r="G48" s="111"/>
    </row>
    <row r="49" spans="1:7" ht="12.75" customHeight="1">
      <c r="A49" s="44"/>
      <c r="B49" s="54"/>
      <c r="C49" s="44"/>
      <c r="D49" s="44"/>
      <c r="E49" s="66" t="s">
        <v>171</v>
      </c>
      <c r="F49" s="98">
        <v>2999.04</v>
      </c>
      <c r="G49" s="111"/>
    </row>
    <row r="50" spans="1:7" ht="12.75" customHeight="1">
      <c r="A50" s="44"/>
      <c r="B50" s="54"/>
      <c r="C50" s="44"/>
      <c r="D50" s="44"/>
      <c r="E50" s="66" t="s">
        <v>220</v>
      </c>
      <c r="F50" s="98">
        <f>340665.11*1.4/100-25.69</f>
        <v>4743.621539999999</v>
      </c>
      <c r="G50" s="111"/>
    </row>
    <row r="51" spans="1:7" ht="12.75" customHeight="1">
      <c r="A51" s="44"/>
      <c r="B51" s="54"/>
      <c r="C51" s="44" t="s">
        <v>20</v>
      </c>
      <c r="D51" s="44"/>
      <c r="E51" s="65"/>
      <c r="F51" s="93">
        <f>SUM(F52)</f>
        <v>75.88322</v>
      </c>
      <c r="G51" s="111"/>
    </row>
    <row r="52" spans="1:7" ht="12.75" customHeight="1">
      <c r="A52" s="44"/>
      <c r="B52" s="54"/>
      <c r="C52" s="44"/>
      <c r="D52" s="44"/>
      <c r="E52" s="65" t="s">
        <v>219</v>
      </c>
      <c r="F52" s="102">
        <f>5420.23*1.4/100</f>
        <v>75.88322</v>
      </c>
      <c r="G52" s="111"/>
    </row>
    <row r="53" spans="1:7" ht="12.75" customHeight="1">
      <c r="A53" s="44"/>
      <c r="B53" s="54"/>
      <c r="C53" s="44" t="s">
        <v>21</v>
      </c>
      <c r="D53" s="44"/>
      <c r="E53" s="65"/>
      <c r="F53" s="97">
        <f>SUM(F54:F58)</f>
        <v>23936.770819999998</v>
      </c>
      <c r="G53" s="111"/>
    </row>
    <row r="54" spans="1:7" ht="12.75" customHeight="1">
      <c r="A54" s="44"/>
      <c r="B54" s="54"/>
      <c r="D54" s="67" t="s">
        <v>22</v>
      </c>
      <c r="E54" s="68"/>
      <c r="F54" s="98">
        <f>(11902.89+370.93+1684.59)+(252968.7*1.4/100)-13.95</f>
        <v>17486.0218</v>
      </c>
      <c r="G54" s="111"/>
    </row>
    <row r="55" spans="1:7" ht="12.75" customHeight="1">
      <c r="A55" s="44"/>
      <c r="B55" s="54"/>
      <c r="D55" s="67" t="s">
        <v>23</v>
      </c>
      <c r="E55" s="68"/>
      <c r="F55" s="98">
        <f>(2410.82+277+62.49+483.12)+(44020.19*1.4/100)</f>
        <v>3849.7126599999997</v>
      </c>
      <c r="G55" s="111"/>
    </row>
    <row r="56" spans="1:7" ht="12.75" customHeight="1">
      <c r="A56" s="44"/>
      <c r="B56" s="54"/>
      <c r="D56" s="67" t="s">
        <v>24</v>
      </c>
      <c r="E56" s="68"/>
      <c r="F56" s="98">
        <f>2319.01+(20144.74*1.4/100)</f>
        <v>2601.03636</v>
      </c>
      <c r="G56" s="111"/>
    </row>
    <row r="57" spans="1:7" ht="12.75" customHeight="1">
      <c r="A57" s="44"/>
      <c r="B57" s="54"/>
      <c r="D57" s="67" t="s">
        <v>25</v>
      </c>
      <c r="E57" s="68"/>
      <c r="F57" s="98">
        <v>0</v>
      </c>
      <c r="G57" s="111"/>
    </row>
    <row r="58" spans="1:7" ht="12.75" customHeight="1">
      <c r="A58" s="44"/>
      <c r="B58" s="54"/>
      <c r="D58" s="67" t="s">
        <v>137</v>
      </c>
      <c r="E58" s="68"/>
      <c r="F58" s="98">
        <v>0</v>
      </c>
      <c r="G58" s="111"/>
    </row>
    <row r="59" spans="1:7" ht="12.75" customHeight="1">
      <c r="A59" s="44"/>
      <c r="B59" s="54"/>
      <c r="C59" s="44" t="s">
        <v>27</v>
      </c>
      <c r="D59" s="44"/>
      <c r="E59" s="65"/>
      <c r="F59" s="97">
        <f>SUM(F60:F64)</f>
        <v>6435.45446</v>
      </c>
      <c r="G59" s="111"/>
    </row>
    <row r="60" spans="1:7" ht="12.75" customHeight="1">
      <c r="A60" s="44"/>
      <c r="B60" s="54"/>
      <c r="C60" s="44"/>
      <c r="D60" s="67" t="s">
        <v>28</v>
      </c>
      <c r="E60" s="68"/>
      <c r="F60" s="98">
        <f>2090.44*1.4/100</f>
        <v>29.26616</v>
      </c>
      <c r="G60" s="111"/>
    </row>
    <row r="61" spans="1:7" ht="12.75" customHeight="1">
      <c r="A61" s="44"/>
      <c r="B61" s="54"/>
      <c r="D61" s="67" t="s">
        <v>29</v>
      </c>
      <c r="E61" s="69"/>
      <c r="F61" s="98">
        <f>6387.73+(512.4*1.4/100)</f>
        <v>6394.9036</v>
      </c>
      <c r="G61" s="111"/>
    </row>
    <row r="62" spans="1:7" ht="12.75" customHeight="1">
      <c r="A62" s="44"/>
      <c r="B62" s="54"/>
      <c r="D62" s="67" t="s">
        <v>31</v>
      </c>
      <c r="E62" s="68"/>
      <c r="F62" s="98">
        <v>0</v>
      </c>
      <c r="G62" s="111"/>
    </row>
    <row r="63" spans="1:7" ht="12.75" customHeight="1">
      <c r="A63" s="44"/>
      <c r="B63" s="54"/>
      <c r="D63" s="67" t="s">
        <v>32</v>
      </c>
      <c r="E63" s="68"/>
      <c r="F63" s="98"/>
      <c r="G63" s="111"/>
    </row>
    <row r="64" spans="1:7" ht="12.75" customHeight="1">
      <c r="A64" s="44"/>
      <c r="B64" s="54"/>
      <c r="D64" s="67"/>
      <c r="E64" s="69" t="s">
        <v>33</v>
      </c>
      <c r="F64" s="98">
        <f>806.05*1.4/100</f>
        <v>11.284699999999997</v>
      </c>
      <c r="G64" s="111"/>
    </row>
    <row r="65" spans="1:7" ht="12.75" customHeight="1">
      <c r="A65" s="44"/>
      <c r="B65" s="54"/>
      <c r="C65" s="44" t="s">
        <v>34</v>
      </c>
      <c r="D65" s="44"/>
      <c r="E65" s="65"/>
      <c r="F65" s="95"/>
      <c r="G65" s="111"/>
    </row>
    <row r="66" spans="1:7" ht="12.75" customHeight="1">
      <c r="A66" s="44"/>
      <c r="B66" s="54"/>
      <c r="D66" s="44"/>
      <c r="E66" s="70" t="s">
        <v>35</v>
      </c>
      <c r="F66" s="95">
        <v>0</v>
      </c>
      <c r="G66" s="111"/>
    </row>
    <row r="67" spans="1:7" ht="12.75" customHeight="1">
      <c r="A67" s="44"/>
      <c r="B67" s="54"/>
      <c r="C67" s="44" t="s">
        <v>36</v>
      </c>
      <c r="D67" s="44"/>
      <c r="E67" s="65"/>
      <c r="F67" s="95">
        <v>0</v>
      </c>
      <c r="G67" s="111"/>
    </row>
    <row r="68" spans="1:7" ht="12.75" customHeight="1">
      <c r="A68" s="44"/>
      <c r="B68" s="54"/>
      <c r="C68" s="44" t="s">
        <v>37</v>
      </c>
      <c r="D68" s="44"/>
      <c r="E68" s="65"/>
      <c r="F68" s="95">
        <v>0</v>
      </c>
      <c r="G68" s="111"/>
    </row>
    <row r="69" spans="1:7" ht="12.75" customHeight="1">
      <c r="A69" s="44"/>
      <c r="B69" s="54"/>
      <c r="C69" s="44" t="s">
        <v>38</v>
      </c>
      <c r="D69" s="44"/>
      <c r="E69" s="65"/>
      <c r="F69" s="95">
        <f>SUM(F70:F73)</f>
        <v>341.88448</v>
      </c>
      <c r="G69" s="111"/>
    </row>
    <row r="70" spans="1:7" ht="12.75" customHeight="1">
      <c r="A70" s="44"/>
      <c r="B70" s="54"/>
      <c r="C70" s="44"/>
      <c r="D70" s="44"/>
      <c r="E70" s="71" t="s">
        <v>132</v>
      </c>
      <c r="F70" s="98">
        <v>10.33</v>
      </c>
      <c r="G70" s="111"/>
    </row>
    <row r="71" spans="1:7" ht="12.75" customHeight="1">
      <c r="A71" s="44"/>
      <c r="B71" s="54"/>
      <c r="C71" s="44"/>
      <c r="D71" s="44"/>
      <c r="E71" s="66" t="s">
        <v>187</v>
      </c>
      <c r="F71" s="98">
        <v>166.99</v>
      </c>
      <c r="G71" s="111"/>
    </row>
    <row r="72" spans="1:7" ht="12.75" customHeight="1">
      <c r="A72" s="44"/>
      <c r="B72" s="54"/>
      <c r="C72" s="44"/>
      <c r="D72" s="44"/>
      <c r="E72" s="66" t="s">
        <v>135</v>
      </c>
      <c r="F72" s="116">
        <v>83.57</v>
      </c>
      <c r="G72" s="111"/>
    </row>
    <row r="73" spans="1:7" ht="12.75" customHeight="1">
      <c r="A73" s="44"/>
      <c r="B73" s="54"/>
      <c r="C73" s="44"/>
      <c r="D73" s="44"/>
      <c r="E73" s="66" t="s">
        <v>219</v>
      </c>
      <c r="F73" s="102">
        <f>5785.32*1.4/100</f>
        <v>80.99448</v>
      </c>
      <c r="G73" s="111"/>
    </row>
    <row r="74" spans="1:7" ht="12.75" customHeight="1">
      <c r="A74" s="44"/>
      <c r="B74" s="54"/>
      <c r="C74" s="44"/>
      <c r="D74" s="44"/>
      <c r="E74" s="70"/>
      <c r="F74" s="95" t="s">
        <v>0</v>
      </c>
      <c r="G74" s="111"/>
    </row>
    <row r="75" spans="1:7" ht="12.75" customHeight="1">
      <c r="A75" s="72"/>
      <c r="B75" s="57" t="s">
        <v>39</v>
      </c>
      <c r="C75" s="73"/>
      <c r="D75" s="73"/>
      <c r="E75" s="66"/>
      <c r="F75" s="95" t="s">
        <v>0</v>
      </c>
      <c r="G75" s="106">
        <f>G19+G32</f>
        <v>872.63364</v>
      </c>
    </row>
    <row r="76" spans="1:7" ht="12.75" customHeight="1">
      <c r="A76" s="44"/>
      <c r="B76" s="74" t="s">
        <v>40</v>
      </c>
      <c r="C76" s="44"/>
      <c r="D76" s="44"/>
      <c r="E76" s="70"/>
      <c r="F76" s="95" t="s">
        <v>0</v>
      </c>
      <c r="G76" s="113"/>
    </row>
    <row r="77" spans="2:7" ht="12" customHeight="1">
      <c r="B77" s="76"/>
      <c r="E77" s="65"/>
      <c r="F77" s="95" t="s">
        <v>0</v>
      </c>
      <c r="G77" s="113"/>
    </row>
    <row r="78" spans="2:7" ht="12" customHeight="1">
      <c r="B78" s="57" t="s">
        <v>81</v>
      </c>
      <c r="C78" s="62"/>
      <c r="D78" s="62"/>
      <c r="E78" s="77"/>
      <c r="F78" s="96"/>
      <c r="G78" s="107">
        <f>SUM(F80:F82)</f>
        <v>-363.31946</v>
      </c>
    </row>
    <row r="79" spans="2:7" ht="12">
      <c r="B79" s="76"/>
      <c r="E79" s="65"/>
      <c r="F79" s="95"/>
      <c r="G79" s="113"/>
    </row>
    <row r="80" spans="2:7" ht="12">
      <c r="B80" s="54"/>
      <c r="C80" s="44" t="s">
        <v>78</v>
      </c>
      <c r="D80" s="44"/>
      <c r="E80" s="65"/>
      <c r="F80" s="93">
        <v>0</v>
      </c>
      <c r="G80" s="113"/>
    </row>
    <row r="81" spans="2:7" ht="12">
      <c r="B81" s="76"/>
      <c r="C81" s="44" t="s">
        <v>79</v>
      </c>
      <c r="E81" s="65"/>
      <c r="F81" s="95">
        <f>-27786.39*1.4/100</f>
        <v>-389.00946</v>
      </c>
      <c r="G81" s="113"/>
    </row>
    <row r="82" spans="2:7" ht="12">
      <c r="B82" s="76"/>
      <c r="C82" s="44" t="s">
        <v>80</v>
      </c>
      <c r="E82" s="65"/>
      <c r="F82" s="95">
        <v>25.69</v>
      </c>
      <c r="G82" s="113"/>
    </row>
    <row r="83" spans="2:7" ht="12">
      <c r="B83" s="76"/>
      <c r="E83" s="65"/>
      <c r="F83" s="95"/>
      <c r="G83" s="113"/>
    </row>
    <row r="84" spans="2:7" ht="12">
      <c r="B84" s="57" t="s">
        <v>82</v>
      </c>
      <c r="C84" s="62"/>
      <c r="D84" s="62"/>
      <c r="E84" s="77"/>
      <c r="F84" s="96">
        <v>0</v>
      </c>
      <c r="G84" s="107">
        <v>0</v>
      </c>
    </row>
    <row r="85" spans="2:7" ht="12">
      <c r="B85" s="76"/>
      <c r="E85" s="65"/>
      <c r="F85" s="95"/>
      <c r="G85" s="113"/>
    </row>
    <row r="86" spans="2:7" ht="12">
      <c r="B86" s="57" t="s">
        <v>77</v>
      </c>
      <c r="C86" s="62"/>
      <c r="D86" s="62"/>
      <c r="E86" s="77"/>
      <c r="F86" s="96"/>
      <c r="G86" s="107">
        <f>SUM(F88:F89)</f>
        <v>-145.70957999999996</v>
      </c>
    </row>
    <row r="87" spans="2:7" ht="12">
      <c r="B87" s="76"/>
      <c r="E87" s="65"/>
      <c r="F87" s="95"/>
      <c r="G87" s="113"/>
    </row>
    <row r="88" spans="2:7" ht="12">
      <c r="B88" s="76"/>
      <c r="C88" s="44" t="s">
        <v>83</v>
      </c>
      <c r="E88" s="65"/>
      <c r="F88" s="95">
        <v>-366.77</v>
      </c>
      <c r="G88" s="113"/>
    </row>
    <row r="89" spans="2:7" ht="12">
      <c r="B89" s="76"/>
      <c r="C89" s="44" t="s">
        <v>84</v>
      </c>
      <c r="E89" s="65"/>
      <c r="F89" s="95">
        <f>15790.03*1.4/100</f>
        <v>221.06042000000002</v>
      </c>
      <c r="G89" s="113"/>
    </row>
    <row r="90" spans="2:7" ht="12">
      <c r="B90" s="76"/>
      <c r="E90" s="65"/>
      <c r="F90" s="95"/>
      <c r="G90" s="113"/>
    </row>
    <row r="91" spans="2:7" ht="12">
      <c r="B91" s="79" t="s">
        <v>85</v>
      </c>
      <c r="C91" s="63"/>
      <c r="D91" s="63"/>
      <c r="E91" s="77"/>
      <c r="F91" s="95">
        <f>109997.32*1.4/100</f>
        <v>1539.96248</v>
      </c>
      <c r="G91" s="107">
        <f>F91</f>
        <v>1539.96248</v>
      </c>
    </row>
    <row r="92" spans="2:7" ht="12">
      <c r="B92" s="76"/>
      <c r="E92" s="65"/>
      <c r="F92" s="95"/>
      <c r="G92" s="113"/>
    </row>
    <row r="93" spans="2:7" ht="12.75">
      <c r="B93" s="57"/>
      <c r="E93" s="80" t="s">
        <v>86</v>
      </c>
      <c r="F93" s="95"/>
      <c r="G93" s="108">
        <f>G75-G78-G84-G86-G91</f>
        <v>-158.2998</v>
      </c>
    </row>
    <row r="94" spans="2:7" ht="12">
      <c r="B94" s="81"/>
      <c r="C94" s="82"/>
      <c r="D94" s="82"/>
      <c r="E94" s="83"/>
      <c r="F94" s="84"/>
      <c r="G94" s="85"/>
    </row>
  </sheetData>
  <mergeCells count="6">
    <mergeCell ref="B13:G13"/>
    <mergeCell ref="F16:G16"/>
    <mergeCell ref="B5:G5"/>
    <mergeCell ref="B6:G6"/>
    <mergeCell ref="B7:G7"/>
    <mergeCell ref="B11:G11"/>
  </mergeCells>
  <printOptions/>
  <pageMargins left="0.75" right="0.75" top="1" bottom="1" header="0.5" footer="0.5"/>
  <pageSetup horizontalDpi="300" verticalDpi="300" orientation="portrait" paperSize="9" scale="93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70">
      <selection activeCell="G69" sqref="G69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145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1.25" customHeight="1">
      <c r="A12" s="44"/>
      <c r="B12" s="44"/>
      <c r="C12" s="44"/>
      <c r="D12" s="44"/>
      <c r="F12" s="46"/>
      <c r="G12" s="47"/>
    </row>
    <row r="13" spans="1:7" ht="15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61003.24002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42517.74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146</v>
      </c>
      <c r="F21" s="94">
        <v>42517.74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f>SUM(F28:F30)</f>
        <v>18485.50002</v>
      </c>
      <c r="G27" s="111"/>
    </row>
    <row r="28" spans="1:7" ht="12.75" customHeight="1">
      <c r="A28" s="44"/>
      <c r="B28" s="54"/>
      <c r="C28" s="44"/>
      <c r="D28" s="44"/>
      <c r="E28" s="45" t="s">
        <v>185</v>
      </c>
      <c r="F28" s="93">
        <v>18228</v>
      </c>
      <c r="G28" s="111"/>
    </row>
    <row r="29" spans="1:7" ht="12.75" customHeight="1">
      <c r="A29" s="44"/>
      <c r="B29" s="54"/>
      <c r="C29" s="44"/>
      <c r="D29" s="44"/>
      <c r="E29" s="45" t="s">
        <v>186</v>
      </c>
      <c r="F29" s="93">
        <v>103.29</v>
      </c>
      <c r="G29" s="111"/>
    </row>
    <row r="30" spans="1:7" ht="12.75" customHeight="1">
      <c r="A30" s="44"/>
      <c r="B30" s="54"/>
      <c r="C30" s="44"/>
      <c r="D30" s="44"/>
      <c r="E30" s="45" t="s">
        <v>221</v>
      </c>
      <c r="F30" s="93">
        <f>18806.1*0.82/100</f>
        <v>154.21002</v>
      </c>
      <c r="G30" s="111"/>
    </row>
    <row r="31" spans="1:7" ht="12.75" customHeight="1">
      <c r="A31" s="44"/>
      <c r="B31" s="54"/>
      <c r="C31" s="44"/>
      <c r="D31" s="44"/>
      <c r="E31" s="44"/>
      <c r="F31" s="95"/>
      <c r="G31" s="111"/>
    </row>
    <row r="32" spans="1:7" s="64" customFormat="1" ht="12.75" customHeight="1">
      <c r="A32" s="62"/>
      <c r="B32" s="57" t="s">
        <v>16</v>
      </c>
      <c r="C32" s="62"/>
      <c r="D32" s="62"/>
      <c r="E32" s="63"/>
      <c r="F32" s="96"/>
      <c r="G32" s="105">
        <f>-(F34+F38+F48+F50+F56+F63+F64+F65+F66)</f>
        <v>-60219.112885799994</v>
      </c>
    </row>
    <row r="33" spans="1:7" ht="12.75" customHeight="1">
      <c r="A33" s="44"/>
      <c r="B33" s="54"/>
      <c r="C33" s="44" t="s">
        <v>17</v>
      </c>
      <c r="D33" s="44"/>
      <c r="F33" s="95" t="s">
        <v>0</v>
      </c>
      <c r="G33" s="111"/>
    </row>
    <row r="34" spans="1:7" ht="12.75" customHeight="1">
      <c r="A34" s="44"/>
      <c r="B34" s="54"/>
      <c r="D34" s="44" t="s">
        <v>18</v>
      </c>
      <c r="E34" s="65"/>
      <c r="F34" s="97">
        <f>SUM(F35:F37)</f>
        <v>1513.083812</v>
      </c>
      <c r="G34" s="111"/>
    </row>
    <row r="35" spans="1:7" ht="12.75" customHeight="1">
      <c r="A35" s="44"/>
      <c r="B35" s="54"/>
      <c r="D35" s="44"/>
      <c r="E35" s="65" t="s">
        <v>89</v>
      </c>
      <c r="F35" s="98">
        <v>78.61</v>
      </c>
      <c r="G35" s="111"/>
    </row>
    <row r="36" spans="1:7" ht="12.75" customHeight="1">
      <c r="A36" s="44"/>
      <c r="B36" s="54"/>
      <c r="D36" s="44"/>
      <c r="E36" s="65" t="s">
        <v>59</v>
      </c>
      <c r="F36" s="116">
        <v>1349.91</v>
      </c>
      <c r="G36" s="111"/>
    </row>
    <row r="37" spans="1:7" ht="12.75" customHeight="1">
      <c r="A37" s="44"/>
      <c r="B37" s="54"/>
      <c r="D37" s="44"/>
      <c r="E37" s="65" t="s">
        <v>219</v>
      </c>
      <c r="F37" s="99">
        <f>10312.66*0.82/100</f>
        <v>84.563812</v>
      </c>
      <c r="G37" s="111"/>
    </row>
    <row r="38" spans="1:7" ht="12.75" customHeight="1">
      <c r="A38" s="44"/>
      <c r="B38" s="54"/>
      <c r="C38" s="44" t="s">
        <v>19</v>
      </c>
      <c r="D38" s="44"/>
      <c r="E38" s="65"/>
      <c r="F38" s="97">
        <f>SUM(F39:F47)</f>
        <v>33648.823902000004</v>
      </c>
      <c r="G38" s="111"/>
    </row>
    <row r="39" spans="1:7" ht="12.75" customHeight="1">
      <c r="A39" s="44"/>
      <c r="B39" s="54"/>
      <c r="C39" s="44"/>
      <c r="D39" s="44"/>
      <c r="E39" s="66" t="s">
        <v>47</v>
      </c>
      <c r="F39" s="98">
        <v>1269.19</v>
      </c>
      <c r="G39" s="111"/>
    </row>
    <row r="40" spans="1:7" ht="12.75" customHeight="1">
      <c r="A40" s="44"/>
      <c r="B40" s="54"/>
      <c r="C40" s="44"/>
      <c r="D40" s="44"/>
      <c r="E40" s="66" t="s">
        <v>46</v>
      </c>
      <c r="F40" s="98">
        <v>7509.82</v>
      </c>
      <c r="G40" s="111"/>
    </row>
    <row r="41" spans="1:7" ht="12.75" customHeight="1">
      <c r="A41" s="44"/>
      <c r="B41" s="54"/>
      <c r="C41" s="44"/>
      <c r="D41" s="44"/>
      <c r="E41" s="66" t="s">
        <v>188</v>
      </c>
      <c r="F41" s="98">
        <v>4086</v>
      </c>
      <c r="G41" s="111"/>
    </row>
    <row r="42" spans="1:7" ht="12.75" customHeight="1">
      <c r="A42" s="44"/>
      <c r="B42" s="54"/>
      <c r="C42" s="44"/>
      <c r="D42" s="44"/>
      <c r="E42" s="66" t="s">
        <v>52</v>
      </c>
      <c r="F42" s="98">
        <v>43.2</v>
      </c>
      <c r="G42" s="111"/>
    </row>
    <row r="43" spans="1:7" ht="12.75" customHeight="1">
      <c r="A43" s="44"/>
      <c r="B43" s="54"/>
      <c r="C43" s="44"/>
      <c r="D43" s="44"/>
      <c r="E43" s="66" t="s">
        <v>189</v>
      </c>
      <c r="F43" s="98">
        <v>72.32</v>
      </c>
      <c r="G43" s="111"/>
    </row>
    <row r="44" spans="1:7" ht="12.75" customHeight="1">
      <c r="A44" s="44"/>
      <c r="B44" s="54"/>
      <c r="C44" s="44"/>
      <c r="D44" s="44"/>
      <c r="E44" s="66" t="s">
        <v>168</v>
      </c>
      <c r="F44" s="98">
        <v>318.25</v>
      </c>
      <c r="G44" s="111"/>
    </row>
    <row r="45" spans="1:7" ht="12.75" customHeight="1">
      <c r="A45" s="44"/>
      <c r="B45" s="54"/>
      <c r="C45" s="44"/>
      <c r="D45" s="44"/>
      <c r="E45" s="66" t="s">
        <v>170</v>
      </c>
      <c r="F45" s="98">
        <v>16072.12</v>
      </c>
      <c r="G45" s="111"/>
    </row>
    <row r="46" spans="1:7" ht="12.75" customHeight="1">
      <c r="A46" s="44"/>
      <c r="B46" s="54"/>
      <c r="C46" s="44"/>
      <c r="D46" s="44"/>
      <c r="E46" s="66" t="s">
        <v>190</v>
      </c>
      <c r="F46" s="98">
        <v>1499.52</v>
      </c>
      <c r="G46" s="111"/>
    </row>
    <row r="47" spans="1:7" ht="12.75" customHeight="1">
      <c r="A47" s="44"/>
      <c r="B47" s="54"/>
      <c r="C47" s="44"/>
      <c r="D47" s="44"/>
      <c r="E47" s="66" t="s">
        <v>220</v>
      </c>
      <c r="F47" s="98">
        <f>340665.11*0.82/100-15.05</f>
        <v>2778.4039019999996</v>
      </c>
      <c r="G47" s="111"/>
    </row>
    <row r="48" spans="1:7" ht="12.75" customHeight="1">
      <c r="A48" s="44"/>
      <c r="B48" s="54"/>
      <c r="C48" s="44" t="s">
        <v>20</v>
      </c>
      <c r="D48" s="44"/>
      <c r="E48" s="65"/>
      <c r="F48" s="93">
        <f>SUM(F49)</f>
        <v>44.445885999999994</v>
      </c>
      <c r="G48" s="111"/>
    </row>
    <row r="49" spans="1:7" ht="12.75" customHeight="1">
      <c r="A49" s="44"/>
      <c r="B49" s="54"/>
      <c r="C49" s="44"/>
      <c r="D49" s="44"/>
      <c r="E49" s="65" t="s">
        <v>219</v>
      </c>
      <c r="F49" s="102">
        <f>5420.23*0.82/100</f>
        <v>44.445885999999994</v>
      </c>
      <c r="G49" s="111"/>
    </row>
    <row r="50" spans="1:7" ht="12.75" customHeight="1">
      <c r="A50" s="44"/>
      <c r="B50" s="54"/>
      <c r="C50" s="44" t="s">
        <v>21</v>
      </c>
      <c r="D50" s="44"/>
      <c r="E50" s="65"/>
      <c r="F50" s="97">
        <f>SUM(F51:F55)</f>
        <v>16870.826763799996</v>
      </c>
      <c r="G50" s="111"/>
    </row>
    <row r="51" spans="1:7" ht="12.75" customHeight="1">
      <c r="A51" s="44"/>
      <c r="B51" s="54"/>
      <c r="D51" s="67" t="s">
        <v>22</v>
      </c>
      <c r="E51" s="68"/>
      <c r="F51" s="98">
        <f>(8830.4+106.5+816.88)+(252968.7*0.82/100)+350.74</f>
        <v>12178.863339999998</v>
      </c>
      <c r="G51" s="111"/>
    </row>
    <row r="52" spans="1:7" ht="12.75" customHeight="1">
      <c r="A52" s="44"/>
      <c r="B52" s="54"/>
      <c r="D52" s="67" t="s">
        <v>23</v>
      </c>
      <c r="E52" s="68"/>
      <c r="F52" s="98">
        <f>(3508.1+73+55.96+125.32)+(44020.19*0.082/100)</f>
        <v>3798.4765558</v>
      </c>
      <c r="G52" s="111"/>
    </row>
    <row r="53" spans="1:7" ht="12.75" customHeight="1">
      <c r="A53" s="44"/>
      <c r="B53" s="54"/>
      <c r="D53" s="67" t="s">
        <v>24</v>
      </c>
      <c r="E53" s="68"/>
      <c r="F53" s="98">
        <f>728.3+(20144.74*0.82/100)</f>
        <v>893.486868</v>
      </c>
      <c r="G53" s="111"/>
    </row>
    <row r="54" spans="1:7" ht="12.75" customHeight="1">
      <c r="A54" s="44"/>
      <c r="B54" s="54"/>
      <c r="D54" s="67" t="s">
        <v>25</v>
      </c>
      <c r="E54" s="68"/>
      <c r="F54" s="98">
        <v>0</v>
      </c>
      <c r="G54" s="111"/>
    </row>
    <row r="55" spans="1:7" ht="12.75" customHeight="1">
      <c r="A55" s="44"/>
      <c r="B55" s="54"/>
      <c r="D55" s="67" t="s">
        <v>137</v>
      </c>
      <c r="E55" s="68"/>
      <c r="F55" s="98">
        <v>0</v>
      </c>
      <c r="G55" s="111"/>
    </row>
    <row r="56" spans="1:7" ht="12.75" customHeight="1">
      <c r="A56" s="44"/>
      <c r="B56" s="54"/>
      <c r="C56" s="44" t="s">
        <v>27</v>
      </c>
      <c r="D56" s="44"/>
      <c r="E56" s="65"/>
      <c r="F56" s="97">
        <f>SUM(F57:F61)</f>
        <v>8094.492898</v>
      </c>
      <c r="G56" s="111"/>
    </row>
    <row r="57" spans="1:7" ht="12.75" customHeight="1">
      <c r="A57" s="44"/>
      <c r="B57" s="54"/>
      <c r="C57" s="44"/>
      <c r="D57" s="67" t="s">
        <v>28</v>
      </c>
      <c r="E57" s="68"/>
      <c r="F57" s="98">
        <f>2090.44*0.82/100</f>
        <v>17.141607999999998</v>
      </c>
      <c r="G57" s="111"/>
    </row>
    <row r="58" spans="1:7" ht="12.75" customHeight="1">
      <c r="A58" s="44"/>
      <c r="B58" s="54"/>
      <c r="D58" s="67" t="s">
        <v>29</v>
      </c>
      <c r="E58" s="69"/>
      <c r="F58" s="98">
        <f>8066.54+(512.4*0.82/100)</f>
        <v>8070.74168</v>
      </c>
      <c r="G58" s="111"/>
    </row>
    <row r="59" spans="1:7" ht="12.75" customHeight="1">
      <c r="A59" s="44"/>
      <c r="B59" s="54"/>
      <c r="D59" s="67" t="s">
        <v>31</v>
      </c>
      <c r="E59" s="68"/>
      <c r="F59" s="98">
        <v>0</v>
      </c>
      <c r="G59" s="111"/>
    </row>
    <row r="60" spans="1:7" ht="12.75" customHeight="1">
      <c r="A60" s="44"/>
      <c r="B60" s="54"/>
      <c r="D60" s="67" t="s">
        <v>32</v>
      </c>
      <c r="E60" s="68"/>
      <c r="F60" s="98"/>
      <c r="G60" s="111"/>
    </row>
    <row r="61" spans="1:7" ht="12.75" customHeight="1">
      <c r="A61" s="44"/>
      <c r="B61" s="54"/>
      <c r="D61" s="67"/>
      <c r="E61" s="69" t="s">
        <v>33</v>
      </c>
      <c r="F61" s="98">
        <f>806.05*0.82/100</f>
        <v>6.609609999999999</v>
      </c>
      <c r="G61" s="111"/>
    </row>
    <row r="62" spans="1:7" ht="12.75" customHeight="1">
      <c r="A62" s="44"/>
      <c r="B62" s="54"/>
      <c r="C62" s="44" t="s">
        <v>34</v>
      </c>
      <c r="D62" s="44"/>
      <c r="E62" s="65"/>
      <c r="F62" s="95"/>
      <c r="G62" s="111"/>
    </row>
    <row r="63" spans="1:7" ht="12.75" customHeight="1">
      <c r="A63" s="44"/>
      <c r="B63" s="54"/>
      <c r="D63" s="44"/>
      <c r="E63" s="70" t="s">
        <v>35</v>
      </c>
      <c r="F63" s="95">
        <v>0</v>
      </c>
      <c r="G63" s="111"/>
    </row>
    <row r="64" spans="1:7" ht="12.75" customHeight="1">
      <c r="A64" s="44"/>
      <c r="B64" s="54"/>
      <c r="C64" s="44" t="s">
        <v>36</v>
      </c>
      <c r="D64" s="44"/>
      <c r="E64" s="65"/>
      <c r="F64" s="95">
        <v>0</v>
      </c>
      <c r="G64" s="111"/>
    </row>
    <row r="65" spans="1:7" ht="12.75" customHeight="1">
      <c r="A65" s="44"/>
      <c r="B65" s="54"/>
      <c r="C65" s="44" t="s">
        <v>37</v>
      </c>
      <c r="D65" s="44"/>
      <c r="E65" s="65"/>
      <c r="F65" s="95">
        <v>0</v>
      </c>
      <c r="G65" s="111"/>
    </row>
    <row r="66" spans="1:7" ht="12.75" customHeight="1">
      <c r="A66" s="44"/>
      <c r="B66" s="54"/>
      <c r="C66" s="44" t="s">
        <v>38</v>
      </c>
      <c r="D66" s="44"/>
      <c r="E66" s="65"/>
      <c r="F66" s="95">
        <f>SUM(F67:F67)</f>
        <v>47.439623999999995</v>
      </c>
      <c r="G66" s="111"/>
    </row>
    <row r="67" spans="1:7" ht="12.75" customHeight="1">
      <c r="A67" s="44"/>
      <c r="B67" s="54"/>
      <c r="C67" s="44"/>
      <c r="D67" s="44"/>
      <c r="E67" s="66" t="s">
        <v>220</v>
      </c>
      <c r="F67" s="102">
        <f>5785.32*0.82/100</f>
        <v>47.439623999999995</v>
      </c>
      <c r="G67" s="111"/>
    </row>
    <row r="68" spans="1:7" ht="12.75" customHeight="1">
      <c r="A68" s="44"/>
      <c r="B68" s="54"/>
      <c r="C68" s="44"/>
      <c r="D68" s="44"/>
      <c r="E68" s="70"/>
      <c r="F68" s="95" t="s">
        <v>0</v>
      </c>
      <c r="G68" s="111"/>
    </row>
    <row r="69" spans="1:7" ht="12.75" customHeight="1">
      <c r="A69" s="72"/>
      <c r="B69" s="57" t="s">
        <v>39</v>
      </c>
      <c r="C69" s="73"/>
      <c r="D69" s="73"/>
      <c r="E69" s="66"/>
      <c r="F69" s="95" t="s">
        <v>0</v>
      </c>
      <c r="G69" s="106">
        <f>G19+G32</f>
        <v>784.1271342000036</v>
      </c>
    </row>
    <row r="70" spans="1:7" ht="12.75" customHeight="1">
      <c r="A70" s="44"/>
      <c r="B70" s="74" t="s">
        <v>40</v>
      </c>
      <c r="C70" s="44"/>
      <c r="D70" s="44"/>
      <c r="E70" s="70"/>
      <c r="F70" s="95" t="s">
        <v>0</v>
      </c>
      <c r="G70" s="113"/>
    </row>
    <row r="71" spans="2:7" ht="12" customHeight="1">
      <c r="B71" s="76"/>
      <c r="E71" s="65"/>
      <c r="F71" s="95" t="s">
        <v>0</v>
      </c>
      <c r="G71" s="113"/>
    </row>
    <row r="72" spans="2:7" ht="12" customHeight="1">
      <c r="B72" s="57" t="s">
        <v>81</v>
      </c>
      <c r="C72" s="62"/>
      <c r="D72" s="62"/>
      <c r="E72" s="77"/>
      <c r="F72" s="96"/>
      <c r="G72" s="107">
        <f>SUM(F74:F76)</f>
        <v>-212.79839799999996</v>
      </c>
    </row>
    <row r="73" spans="2:7" ht="12">
      <c r="B73" s="76"/>
      <c r="E73" s="65"/>
      <c r="F73" s="95"/>
      <c r="G73" s="113"/>
    </row>
    <row r="74" spans="2:7" ht="12">
      <c r="B74" s="54"/>
      <c r="C74" s="44" t="s">
        <v>78</v>
      </c>
      <c r="D74" s="44"/>
      <c r="E74" s="65"/>
      <c r="F74" s="93">
        <v>0</v>
      </c>
      <c r="G74" s="113"/>
    </row>
    <row r="75" spans="2:7" ht="12">
      <c r="B75" s="76"/>
      <c r="C75" s="44" t="s">
        <v>79</v>
      </c>
      <c r="E75" s="65"/>
      <c r="F75" s="95">
        <f>-27786.39*0.82/100</f>
        <v>-227.84839799999997</v>
      </c>
      <c r="G75" s="113"/>
    </row>
    <row r="76" spans="2:7" ht="12">
      <c r="B76" s="76"/>
      <c r="C76" s="44" t="s">
        <v>80</v>
      </c>
      <c r="E76" s="65"/>
      <c r="F76" s="95">
        <v>15.05</v>
      </c>
      <c r="G76" s="113"/>
    </row>
    <row r="77" spans="2:7" ht="12">
      <c r="B77" s="76"/>
      <c r="E77" s="65"/>
      <c r="F77" s="95"/>
      <c r="G77" s="113"/>
    </row>
    <row r="78" spans="2:7" ht="12">
      <c r="B78" s="57" t="s">
        <v>82</v>
      </c>
      <c r="C78" s="62"/>
      <c r="D78" s="62"/>
      <c r="E78" s="77"/>
      <c r="F78" s="96">
        <v>0</v>
      </c>
      <c r="G78" s="107">
        <v>0</v>
      </c>
    </row>
    <row r="79" spans="2:7" ht="12">
      <c r="B79" s="76"/>
      <c r="E79" s="65"/>
      <c r="F79" s="95"/>
      <c r="G79" s="113"/>
    </row>
    <row r="80" spans="2:7" ht="12">
      <c r="B80" s="57" t="s">
        <v>77</v>
      </c>
      <c r="C80" s="62"/>
      <c r="D80" s="62"/>
      <c r="E80" s="77"/>
      <c r="F80" s="96"/>
      <c r="G80" s="107">
        <f>SUM(F82:F83)</f>
        <v>129.478246</v>
      </c>
    </row>
    <row r="81" spans="2:7" ht="12">
      <c r="B81" s="76"/>
      <c r="E81" s="65"/>
      <c r="F81" s="95"/>
      <c r="G81" s="113"/>
    </row>
    <row r="82" spans="2:7" ht="12">
      <c r="B82" s="76"/>
      <c r="C82" s="44" t="s">
        <v>83</v>
      </c>
      <c r="E82" s="65"/>
      <c r="F82" s="95">
        <v>0</v>
      </c>
      <c r="G82" s="113"/>
    </row>
    <row r="83" spans="2:7" ht="12">
      <c r="B83" s="76"/>
      <c r="C83" s="44" t="s">
        <v>84</v>
      </c>
      <c r="E83" s="65"/>
      <c r="F83" s="95">
        <f>15790.03*0.82/100</f>
        <v>129.478246</v>
      </c>
      <c r="G83" s="113"/>
    </row>
    <row r="84" spans="2:7" ht="12">
      <c r="B84" s="76"/>
      <c r="E84" s="65"/>
      <c r="F84" s="95"/>
      <c r="G84" s="113"/>
    </row>
    <row r="85" spans="2:7" ht="12">
      <c r="B85" s="79" t="s">
        <v>85</v>
      </c>
      <c r="C85" s="63"/>
      <c r="D85" s="63"/>
      <c r="E85" s="77"/>
      <c r="F85" s="95">
        <f>109997.32*0.82/100</f>
        <v>901.978024</v>
      </c>
      <c r="G85" s="107">
        <f>F85</f>
        <v>901.978024</v>
      </c>
    </row>
    <row r="86" spans="2:7" ht="12">
      <c r="B86" s="76"/>
      <c r="E86" s="65"/>
      <c r="F86" s="95"/>
      <c r="G86" s="113"/>
    </row>
    <row r="87" spans="2:7" ht="12.75">
      <c r="B87" s="57"/>
      <c r="E87" s="80" t="s">
        <v>86</v>
      </c>
      <c r="F87" s="95"/>
      <c r="G87" s="108">
        <f>G69-G72-G78-G80-G85</f>
        <v>-34.53073779999647</v>
      </c>
    </row>
    <row r="88" spans="2:7" ht="12">
      <c r="B88" s="81"/>
      <c r="C88" s="82"/>
      <c r="D88" s="82"/>
      <c r="E88" s="83"/>
      <c r="F88" s="114"/>
      <c r="G88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58">
      <selection activeCell="E57" sqref="E57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181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F20+F23+F24+F25+F27</f>
        <v>643.58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SUM(F21:F21)</f>
        <v>643.58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191</v>
      </c>
      <c r="F21" s="94">
        <v>643.58</v>
      </c>
      <c r="G21" s="110"/>
    </row>
    <row r="22" spans="1:7" ht="12.75" customHeight="1">
      <c r="A22" s="44"/>
      <c r="B22" s="54"/>
      <c r="C22" s="44" t="s">
        <v>8</v>
      </c>
      <c r="D22" s="44" t="s">
        <v>9</v>
      </c>
      <c r="F22" s="95"/>
      <c r="G22" s="110"/>
    </row>
    <row r="23" spans="1:7" ht="12.75" customHeight="1">
      <c r="A23" s="44"/>
      <c r="B23" s="54"/>
      <c r="C23" s="44"/>
      <c r="D23" s="44" t="s">
        <v>10</v>
      </c>
      <c r="F23" s="95">
        <v>0</v>
      </c>
      <c r="G23" s="110"/>
    </row>
    <row r="24" spans="1:7" ht="12.75" customHeight="1">
      <c r="A24" s="44"/>
      <c r="B24" s="54"/>
      <c r="C24" s="44" t="s">
        <v>11</v>
      </c>
      <c r="D24" s="44" t="s">
        <v>12</v>
      </c>
      <c r="F24" s="95">
        <v>0</v>
      </c>
      <c r="G24" s="110"/>
    </row>
    <row r="25" spans="1:7" ht="12.75" customHeight="1">
      <c r="A25" s="44"/>
      <c r="B25" s="54"/>
      <c r="C25" s="44" t="s">
        <v>13</v>
      </c>
      <c r="D25" s="44"/>
      <c r="F25" s="95">
        <v>0</v>
      </c>
      <c r="G25" s="110"/>
    </row>
    <row r="26" spans="1:7" ht="12.75" customHeight="1">
      <c r="A26" s="44"/>
      <c r="B26" s="54"/>
      <c r="C26" s="44" t="s">
        <v>14</v>
      </c>
      <c r="D26" s="44"/>
      <c r="F26" s="95" t="s">
        <v>0</v>
      </c>
      <c r="G26" s="111"/>
    </row>
    <row r="27" spans="1:7" ht="12.75" customHeight="1">
      <c r="A27" s="44"/>
      <c r="B27" s="54"/>
      <c r="C27" s="44"/>
      <c r="D27" s="44" t="s">
        <v>15</v>
      </c>
      <c r="F27" s="93">
        <v>0</v>
      </c>
      <c r="G27" s="111"/>
    </row>
    <row r="28" spans="1:7" ht="12.75" customHeight="1">
      <c r="A28" s="44"/>
      <c r="B28" s="54"/>
      <c r="C28" s="44"/>
      <c r="D28" s="44"/>
      <c r="F28" s="93"/>
      <c r="G28" s="111"/>
    </row>
    <row r="29" spans="1:7" ht="12.75" customHeight="1">
      <c r="A29" s="44"/>
      <c r="B29" s="54"/>
      <c r="C29" s="44"/>
      <c r="D29" s="44"/>
      <c r="E29" s="44"/>
      <c r="F29" s="95"/>
      <c r="G29" s="111"/>
    </row>
    <row r="30" spans="1:7" s="64" customFormat="1" ht="12.75" customHeight="1">
      <c r="A30" s="62"/>
      <c r="B30" s="57" t="s">
        <v>16</v>
      </c>
      <c r="C30" s="62"/>
      <c r="D30" s="62"/>
      <c r="E30" s="63"/>
      <c r="F30" s="96"/>
      <c r="G30" s="105">
        <f>-(F32+F34+F36+F38+F44+F51+F52+F53+F54)</f>
        <v>-819</v>
      </c>
    </row>
    <row r="31" spans="1:7" ht="12.75" customHeight="1">
      <c r="A31" s="44"/>
      <c r="B31" s="54"/>
      <c r="C31" s="44" t="s">
        <v>17</v>
      </c>
      <c r="D31" s="44"/>
      <c r="F31" s="95" t="s">
        <v>0</v>
      </c>
      <c r="G31" s="111"/>
    </row>
    <row r="32" spans="1:7" ht="12.75" customHeight="1">
      <c r="A32" s="44"/>
      <c r="B32" s="54"/>
      <c r="D32" s="44" t="s">
        <v>18</v>
      </c>
      <c r="E32" s="65"/>
      <c r="F32" s="97">
        <f>SUM(F33:F33)</f>
        <v>0</v>
      </c>
      <c r="G32" s="111"/>
    </row>
    <row r="33" spans="1:7" ht="12.75" customHeight="1">
      <c r="A33" s="44"/>
      <c r="B33" s="54"/>
      <c r="D33" s="44"/>
      <c r="E33" s="65" t="s">
        <v>219</v>
      </c>
      <c r="F33" s="99">
        <v>0</v>
      </c>
      <c r="G33" s="111"/>
    </row>
    <row r="34" spans="1:7" ht="12.75" customHeight="1">
      <c r="A34" s="44"/>
      <c r="B34" s="54"/>
      <c r="C34" s="44" t="s">
        <v>19</v>
      </c>
      <c r="D34" s="44"/>
      <c r="E34" s="65"/>
      <c r="F34" s="97">
        <f>SUM(F35:F35)</f>
        <v>95.96</v>
      </c>
      <c r="G34" s="111"/>
    </row>
    <row r="35" spans="1:7" ht="12.75" customHeight="1">
      <c r="A35" s="44"/>
      <c r="B35" s="54"/>
      <c r="C35" s="44"/>
      <c r="D35" s="44"/>
      <c r="E35" s="66" t="s">
        <v>47</v>
      </c>
      <c r="F35" s="98">
        <v>95.96</v>
      </c>
      <c r="G35" s="111"/>
    </row>
    <row r="36" spans="1:7" ht="12.75" customHeight="1">
      <c r="A36" s="44"/>
      <c r="B36" s="54"/>
      <c r="C36" s="44" t="s">
        <v>20</v>
      </c>
      <c r="D36" s="44"/>
      <c r="E36" s="65"/>
      <c r="F36" s="93">
        <f>SUM(F37:F37)</f>
        <v>723.04</v>
      </c>
      <c r="G36" s="111"/>
    </row>
    <row r="37" spans="1:7" ht="12.75" customHeight="1">
      <c r="A37" s="44"/>
      <c r="B37" s="54"/>
      <c r="C37" s="44"/>
      <c r="D37" s="44" t="s">
        <v>192</v>
      </c>
      <c r="E37" s="65"/>
      <c r="F37" s="102">
        <v>723.04</v>
      </c>
      <c r="G37" s="111"/>
    </row>
    <row r="38" spans="1:7" ht="12.75" customHeight="1">
      <c r="A38" s="44"/>
      <c r="B38" s="54"/>
      <c r="C38" s="44" t="s">
        <v>21</v>
      </c>
      <c r="D38" s="44"/>
      <c r="E38" s="65"/>
      <c r="F38" s="97">
        <f>SUM(F39:F43)</f>
        <v>0</v>
      </c>
      <c r="G38" s="111"/>
    </row>
    <row r="39" spans="1:7" ht="12.75" customHeight="1">
      <c r="A39" s="44"/>
      <c r="B39" s="54"/>
      <c r="D39" s="67" t="s">
        <v>22</v>
      </c>
      <c r="E39" s="68"/>
      <c r="F39" s="98">
        <v>0</v>
      </c>
      <c r="G39" s="111"/>
    </row>
    <row r="40" spans="1:7" ht="12.75" customHeight="1">
      <c r="A40" s="44"/>
      <c r="B40" s="54"/>
      <c r="D40" s="67" t="s">
        <v>23</v>
      </c>
      <c r="E40" s="68"/>
      <c r="F40" s="98">
        <v>0</v>
      </c>
      <c r="G40" s="111"/>
    </row>
    <row r="41" spans="1:7" ht="12.75" customHeight="1">
      <c r="A41" s="44"/>
      <c r="B41" s="54"/>
      <c r="D41" s="67" t="s">
        <v>24</v>
      </c>
      <c r="E41" s="68"/>
      <c r="F41" s="98">
        <v>0</v>
      </c>
      <c r="G41" s="111"/>
    </row>
    <row r="42" spans="1:7" ht="12.75" customHeight="1">
      <c r="A42" s="44"/>
      <c r="B42" s="54"/>
      <c r="D42" s="67" t="s">
        <v>25</v>
      </c>
      <c r="E42" s="68"/>
      <c r="F42" s="98">
        <v>0</v>
      </c>
      <c r="G42" s="111"/>
    </row>
    <row r="43" spans="1:7" ht="12.75" customHeight="1">
      <c r="A43" s="44"/>
      <c r="B43" s="54"/>
      <c r="D43" s="67" t="s">
        <v>143</v>
      </c>
      <c r="E43" s="68"/>
      <c r="F43" s="98">
        <v>0</v>
      </c>
      <c r="G43" s="111"/>
    </row>
    <row r="44" spans="1:7" ht="12.75" customHeight="1">
      <c r="A44" s="44"/>
      <c r="B44" s="54"/>
      <c r="C44" s="44" t="s">
        <v>27</v>
      </c>
      <c r="D44" s="44"/>
      <c r="E44" s="65"/>
      <c r="F44" s="97">
        <f>SUM(F45:F49)</f>
        <v>0</v>
      </c>
      <c r="G44" s="111"/>
    </row>
    <row r="45" spans="1:7" ht="12.75" customHeight="1">
      <c r="A45" s="44"/>
      <c r="B45" s="54"/>
      <c r="C45" s="44"/>
      <c r="D45" s="67" t="s">
        <v>28</v>
      </c>
      <c r="E45" s="68"/>
      <c r="F45" s="98">
        <v>0</v>
      </c>
      <c r="G45" s="111"/>
    </row>
    <row r="46" spans="1:7" ht="12.75" customHeight="1">
      <c r="A46" s="44"/>
      <c r="B46" s="54"/>
      <c r="D46" s="67" t="s">
        <v>29</v>
      </c>
      <c r="E46" s="69"/>
      <c r="F46" s="98">
        <v>0</v>
      </c>
      <c r="G46" s="111"/>
    </row>
    <row r="47" spans="1:7" ht="12.75" customHeight="1">
      <c r="A47" s="44"/>
      <c r="B47" s="54"/>
      <c r="D47" s="67" t="s">
        <v>31</v>
      </c>
      <c r="E47" s="68"/>
      <c r="F47" s="98">
        <v>0</v>
      </c>
      <c r="G47" s="111"/>
    </row>
    <row r="48" spans="1:7" ht="12.75" customHeight="1">
      <c r="A48" s="44"/>
      <c r="B48" s="54"/>
      <c r="D48" s="67" t="s">
        <v>32</v>
      </c>
      <c r="E48" s="68"/>
      <c r="F48" s="98"/>
      <c r="G48" s="111"/>
    </row>
    <row r="49" spans="1:7" ht="12.75" customHeight="1">
      <c r="A49" s="44"/>
      <c r="B49" s="54"/>
      <c r="D49" s="67"/>
      <c r="E49" s="69" t="s">
        <v>33</v>
      </c>
      <c r="F49" s="98">
        <v>0</v>
      </c>
      <c r="G49" s="111"/>
    </row>
    <row r="50" spans="1:7" ht="12.75" customHeight="1">
      <c r="A50" s="44"/>
      <c r="B50" s="54"/>
      <c r="C50" s="44" t="s">
        <v>34</v>
      </c>
      <c r="D50" s="44"/>
      <c r="E50" s="65"/>
      <c r="F50" s="95"/>
      <c r="G50" s="111"/>
    </row>
    <row r="51" spans="1:7" ht="12.75" customHeight="1">
      <c r="A51" s="44"/>
      <c r="B51" s="54"/>
      <c r="D51" s="44"/>
      <c r="E51" s="70" t="s">
        <v>35</v>
      </c>
      <c r="F51" s="95">
        <v>0</v>
      </c>
      <c r="G51" s="111"/>
    </row>
    <row r="52" spans="1:7" ht="12.75" customHeight="1">
      <c r="A52" s="44"/>
      <c r="B52" s="54"/>
      <c r="C52" s="44" t="s">
        <v>36</v>
      </c>
      <c r="D52" s="44"/>
      <c r="E52" s="65"/>
      <c r="F52" s="95">
        <v>0</v>
      </c>
      <c r="G52" s="111"/>
    </row>
    <row r="53" spans="1:7" ht="12.75" customHeight="1">
      <c r="A53" s="44"/>
      <c r="B53" s="54"/>
      <c r="C53" s="44" t="s">
        <v>37</v>
      </c>
      <c r="D53" s="44"/>
      <c r="E53" s="65"/>
      <c r="F53" s="95">
        <v>0</v>
      </c>
      <c r="G53" s="111"/>
    </row>
    <row r="54" spans="1:7" ht="12.75" customHeight="1">
      <c r="A54" s="44"/>
      <c r="B54" s="54"/>
      <c r="C54" s="44" t="s">
        <v>38</v>
      </c>
      <c r="D54" s="44"/>
      <c r="E54" s="65"/>
      <c r="F54" s="95">
        <v>0</v>
      </c>
      <c r="G54" s="111"/>
    </row>
    <row r="55" spans="1:7" ht="12.75" customHeight="1">
      <c r="A55" s="44"/>
      <c r="B55" s="54"/>
      <c r="C55" s="44"/>
      <c r="D55" s="44"/>
      <c r="E55" s="70"/>
      <c r="F55" s="95" t="s">
        <v>0</v>
      </c>
      <c r="G55" s="111"/>
    </row>
    <row r="56" spans="1:7" ht="12.75" customHeight="1">
      <c r="A56" s="72"/>
      <c r="B56" s="57" t="s">
        <v>39</v>
      </c>
      <c r="C56" s="73"/>
      <c r="D56" s="73"/>
      <c r="E56" s="66"/>
      <c r="F56" s="95" t="s">
        <v>0</v>
      </c>
      <c r="G56" s="106">
        <f>G19+G30</f>
        <v>-175.41999999999996</v>
      </c>
    </row>
    <row r="57" spans="1:7" ht="12.75" customHeight="1">
      <c r="A57" s="44"/>
      <c r="B57" s="74" t="s">
        <v>40</v>
      </c>
      <c r="C57" s="44"/>
      <c r="D57" s="44"/>
      <c r="E57" s="70"/>
      <c r="F57" s="95" t="s">
        <v>0</v>
      </c>
      <c r="G57" s="113"/>
    </row>
    <row r="58" spans="2:7" ht="12" customHeight="1">
      <c r="B58" s="76"/>
      <c r="E58" s="65"/>
      <c r="F58" s="95" t="s">
        <v>0</v>
      </c>
      <c r="G58" s="113"/>
    </row>
    <row r="59" spans="2:7" ht="12" customHeight="1">
      <c r="B59" s="57" t="s">
        <v>81</v>
      </c>
      <c r="C59" s="62"/>
      <c r="D59" s="62"/>
      <c r="E59" s="77"/>
      <c r="F59" s="96"/>
      <c r="G59" s="107">
        <f>SUM(F61:F63)</f>
        <v>0</v>
      </c>
    </row>
    <row r="60" spans="2:7" ht="12">
      <c r="B60" s="76"/>
      <c r="E60" s="65"/>
      <c r="F60" s="95"/>
      <c r="G60" s="113"/>
    </row>
    <row r="61" spans="2:7" ht="12">
      <c r="B61" s="54"/>
      <c r="C61" s="44" t="s">
        <v>78</v>
      </c>
      <c r="D61" s="44"/>
      <c r="E61" s="65"/>
      <c r="F61" s="93">
        <v>0</v>
      </c>
      <c r="G61" s="113"/>
    </row>
    <row r="62" spans="2:7" ht="12">
      <c r="B62" s="76"/>
      <c r="C62" s="44" t="s">
        <v>79</v>
      </c>
      <c r="E62" s="65"/>
      <c r="F62" s="95">
        <v>0</v>
      </c>
      <c r="G62" s="113"/>
    </row>
    <row r="63" spans="2:7" ht="12">
      <c r="B63" s="76"/>
      <c r="C63" s="44" t="s">
        <v>80</v>
      </c>
      <c r="E63" s="65"/>
      <c r="F63" s="95">
        <v>0</v>
      </c>
      <c r="G63" s="113"/>
    </row>
    <row r="64" spans="2:7" ht="12">
      <c r="B64" s="76"/>
      <c r="E64" s="65"/>
      <c r="F64" s="95"/>
      <c r="G64" s="113"/>
    </row>
    <row r="65" spans="2:7" ht="12">
      <c r="B65" s="57" t="s">
        <v>82</v>
      </c>
      <c r="C65" s="62"/>
      <c r="D65" s="62"/>
      <c r="E65" s="77"/>
      <c r="F65" s="96">
        <v>0</v>
      </c>
      <c r="G65" s="107">
        <v>0</v>
      </c>
    </row>
    <row r="66" spans="2:7" ht="12">
      <c r="B66" s="76"/>
      <c r="E66" s="65"/>
      <c r="F66" s="95"/>
      <c r="G66" s="113"/>
    </row>
    <row r="67" spans="2:7" ht="12">
      <c r="B67" s="57" t="s">
        <v>77</v>
      </c>
      <c r="C67" s="62"/>
      <c r="D67" s="62"/>
      <c r="E67" s="77"/>
      <c r="F67" s="96"/>
      <c r="G67" s="107">
        <f>SUM(F69:F70)</f>
        <v>0</v>
      </c>
    </row>
    <row r="68" spans="2:7" ht="12">
      <c r="B68" s="76"/>
      <c r="E68" s="65"/>
      <c r="F68" s="95"/>
      <c r="G68" s="113"/>
    </row>
    <row r="69" spans="2:7" ht="12">
      <c r="B69" s="76"/>
      <c r="C69" s="44" t="s">
        <v>83</v>
      </c>
      <c r="E69" s="65"/>
      <c r="F69" s="95">
        <v>0</v>
      </c>
      <c r="G69" s="113"/>
    </row>
    <row r="70" spans="2:7" ht="12">
      <c r="B70" s="76"/>
      <c r="C70" s="44" t="s">
        <v>84</v>
      </c>
      <c r="E70" s="65"/>
      <c r="F70" s="95">
        <v>0</v>
      </c>
      <c r="G70" s="113"/>
    </row>
    <row r="71" spans="2:7" ht="12">
      <c r="B71" s="76"/>
      <c r="E71" s="65"/>
      <c r="F71" s="95"/>
      <c r="G71" s="113"/>
    </row>
    <row r="72" spans="2:7" ht="12">
      <c r="B72" s="79" t="s">
        <v>85</v>
      </c>
      <c r="C72" s="63"/>
      <c r="D72" s="63"/>
      <c r="E72" s="77"/>
      <c r="F72" s="95">
        <v>25.11</v>
      </c>
      <c r="G72" s="107">
        <f>F72</f>
        <v>25.11</v>
      </c>
    </row>
    <row r="73" spans="2:7" ht="12">
      <c r="B73" s="76"/>
      <c r="E73" s="65"/>
      <c r="F73" s="95"/>
      <c r="G73" s="113"/>
    </row>
    <row r="74" spans="2:7" ht="12.75">
      <c r="B74" s="57"/>
      <c r="E74" s="80" t="s">
        <v>86</v>
      </c>
      <c r="F74" s="95"/>
      <c r="G74" s="108">
        <f>G56-G59-G65-G67-G72</f>
        <v>-200.52999999999997</v>
      </c>
    </row>
    <row r="75" spans="2:7" ht="12">
      <c r="B75" s="81"/>
      <c r="C75" s="82"/>
      <c r="D75" s="82"/>
      <c r="E75" s="83"/>
      <c r="F75" s="114"/>
      <c r="G75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89">
      <selection activeCell="F56" sqref="F56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102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F20+F24+F25+F26+F28</f>
        <v>1142010.2206400002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SUM(F21:F22)</f>
        <v>1137672.3800000001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113</v>
      </c>
      <c r="F21" s="94">
        <v>1124555.02</v>
      </c>
      <c r="G21" s="110"/>
    </row>
    <row r="22" spans="1:7" ht="12.75" customHeight="1">
      <c r="A22" s="44"/>
      <c r="B22" s="54"/>
      <c r="C22" s="44"/>
      <c r="D22" s="44" t="s">
        <v>30</v>
      </c>
      <c r="E22" s="45" t="s">
        <v>114</v>
      </c>
      <c r="F22" s="94">
        <v>13117.36</v>
      </c>
      <c r="G22" s="110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10"/>
    </row>
    <row r="24" spans="1:7" ht="12.75" customHeight="1">
      <c r="A24" s="44"/>
      <c r="B24" s="54"/>
      <c r="C24" s="44"/>
      <c r="D24" s="44" t="s">
        <v>10</v>
      </c>
      <c r="F24" s="95">
        <v>0</v>
      </c>
      <c r="G24" s="110"/>
    </row>
    <row r="25" spans="1:7" ht="12.75" customHeight="1">
      <c r="A25" s="44"/>
      <c r="B25" s="54"/>
      <c r="C25" s="44" t="s">
        <v>11</v>
      </c>
      <c r="D25" s="44" t="s">
        <v>12</v>
      </c>
      <c r="F25" s="95">
        <v>0</v>
      </c>
      <c r="G25" s="110"/>
    </row>
    <row r="26" spans="1:7" ht="12.75" customHeight="1">
      <c r="A26" s="44"/>
      <c r="B26" s="54"/>
      <c r="C26" s="44" t="s">
        <v>13</v>
      </c>
      <c r="D26" s="44"/>
      <c r="F26" s="95">
        <v>0</v>
      </c>
      <c r="G26" s="110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11"/>
    </row>
    <row r="28" spans="1:7" ht="12.75" customHeight="1">
      <c r="A28" s="44"/>
      <c r="B28" s="54"/>
      <c r="C28" s="44"/>
      <c r="D28" s="44" t="s">
        <v>15</v>
      </c>
      <c r="F28" s="93">
        <f>SUM(F29:F31)</f>
        <v>4337.84064</v>
      </c>
      <c r="G28" s="111"/>
    </row>
    <row r="29" spans="1:7" ht="12.75" customHeight="1">
      <c r="A29" s="44"/>
      <c r="B29" s="54"/>
      <c r="C29" s="44"/>
      <c r="D29" s="44" t="s">
        <v>30</v>
      </c>
      <c r="E29" s="45" t="s">
        <v>193</v>
      </c>
      <c r="F29" s="118">
        <v>44.52</v>
      </c>
      <c r="G29" s="111"/>
    </row>
    <row r="30" spans="1:7" ht="12.75" customHeight="1">
      <c r="A30" s="44"/>
      <c r="B30" s="54"/>
      <c r="C30" s="44"/>
      <c r="D30" s="60" t="s">
        <v>30</v>
      </c>
      <c r="E30" s="45" t="s">
        <v>115</v>
      </c>
      <c r="F30" s="94">
        <v>3119.82</v>
      </c>
      <c r="G30" s="112"/>
    </row>
    <row r="31" spans="1:7" ht="12.75" customHeight="1">
      <c r="A31" s="44"/>
      <c r="B31" s="54"/>
      <c r="C31" s="44"/>
      <c r="D31" s="60" t="s">
        <v>30</v>
      </c>
      <c r="E31" s="45" t="s">
        <v>218</v>
      </c>
      <c r="F31" s="94">
        <f>18806.1*6.24/100</f>
        <v>1173.50064</v>
      </c>
      <c r="G31" s="112"/>
    </row>
    <row r="32" spans="1:7" ht="12.75" customHeight="1">
      <c r="A32" s="44"/>
      <c r="B32" s="54"/>
      <c r="C32" s="44"/>
      <c r="D32" s="44"/>
      <c r="E32" s="44"/>
      <c r="F32" s="95"/>
      <c r="G32" s="111"/>
    </row>
    <row r="33" spans="1:7" s="64" customFormat="1" ht="12.75" customHeight="1">
      <c r="A33" s="62"/>
      <c r="B33" s="57" t="s">
        <v>16</v>
      </c>
      <c r="C33" s="62"/>
      <c r="D33" s="62"/>
      <c r="E33" s="63"/>
      <c r="F33" s="96"/>
      <c r="G33" s="105">
        <f>-(F35+F40+F56+F60+F66+F73+F74+F75+F76)</f>
        <v>-1008349.262416</v>
      </c>
    </row>
    <row r="34" spans="1:7" ht="12.75" customHeight="1">
      <c r="A34" s="44"/>
      <c r="B34" s="54"/>
      <c r="C34" s="44" t="s">
        <v>17</v>
      </c>
      <c r="D34" s="44"/>
      <c r="F34" s="95" t="s">
        <v>0</v>
      </c>
      <c r="G34" s="111"/>
    </row>
    <row r="35" spans="1:7" ht="12.75" customHeight="1">
      <c r="A35" s="44"/>
      <c r="B35" s="54"/>
      <c r="D35" s="44" t="s">
        <v>18</v>
      </c>
      <c r="E35" s="65"/>
      <c r="F35" s="97">
        <f>SUM(F36:F39)</f>
        <v>815177.579984</v>
      </c>
      <c r="G35" s="111"/>
    </row>
    <row r="36" spans="1:7" ht="12.75" customHeight="1">
      <c r="A36" s="44"/>
      <c r="B36" s="54"/>
      <c r="D36" s="44"/>
      <c r="E36" s="65" t="s">
        <v>44</v>
      </c>
      <c r="F36" s="98">
        <v>814217.35</v>
      </c>
      <c r="G36" s="111"/>
    </row>
    <row r="37" spans="1:7" ht="12.75" customHeight="1">
      <c r="A37" s="44"/>
      <c r="B37" s="54"/>
      <c r="D37" s="44"/>
      <c r="E37" s="65" t="s">
        <v>89</v>
      </c>
      <c r="F37" s="98">
        <v>27.11</v>
      </c>
      <c r="G37" s="111"/>
    </row>
    <row r="38" spans="1:7" ht="12.75" customHeight="1">
      <c r="A38" s="44"/>
      <c r="B38" s="54"/>
      <c r="D38" s="44"/>
      <c r="E38" s="66" t="s">
        <v>45</v>
      </c>
      <c r="F38" s="98">
        <v>289.61</v>
      </c>
      <c r="G38" s="111"/>
    </row>
    <row r="39" spans="1:7" ht="12.75" customHeight="1">
      <c r="A39" s="44"/>
      <c r="B39" s="54"/>
      <c r="D39" s="44"/>
      <c r="E39" s="65" t="s">
        <v>219</v>
      </c>
      <c r="F39" s="99">
        <f>10312.66*6.24/100</f>
        <v>643.509984</v>
      </c>
      <c r="G39" s="111"/>
    </row>
    <row r="40" spans="1:7" ht="12.75" customHeight="1">
      <c r="A40" s="44"/>
      <c r="B40" s="54"/>
      <c r="C40" s="44" t="s">
        <v>19</v>
      </c>
      <c r="D40" s="44"/>
      <c r="E40" s="65"/>
      <c r="F40" s="97">
        <f>SUM(F41:F55)</f>
        <v>74570.112864</v>
      </c>
      <c r="G40" s="111"/>
    </row>
    <row r="41" spans="1:7" ht="12.75" customHeight="1">
      <c r="A41" s="44"/>
      <c r="B41" s="54"/>
      <c r="C41" s="44"/>
      <c r="D41" s="44"/>
      <c r="E41" s="66" t="s">
        <v>47</v>
      </c>
      <c r="F41" s="98">
        <v>1245.72</v>
      </c>
      <c r="G41" s="111"/>
    </row>
    <row r="42" spans="1:7" ht="12.75" customHeight="1">
      <c r="A42" s="44"/>
      <c r="B42" s="54"/>
      <c r="C42" s="44"/>
      <c r="D42" s="44"/>
      <c r="E42" s="66" t="s">
        <v>46</v>
      </c>
      <c r="F42" s="98">
        <v>1447.48</v>
      </c>
      <c r="G42" s="111"/>
    </row>
    <row r="43" spans="1:7" ht="13.5" customHeight="1">
      <c r="A43" s="44"/>
      <c r="B43" s="54"/>
      <c r="C43" s="44"/>
      <c r="D43" s="44"/>
      <c r="E43" s="66" t="s">
        <v>53</v>
      </c>
      <c r="F43" s="98">
        <v>257.08</v>
      </c>
      <c r="G43" s="111"/>
    </row>
    <row r="44" spans="1:7" ht="12.75" customHeight="1">
      <c r="A44" s="44"/>
      <c r="B44" s="54"/>
      <c r="C44" s="44"/>
      <c r="D44" s="44"/>
      <c r="E44" s="66" t="s">
        <v>129</v>
      </c>
      <c r="F44" s="98">
        <v>789.14</v>
      </c>
      <c r="G44" s="111"/>
    </row>
    <row r="45" spans="1:7" ht="12.75" customHeight="1">
      <c r="A45" s="44"/>
      <c r="B45" s="54"/>
      <c r="C45" s="44"/>
      <c r="D45" s="44"/>
      <c r="E45" s="66" t="s">
        <v>224</v>
      </c>
      <c r="F45" s="98">
        <v>366.01</v>
      </c>
      <c r="G45" s="111"/>
    </row>
    <row r="46" spans="1:7" ht="12.75" customHeight="1">
      <c r="A46" s="44"/>
      <c r="B46" s="54"/>
      <c r="C46" s="44"/>
      <c r="D46" s="44"/>
      <c r="E46" s="66" t="s">
        <v>75</v>
      </c>
      <c r="F46" s="98">
        <v>725.11</v>
      </c>
      <c r="G46" s="111"/>
    </row>
    <row r="47" spans="1:7" ht="12.75" customHeight="1">
      <c r="A47" s="44"/>
      <c r="B47" s="54"/>
      <c r="C47" s="44"/>
      <c r="D47" s="44"/>
      <c r="E47" s="66" t="s">
        <v>149</v>
      </c>
      <c r="F47" s="98">
        <v>371.76</v>
      </c>
      <c r="G47" s="111"/>
    </row>
    <row r="48" spans="1:7" ht="12.75" customHeight="1">
      <c r="A48" s="44"/>
      <c r="B48" s="54"/>
      <c r="C48" s="44"/>
      <c r="D48" s="44"/>
      <c r="E48" s="66" t="s">
        <v>121</v>
      </c>
      <c r="F48" s="98">
        <v>13</v>
      </c>
      <c r="G48" s="111"/>
    </row>
    <row r="49" spans="1:7" ht="12.75" customHeight="1">
      <c r="A49" s="44"/>
      <c r="B49" s="54"/>
      <c r="C49" s="44"/>
      <c r="D49" s="44"/>
      <c r="E49" s="66" t="s">
        <v>194</v>
      </c>
      <c r="F49" s="98">
        <v>240.35</v>
      </c>
      <c r="G49" s="111"/>
    </row>
    <row r="50" spans="1:7" ht="12.75" customHeight="1">
      <c r="A50" s="44"/>
      <c r="B50" s="54"/>
      <c r="C50" s="44"/>
      <c r="D50" s="44"/>
      <c r="E50" s="66" t="s">
        <v>147</v>
      </c>
      <c r="F50" s="98">
        <v>10192.55</v>
      </c>
      <c r="G50" s="111"/>
    </row>
    <row r="51" spans="1:7" ht="12.75" customHeight="1">
      <c r="A51" s="44"/>
      <c r="B51" s="54"/>
      <c r="C51" s="44"/>
      <c r="D51" s="44"/>
      <c r="E51" s="66" t="s">
        <v>148</v>
      </c>
      <c r="F51" s="98">
        <v>7372.2</v>
      </c>
      <c r="G51" s="111"/>
    </row>
    <row r="52" spans="1:7" ht="12.75" customHeight="1">
      <c r="A52" s="44"/>
      <c r="B52" s="54"/>
      <c r="C52" s="44"/>
      <c r="D52" s="44"/>
      <c r="E52" s="66" t="s">
        <v>168</v>
      </c>
      <c r="F52" s="98">
        <v>1421.32</v>
      </c>
      <c r="G52" s="111"/>
    </row>
    <row r="53" spans="1:7" ht="12.75" customHeight="1">
      <c r="A53" s="44"/>
      <c r="B53" s="54"/>
      <c r="C53" s="44"/>
      <c r="D53" s="44"/>
      <c r="E53" s="66" t="s">
        <v>170</v>
      </c>
      <c r="F53" s="98">
        <v>26792.72</v>
      </c>
      <c r="G53" s="111"/>
    </row>
    <row r="54" spans="1:7" ht="12.75" customHeight="1">
      <c r="A54" s="44"/>
      <c r="B54" s="54"/>
      <c r="C54" s="44"/>
      <c r="D54" s="44"/>
      <c r="E54" s="66" t="s">
        <v>195</v>
      </c>
      <c r="F54" s="98">
        <v>2558.7</v>
      </c>
      <c r="G54" s="111"/>
    </row>
    <row r="55" spans="1:7" ht="12.75" customHeight="1">
      <c r="A55" s="44"/>
      <c r="B55" s="54"/>
      <c r="C55" s="44"/>
      <c r="D55" s="44"/>
      <c r="E55" s="66" t="s">
        <v>220</v>
      </c>
      <c r="F55" s="98">
        <f>340665.11*6.24/100-114.52-366.01</f>
        <v>20776.972864000003</v>
      </c>
      <c r="G55" s="111"/>
    </row>
    <row r="56" spans="1:7" ht="12.75" customHeight="1">
      <c r="A56" s="44"/>
      <c r="B56" s="54"/>
      <c r="C56" s="44" t="s">
        <v>20</v>
      </c>
      <c r="D56" s="44"/>
      <c r="E56" s="65"/>
      <c r="F56" s="93">
        <f>SUM(F57:F59)</f>
        <v>15351.202352</v>
      </c>
      <c r="G56" s="111"/>
    </row>
    <row r="57" spans="1:7" ht="12.75" customHeight="1">
      <c r="A57" s="44"/>
      <c r="B57" s="54"/>
      <c r="C57" s="44"/>
      <c r="D57" s="44"/>
      <c r="E57" s="66" t="s">
        <v>117</v>
      </c>
      <c r="F57" s="98">
        <v>13819.88</v>
      </c>
      <c r="G57" s="111"/>
    </row>
    <row r="58" spans="1:7" ht="12.75" customHeight="1">
      <c r="A58" s="44"/>
      <c r="B58" s="54"/>
      <c r="C58" s="44"/>
      <c r="D58" s="44"/>
      <c r="E58" s="66" t="s">
        <v>131</v>
      </c>
      <c r="F58" s="116">
        <v>1193.1</v>
      </c>
      <c r="G58" s="111"/>
    </row>
    <row r="59" spans="1:7" ht="12.75" customHeight="1">
      <c r="A59" s="44"/>
      <c r="B59" s="54"/>
      <c r="C59" s="44"/>
      <c r="D59" s="44"/>
      <c r="E59" s="66" t="s">
        <v>219</v>
      </c>
      <c r="F59" s="116">
        <f>5420.23*6.24/100</f>
        <v>338.22235199999994</v>
      </c>
      <c r="G59" s="111"/>
    </row>
    <row r="60" spans="1:7" ht="12.75" customHeight="1">
      <c r="A60" s="44"/>
      <c r="B60" s="54"/>
      <c r="C60" s="44" t="s">
        <v>21</v>
      </c>
      <c r="D60" s="44"/>
      <c r="E60" s="65"/>
      <c r="F60" s="97">
        <f>SUM(F61:F65)</f>
        <v>96587.598512</v>
      </c>
      <c r="G60" s="111"/>
    </row>
    <row r="61" spans="1:7" ht="12.75" customHeight="1">
      <c r="A61" s="44"/>
      <c r="B61" s="54"/>
      <c r="D61" s="67" t="s">
        <v>22</v>
      </c>
      <c r="E61" s="68"/>
      <c r="F61" s="98">
        <f>(53968.51+198.92+2843.22)+(252968.7*6.24/100)+20.54</f>
        <v>72816.43688</v>
      </c>
      <c r="G61" s="111"/>
    </row>
    <row r="62" spans="1:7" ht="12.75" customHeight="1">
      <c r="A62" s="44"/>
      <c r="B62" s="54"/>
      <c r="D62" s="67" t="s">
        <v>23</v>
      </c>
      <c r="E62" s="68"/>
      <c r="F62" s="98">
        <f>(12834.91+1238.71+49.35+705.41)+(44020.19*6.24/100)</f>
        <v>17575.239856</v>
      </c>
      <c r="G62" s="111"/>
    </row>
    <row r="63" spans="1:7" ht="12.75" customHeight="1">
      <c r="A63" s="44"/>
      <c r="B63" s="54"/>
      <c r="D63" s="67" t="s">
        <v>24</v>
      </c>
      <c r="E63" s="68"/>
      <c r="F63" s="98">
        <f>4938.89+(20144.74*6.24/100)</f>
        <v>6195.921776</v>
      </c>
      <c r="G63" s="111"/>
    </row>
    <row r="64" spans="1:7" ht="12.75" customHeight="1">
      <c r="A64" s="44"/>
      <c r="B64" s="54"/>
      <c r="D64" s="67" t="s">
        <v>25</v>
      </c>
      <c r="E64" s="68"/>
      <c r="F64" s="98">
        <v>0</v>
      </c>
      <c r="G64" s="111"/>
    </row>
    <row r="65" spans="1:7" ht="12.75" customHeight="1">
      <c r="A65" s="44"/>
      <c r="B65" s="54"/>
      <c r="D65" s="67" t="s">
        <v>137</v>
      </c>
      <c r="E65" s="68"/>
      <c r="F65" s="98">
        <v>0</v>
      </c>
      <c r="G65" s="111"/>
    </row>
    <row r="66" spans="1:7" ht="12.75" customHeight="1">
      <c r="A66" s="44"/>
      <c r="B66" s="54"/>
      <c r="C66" s="44" t="s">
        <v>27</v>
      </c>
      <c r="D66" s="44"/>
      <c r="E66" s="65"/>
      <c r="F66" s="97">
        <f>SUM(F67:F71)</f>
        <v>590.9747359999999</v>
      </c>
      <c r="G66" s="111"/>
    </row>
    <row r="67" spans="1:7" ht="12.75" customHeight="1">
      <c r="A67" s="44"/>
      <c r="B67" s="54"/>
      <c r="C67" s="44"/>
      <c r="D67" s="67" t="s">
        <v>28</v>
      </c>
      <c r="E67" s="68"/>
      <c r="F67" s="98">
        <f>2090.44*6.24/100</f>
        <v>130.443456</v>
      </c>
      <c r="G67" s="111"/>
    </row>
    <row r="68" spans="1:7" ht="12.75" customHeight="1">
      <c r="A68" s="44"/>
      <c r="B68" s="54"/>
      <c r="D68" s="67" t="s">
        <v>29</v>
      </c>
      <c r="E68" s="69"/>
      <c r="F68" s="98">
        <f>378.26+(512.4*6.24/100)</f>
        <v>410.23375999999996</v>
      </c>
      <c r="G68" s="111"/>
    </row>
    <row r="69" spans="1:7" ht="12.75" customHeight="1">
      <c r="A69" s="44"/>
      <c r="B69" s="54"/>
      <c r="D69" s="67" t="s">
        <v>31</v>
      </c>
      <c r="E69" s="68"/>
      <c r="F69" s="98">
        <v>0</v>
      </c>
      <c r="G69" s="111"/>
    </row>
    <row r="70" spans="1:7" ht="12.75" customHeight="1">
      <c r="A70" s="44"/>
      <c r="B70" s="54"/>
      <c r="D70" s="67" t="s">
        <v>32</v>
      </c>
      <c r="E70" s="68"/>
      <c r="F70" s="98"/>
      <c r="G70" s="111"/>
    </row>
    <row r="71" spans="1:7" ht="12.75" customHeight="1">
      <c r="A71" s="44"/>
      <c r="B71" s="54"/>
      <c r="D71" s="67"/>
      <c r="E71" s="69" t="s">
        <v>33</v>
      </c>
      <c r="F71" s="98">
        <f>806.05*6.24/100</f>
        <v>50.29751999999999</v>
      </c>
      <c r="G71" s="111"/>
    </row>
    <row r="72" spans="1:7" ht="12.75" customHeight="1">
      <c r="A72" s="44"/>
      <c r="B72" s="54"/>
      <c r="C72" s="44" t="s">
        <v>34</v>
      </c>
      <c r="D72" s="44"/>
      <c r="E72" s="65"/>
      <c r="F72" s="95"/>
      <c r="G72" s="111"/>
    </row>
    <row r="73" spans="1:7" ht="12.75" customHeight="1">
      <c r="A73" s="44"/>
      <c r="B73" s="54"/>
      <c r="D73" s="44"/>
      <c r="E73" s="70" t="s">
        <v>35</v>
      </c>
      <c r="F73" s="95">
        <f>161891.28-157097.29</f>
        <v>4793.989999999991</v>
      </c>
      <c r="G73" s="111"/>
    </row>
    <row r="74" spans="1:7" ht="12.75" customHeight="1">
      <c r="A74" s="44"/>
      <c r="B74" s="54"/>
      <c r="C74" s="44" t="s">
        <v>36</v>
      </c>
      <c r="D74" s="44"/>
      <c r="E74" s="65"/>
      <c r="F74" s="95">
        <v>0</v>
      </c>
      <c r="G74" s="111"/>
    </row>
    <row r="75" spans="1:7" ht="12.75" customHeight="1">
      <c r="A75" s="44"/>
      <c r="B75" s="54"/>
      <c r="C75" s="44" t="s">
        <v>37</v>
      </c>
      <c r="D75" s="44"/>
      <c r="E75" s="65"/>
      <c r="F75" s="95">
        <v>0</v>
      </c>
      <c r="G75" s="111"/>
    </row>
    <row r="76" spans="1:7" ht="12.75" customHeight="1">
      <c r="A76" s="44"/>
      <c r="B76" s="54"/>
      <c r="C76" s="44" t="s">
        <v>38</v>
      </c>
      <c r="D76" s="44"/>
      <c r="E76" s="65"/>
      <c r="F76" s="95">
        <f>SUM(F77:F82)</f>
        <v>1277.803968</v>
      </c>
      <c r="G76" s="111"/>
    </row>
    <row r="77" spans="1:7" ht="12.75" customHeight="1">
      <c r="A77" s="44"/>
      <c r="B77" s="54"/>
      <c r="C77" s="44"/>
      <c r="D77" s="44"/>
      <c r="E77" s="65" t="s">
        <v>132</v>
      </c>
      <c r="F77" s="103">
        <v>1.29</v>
      </c>
      <c r="G77" s="111"/>
    </row>
    <row r="78" spans="1:7" ht="12.75" customHeight="1">
      <c r="A78" s="44"/>
      <c r="B78" s="54"/>
      <c r="C78" s="44"/>
      <c r="D78" s="44"/>
      <c r="E78" s="65" t="s">
        <v>150</v>
      </c>
      <c r="F78" s="103">
        <v>558.29</v>
      </c>
      <c r="G78" s="111"/>
    </row>
    <row r="79" spans="1:7" ht="12.75" customHeight="1">
      <c r="A79" s="44"/>
      <c r="B79" s="54"/>
      <c r="C79" s="44"/>
      <c r="D79" s="44"/>
      <c r="E79" s="65" t="s">
        <v>199</v>
      </c>
      <c r="F79" s="103">
        <v>289</v>
      </c>
      <c r="G79" s="111"/>
    </row>
    <row r="80" spans="1:7" ht="12.75" customHeight="1">
      <c r="A80" s="44"/>
      <c r="B80" s="54"/>
      <c r="C80" s="44"/>
      <c r="D80" s="44"/>
      <c r="E80" s="71" t="s">
        <v>151</v>
      </c>
      <c r="F80" s="103">
        <v>62</v>
      </c>
      <c r="G80" s="111"/>
    </row>
    <row r="81" spans="1:7" ht="12.75" customHeight="1">
      <c r="A81" s="44"/>
      <c r="B81" s="54"/>
      <c r="C81" s="44"/>
      <c r="D81" s="44"/>
      <c r="E81" s="66" t="s">
        <v>135</v>
      </c>
      <c r="F81" s="98">
        <v>6.22</v>
      </c>
      <c r="G81" s="111"/>
    </row>
    <row r="82" spans="1:7" ht="12.75" customHeight="1">
      <c r="A82" s="44"/>
      <c r="B82" s="54"/>
      <c r="C82" s="44"/>
      <c r="D82" s="44"/>
      <c r="E82" s="66" t="s">
        <v>219</v>
      </c>
      <c r="F82" s="102">
        <f>5785.32*6.24/100</f>
        <v>361.00396800000004</v>
      </c>
      <c r="G82" s="111"/>
    </row>
    <row r="83" spans="1:7" ht="12.75" customHeight="1">
      <c r="A83" s="44"/>
      <c r="B83" s="54"/>
      <c r="C83" s="44"/>
      <c r="D83" s="44"/>
      <c r="E83" s="70"/>
      <c r="F83" s="95" t="s">
        <v>0</v>
      </c>
      <c r="G83" s="111"/>
    </row>
    <row r="84" spans="1:7" ht="12.75" customHeight="1">
      <c r="A84" s="72"/>
      <c r="B84" s="57" t="s">
        <v>39</v>
      </c>
      <c r="C84" s="73"/>
      <c r="D84" s="73"/>
      <c r="E84" s="66"/>
      <c r="F84" s="95" t="s">
        <v>0</v>
      </c>
      <c r="G84" s="106">
        <f>G19+G33</f>
        <v>133660.95822400018</v>
      </c>
    </row>
    <row r="85" spans="1:7" ht="12.75" customHeight="1">
      <c r="A85" s="44"/>
      <c r="B85" s="74" t="s">
        <v>40</v>
      </c>
      <c r="C85" s="44"/>
      <c r="D85" s="44"/>
      <c r="E85" s="70"/>
      <c r="F85" s="95" t="s">
        <v>0</v>
      </c>
      <c r="G85" s="113"/>
    </row>
    <row r="86" spans="2:7" ht="12" customHeight="1">
      <c r="B86" s="76"/>
      <c r="E86" s="65"/>
      <c r="F86" s="95" t="s">
        <v>0</v>
      </c>
      <c r="G86" s="113"/>
    </row>
    <row r="87" spans="2:7" ht="12" customHeight="1">
      <c r="B87" s="57" t="s">
        <v>81</v>
      </c>
      <c r="C87" s="62"/>
      <c r="D87" s="62"/>
      <c r="E87" s="77"/>
      <c r="F87" s="96"/>
      <c r="G87" s="107">
        <f>SUM(F89:F91)</f>
        <v>-1253.340736</v>
      </c>
    </row>
    <row r="88" spans="2:7" ht="12">
      <c r="B88" s="76"/>
      <c r="E88" s="65"/>
      <c r="F88" s="95"/>
      <c r="G88" s="113"/>
    </row>
    <row r="89" spans="2:7" ht="12">
      <c r="B89" s="54"/>
      <c r="C89" s="44" t="s">
        <v>78</v>
      </c>
      <c r="D89" s="44"/>
      <c r="E89" s="65"/>
      <c r="F89" s="93">
        <v>0</v>
      </c>
      <c r="G89" s="113"/>
    </row>
    <row r="90" spans="2:7" ht="12">
      <c r="B90" s="76"/>
      <c r="C90" s="44" t="s">
        <v>79</v>
      </c>
      <c r="E90" s="65"/>
      <c r="F90" s="95">
        <f>-27786.39*6.24/100</f>
        <v>-1733.870736</v>
      </c>
      <c r="G90" s="113"/>
    </row>
    <row r="91" spans="2:7" ht="12">
      <c r="B91" s="76"/>
      <c r="C91" s="44" t="s">
        <v>80</v>
      </c>
      <c r="E91" s="65"/>
      <c r="F91" s="95">
        <f>366.01+114.52</f>
        <v>480.53</v>
      </c>
      <c r="G91" s="113"/>
    </row>
    <row r="92" spans="2:7" ht="12">
      <c r="B92" s="76"/>
      <c r="E92" s="65"/>
      <c r="F92" s="95"/>
      <c r="G92" s="113"/>
    </row>
    <row r="93" spans="2:7" ht="12">
      <c r="B93" s="57" t="s">
        <v>82</v>
      </c>
      <c r="C93" s="62"/>
      <c r="D93" s="62"/>
      <c r="E93" s="77"/>
      <c r="F93" s="96">
        <v>0</v>
      </c>
      <c r="G93" s="107">
        <v>0</v>
      </c>
    </row>
    <row r="94" spans="2:7" ht="12">
      <c r="B94" s="76"/>
      <c r="E94" s="65"/>
      <c r="F94" s="95"/>
      <c r="G94" s="113"/>
    </row>
    <row r="95" spans="2:7" ht="12">
      <c r="B95" s="57" t="s">
        <v>77</v>
      </c>
      <c r="C95" s="62"/>
      <c r="D95" s="62"/>
      <c r="E95" s="77"/>
      <c r="F95" s="96"/>
      <c r="G95" s="107">
        <f>SUM(F97:F98)</f>
        <v>990.9278720000001</v>
      </c>
    </row>
    <row r="96" spans="2:7" ht="12">
      <c r="B96" s="76"/>
      <c r="E96" s="65"/>
      <c r="F96" s="95"/>
      <c r="G96" s="113"/>
    </row>
    <row r="97" spans="2:7" ht="12">
      <c r="B97" s="76"/>
      <c r="C97" s="44" t="s">
        <v>83</v>
      </c>
      <c r="E97" s="65"/>
      <c r="F97" s="95">
        <v>0</v>
      </c>
      <c r="G97" s="113"/>
    </row>
    <row r="98" spans="2:7" ht="12">
      <c r="B98" s="76"/>
      <c r="C98" s="44" t="s">
        <v>84</v>
      </c>
      <c r="E98" s="65"/>
      <c r="F98" s="95">
        <f>5.63+(15790.03*6.24/100)</f>
        <v>990.9278720000001</v>
      </c>
      <c r="G98" s="113"/>
    </row>
    <row r="99" spans="2:7" ht="12">
      <c r="B99" s="76"/>
      <c r="E99" s="65"/>
      <c r="F99" s="95"/>
      <c r="G99" s="113"/>
    </row>
    <row r="100" spans="2:7" ht="12">
      <c r="B100" s="79" t="s">
        <v>85</v>
      </c>
      <c r="C100" s="63"/>
      <c r="D100" s="63"/>
      <c r="E100" s="77"/>
      <c r="F100" s="95">
        <f>109997.32*6.24/100</f>
        <v>6863.832768000001</v>
      </c>
      <c r="G100" s="107">
        <f>F100</f>
        <v>6863.832768000001</v>
      </c>
    </row>
    <row r="101" spans="2:7" ht="12">
      <c r="B101" s="76"/>
      <c r="E101" s="65"/>
      <c r="F101" s="95"/>
      <c r="G101" s="113"/>
    </row>
    <row r="102" spans="2:7" ht="12.75">
      <c r="B102" s="57"/>
      <c r="E102" s="80" t="s">
        <v>86</v>
      </c>
      <c r="F102" s="95"/>
      <c r="G102" s="108">
        <f>G84-G87-G93-G95-G100</f>
        <v>127059.53832000018</v>
      </c>
    </row>
    <row r="103" spans="2:7" ht="12">
      <c r="B103" s="81"/>
      <c r="C103" s="82"/>
      <c r="D103" s="82"/>
      <c r="E103" s="83"/>
      <c r="F103" s="114"/>
      <c r="G103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5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79">
      <selection activeCell="F56" sqref="F56"/>
    </sheetView>
  </sheetViews>
  <sheetFormatPr defaultColWidth="9.00390625" defaultRowHeight="12"/>
  <cols>
    <col min="1" max="1" width="6.00390625" style="45" customWidth="1"/>
    <col min="2" max="2" width="2.75390625" style="45" customWidth="1"/>
    <col min="3" max="3" width="2.00390625" style="45" customWidth="1"/>
    <col min="4" max="4" width="2.25390625" style="45" customWidth="1"/>
    <col min="5" max="5" width="35.875" style="45" customWidth="1"/>
    <col min="6" max="6" width="16.375" style="86" customWidth="1"/>
    <col min="7" max="7" width="18.375" style="87" customWidth="1"/>
    <col min="8" max="8" width="2.875" style="26" customWidth="1"/>
    <col min="9" max="251" width="11.875" style="26" customWidth="1"/>
    <col min="252" max="16384" width="10.875" style="26" customWidth="1"/>
  </cols>
  <sheetData>
    <row r="1" spans="1:7" ht="13.5" customHeight="1">
      <c r="A1" s="22"/>
      <c r="B1" s="23"/>
      <c r="C1" s="23"/>
      <c r="D1" s="23"/>
      <c r="E1" s="23"/>
      <c r="F1" s="24"/>
      <c r="G1" s="25"/>
    </row>
    <row r="2" spans="1:7" ht="13.5" customHeight="1" thickBot="1">
      <c r="A2" s="22"/>
      <c r="B2" s="22"/>
      <c r="C2" s="22"/>
      <c r="D2" s="22"/>
      <c r="E2" s="22"/>
      <c r="F2" s="27"/>
      <c r="G2" s="28"/>
    </row>
    <row r="3" spans="1:7" ht="13.5" customHeight="1">
      <c r="A3" s="22"/>
      <c r="B3" s="29"/>
      <c r="C3" s="30"/>
      <c r="D3" s="30"/>
      <c r="E3" s="30"/>
      <c r="F3" s="31"/>
      <c r="G3" s="32"/>
    </row>
    <row r="4" spans="1:7" s="37" customFormat="1" ht="13.5" customHeight="1">
      <c r="A4" s="33"/>
      <c r="B4" s="34"/>
      <c r="C4" s="33"/>
      <c r="D4" s="33"/>
      <c r="E4" s="33"/>
      <c r="F4" s="35"/>
      <c r="G4" s="36"/>
    </row>
    <row r="5" spans="1:7" s="37" customFormat="1" ht="13.5" customHeight="1">
      <c r="A5" s="33"/>
      <c r="B5" s="34"/>
      <c r="C5" s="33"/>
      <c r="D5" s="33"/>
      <c r="E5" s="33"/>
      <c r="F5" s="35"/>
      <c r="G5" s="36"/>
    </row>
    <row r="6" spans="1:7" s="37" customFormat="1" ht="23.25">
      <c r="A6" s="33"/>
      <c r="B6" s="122" t="s">
        <v>103</v>
      </c>
      <c r="C6" s="123"/>
      <c r="D6" s="123"/>
      <c r="E6" s="123"/>
      <c r="F6" s="123"/>
      <c r="G6" s="124"/>
    </row>
    <row r="7" spans="1:7" s="37" customFormat="1" ht="13.5" customHeight="1">
      <c r="A7" s="33"/>
      <c r="B7" s="34"/>
      <c r="C7" s="33"/>
      <c r="D7" s="33"/>
      <c r="E7" s="33"/>
      <c r="F7" s="35"/>
      <c r="G7" s="36"/>
    </row>
    <row r="8" spans="1:7" ht="13.5" customHeight="1">
      <c r="A8" s="22"/>
      <c r="B8" s="38"/>
      <c r="C8" s="22"/>
      <c r="D8" s="22"/>
      <c r="E8" s="22"/>
      <c r="F8" s="27"/>
      <c r="G8" s="39"/>
    </row>
    <row r="9" spans="1:7" ht="13.5" customHeight="1" thickBot="1">
      <c r="A9" s="22"/>
      <c r="B9" s="40"/>
      <c r="C9" s="41"/>
      <c r="D9" s="41"/>
      <c r="E9" s="41"/>
      <c r="F9" s="42"/>
      <c r="G9" s="43"/>
    </row>
    <row r="10" spans="1:7" ht="13.5" customHeight="1">
      <c r="A10" s="22"/>
      <c r="B10" s="22"/>
      <c r="C10" s="22"/>
      <c r="D10" s="22"/>
      <c r="E10" s="22"/>
      <c r="F10" s="27"/>
      <c r="G10" s="28"/>
    </row>
    <row r="11" spans="1:7" ht="15.75" customHeight="1">
      <c r="A11" s="22"/>
      <c r="B11" s="125" t="s">
        <v>160</v>
      </c>
      <c r="C11" s="126"/>
      <c r="D11" s="126"/>
      <c r="E11" s="126"/>
      <c r="F11" s="126"/>
      <c r="G11" s="126"/>
    </row>
    <row r="12" spans="1:7" ht="12.75" customHeight="1">
      <c r="A12" s="44"/>
      <c r="B12" s="44"/>
      <c r="C12" s="44"/>
      <c r="D12" s="44"/>
      <c r="F12" s="46"/>
      <c r="G12" s="47"/>
    </row>
    <row r="13" spans="1:7" ht="12.75" customHeight="1">
      <c r="A13" s="44"/>
      <c r="B13" s="125" t="s">
        <v>1</v>
      </c>
      <c r="C13" s="123"/>
      <c r="D13" s="123"/>
      <c r="E13" s="123"/>
      <c r="F13" s="123"/>
      <c r="G13" s="123"/>
    </row>
    <row r="14" spans="1:7" ht="12.75" customHeight="1">
      <c r="A14" s="44"/>
      <c r="B14" s="44"/>
      <c r="C14" s="44"/>
      <c r="D14" s="44"/>
      <c r="E14" s="48"/>
      <c r="F14" s="46"/>
      <c r="G14" s="47"/>
    </row>
    <row r="15" spans="1:7" ht="12.75" customHeight="1">
      <c r="A15" s="44"/>
      <c r="B15" s="44"/>
      <c r="C15" s="44"/>
      <c r="D15" s="44"/>
      <c r="F15" s="46"/>
      <c r="G15" s="47"/>
    </row>
    <row r="16" spans="1:7" ht="12.75" customHeight="1">
      <c r="A16" s="44"/>
      <c r="B16" s="44"/>
      <c r="C16" s="44"/>
      <c r="D16" s="44"/>
      <c r="F16" s="127">
        <v>2002</v>
      </c>
      <c r="G16" s="128"/>
    </row>
    <row r="17" spans="1:7" ht="12.75" customHeight="1">
      <c r="A17" s="44"/>
      <c r="B17" s="49"/>
      <c r="C17" s="50"/>
      <c r="D17" s="50"/>
      <c r="E17" s="51" t="s">
        <v>2</v>
      </c>
      <c r="F17" s="52" t="s">
        <v>3</v>
      </c>
      <c r="G17" s="53" t="s">
        <v>4</v>
      </c>
    </row>
    <row r="18" spans="1:7" ht="12.75" customHeight="1">
      <c r="A18" s="44"/>
      <c r="B18" s="54"/>
      <c r="C18" s="44"/>
      <c r="D18" s="44"/>
      <c r="E18" s="45" t="s">
        <v>0</v>
      </c>
      <c r="F18" s="55"/>
      <c r="G18" s="56"/>
    </row>
    <row r="19" spans="1:7" ht="12.75" customHeight="1">
      <c r="A19" s="44"/>
      <c r="B19" s="57" t="s">
        <v>5</v>
      </c>
      <c r="C19" s="44"/>
      <c r="D19" s="44"/>
      <c r="F19" s="109"/>
      <c r="G19" s="104">
        <f>F20+F24+F25+F26+F28</f>
        <v>1718161.5382599998</v>
      </c>
    </row>
    <row r="20" spans="1:7" ht="12.75" customHeight="1">
      <c r="A20" s="44"/>
      <c r="B20" s="54"/>
      <c r="C20" s="44" t="s">
        <v>6</v>
      </c>
      <c r="D20" s="44" t="s">
        <v>7</v>
      </c>
      <c r="F20" s="93">
        <f>SUM(F21:F22)</f>
        <v>1689792.6099999999</v>
      </c>
      <c r="G20" s="110"/>
    </row>
    <row r="21" spans="1:7" ht="12.75" customHeight="1">
      <c r="A21" s="44"/>
      <c r="B21" s="54"/>
      <c r="C21" s="44"/>
      <c r="D21" s="44" t="s">
        <v>30</v>
      </c>
      <c r="E21" s="45" t="s">
        <v>113</v>
      </c>
      <c r="F21" s="94">
        <v>1676157.38</v>
      </c>
      <c r="G21" s="110"/>
    </row>
    <row r="22" spans="1:7" ht="12.75" customHeight="1">
      <c r="A22" s="44"/>
      <c r="B22" s="54"/>
      <c r="C22" s="44"/>
      <c r="D22" s="44" t="s">
        <v>30</v>
      </c>
      <c r="E22" s="45" t="s">
        <v>114</v>
      </c>
      <c r="F22" s="94">
        <v>13635.23</v>
      </c>
      <c r="G22" s="110"/>
    </row>
    <row r="23" spans="1:7" ht="12.75" customHeight="1">
      <c r="A23" s="44"/>
      <c r="B23" s="54"/>
      <c r="C23" s="44" t="s">
        <v>8</v>
      </c>
      <c r="D23" s="44" t="s">
        <v>9</v>
      </c>
      <c r="F23" s="95"/>
      <c r="G23" s="110"/>
    </row>
    <row r="24" spans="1:7" ht="12.75" customHeight="1">
      <c r="A24" s="44"/>
      <c r="B24" s="54"/>
      <c r="C24" s="44"/>
      <c r="D24" s="44" t="s">
        <v>10</v>
      </c>
      <c r="F24" s="95">
        <v>0</v>
      </c>
      <c r="G24" s="110"/>
    </row>
    <row r="25" spans="1:7" ht="12.75" customHeight="1">
      <c r="A25" s="44"/>
      <c r="B25" s="54"/>
      <c r="C25" s="44" t="s">
        <v>11</v>
      </c>
      <c r="D25" s="44" t="s">
        <v>12</v>
      </c>
      <c r="F25" s="95">
        <v>0</v>
      </c>
      <c r="G25" s="110"/>
    </row>
    <row r="26" spans="1:7" ht="12.75" customHeight="1">
      <c r="A26" s="44"/>
      <c r="B26" s="54"/>
      <c r="C26" s="44" t="s">
        <v>13</v>
      </c>
      <c r="D26" s="44"/>
      <c r="F26" s="95">
        <v>0</v>
      </c>
      <c r="G26" s="110"/>
    </row>
    <row r="27" spans="1:7" ht="12.75" customHeight="1">
      <c r="A27" s="44"/>
      <c r="B27" s="54"/>
      <c r="C27" s="44" t="s">
        <v>14</v>
      </c>
      <c r="D27" s="44"/>
      <c r="F27" s="95" t="s">
        <v>0</v>
      </c>
      <c r="G27" s="111"/>
    </row>
    <row r="28" spans="1:7" ht="12.75" customHeight="1">
      <c r="A28" s="44"/>
      <c r="B28" s="54"/>
      <c r="C28" s="44"/>
      <c r="D28" s="44" t="s">
        <v>15</v>
      </c>
      <c r="F28" s="93">
        <f>SUM(F29:F32)</f>
        <v>28368.92826</v>
      </c>
      <c r="G28" s="111"/>
    </row>
    <row r="29" spans="1:7" ht="12.75" customHeight="1">
      <c r="A29" s="44"/>
      <c r="B29" s="54"/>
      <c r="C29" s="44"/>
      <c r="D29" s="44" t="s">
        <v>30</v>
      </c>
      <c r="E29" s="45" t="s">
        <v>196</v>
      </c>
      <c r="F29" s="118">
        <v>25680</v>
      </c>
      <c r="G29" s="111"/>
    </row>
    <row r="30" spans="1:7" ht="12.75" customHeight="1">
      <c r="A30" s="44"/>
      <c r="B30" s="54"/>
      <c r="C30" s="44"/>
      <c r="D30" s="60" t="s">
        <v>30</v>
      </c>
      <c r="E30" s="45" t="s">
        <v>118</v>
      </c>
      <c r="F30" s="94">
        <v>1057.37</v>
      </c>
      <c r="G30" s="112"/>
    </row>
    <row r="31" spans="1:7" ht="12.75" customHeight="1">
      <c r="A31" s="44"/>
      <c r="B31" s="54"/>
      <c r="C31" s="44"/>
      <c r="D31" s="44" t="s">
        <v>30</v>
      </c>
      <c r="E31" s="44" t="s">
        <v>193</v>
      </c>
      <c r="F31" s="95">
        <v>2.95</v>
      </c>
      <c r="G31" s="111"/>
    </row>
    <row r="32" spans="1:7" ht="12.75" customHeight="1">
      <c r="A32" s="44"/>
      <c r="B32" s="54"/>
      <c r="C32" s="44"/>
      <c r="D32" s="44" t="s">
        <v>30</v>
      </c>
      <c r="E32" s="44" t="s">
        <v>218</v>
      </c>
      <c r="F32" s="95">
        <f>18806.1*8.66/100</f>
        <v>1628.60826</v>
      </c>
      <c r="G32" s="111"/>
    </row>
    <row r="33" spans="1:7" ht="12.75" customHeight="1">
      <c r="A33" s="44"/>
      <c r="B33" s="54"/>
      <c r="C33" s="44"/>
      <c r="D33" s="44"/>
      <c r="E33" s="44"/>
      <c r="F33" s="95"/>
      <c r="G33" s="111"/>
    </row>
    <row r="34" spans="1:7" s="64" customFormat="1" ht="12.75" customHeight="1">
      <c r="A34" s="62"/>
      <c r="B34" s="57" t="s">
        <v>16</v>
      </c>
      <c r="C34" s="62"/>
      <c r="D34" s="62"/>
      <c r="E34" s="63"/>
      <c r="F34" s="96"/>
      <c r="G34" s="105">
        <f>-(F36+F42+F56+F61+F67+F74+F75+F76+F77)</f>
        <v>-1422125.827744</v>
      </c>
    </row>
    <row r="35" spans="1:7" ht="12.75" customHeight="1">
      <c r="A35" s="44"/>
      <c r="B35" s="54"/>
      <c r="C35" s="44" t="s">
        <v>17</v>
      </c>
      <c r="D35" s="44"/>
      <c r="F35" s="95" t="s">
        <v>0</v>
      </c>
      <c r="G35" s="111"/>
    </row>
    <row r="36" spans="1:7" ht="12.75" customHeight="1">
      <c r="A36" s="44"/>
      <c r="B36" s="54"/>
      <c r="D36" s="44" t="s">
        <v>18</v>
      </c>
      <c r="E36" s="65"/>
      <c r="F36" s="97">
        <f>SUM(F37:F41)</f>
        <v>1173749.296356</v>
      </c>
      <c r="G36" s="111"/>
    </row>
    <row r="37" spans="1:7" ht="12.75" customHeight="1">
      <c r="A37" s="44"/>
      <c r="B37" s="54"/>
      <c r="D37" s="44"/>
      <c r="E37" s="65" t="s">
        <v>44</v>
      </c>
      <c r="F37" s="98">
        <v>1171623.42</v>
      </c>
      <c r="G37" s="111"/>
    </row>
    <row r="38" spans="1:7" ht="12.75" customHeight="1">
      <c r="A38" s="44"/>
      <c r="B38" s="54"/>
      <c r="D38" s="44"/>
      <c r="E38" s="65" t="s">
        <v>89</v>
      </c>
      <c r="F38" s="98">
        <v>648.8</v>
      </c>
      <c r="G38" s="111"/>
    </row>
    <row r="39" spans="1:7" ht="12.75" customHeight="1">
      <c r="A39" s="44"/>
      <c r="B39" s="54"/>
      <c r="D39" s="44"/>
      <c r="E39" s="66" t="s">
        <v>45</v>
      </c>
      <c r="F39" s="98">
        <v>207</v>
      </c>
      <c r="G39" s="111"/>
    </row>
    <row r="40" spans="1:7" ht="12.75" customHeight="1">
      <c r="A40" s="44"/>
      <c r="B40" s="54"/>
      <c r="D40" s="44"/>
      <c r="E40" s="65" t="s">
        <v>116</v>
      </c>
      <c r="F40" s="98">
        <v>377</v>
      </c>
      <c r="G40" s="111"/>
    </row>
    <row r="41" spans="1:7" ht="12.75" customHeight="1">
      <c r="A41" s="44"/>
      <c r="B41" s="54"/>
      <c r="D41" s="44"/>
      <c r="E41" s="65" t="s">
        <v>219</v>
      </c>
      <c r="F41" s="99">
        <f>10312.66*8.66/100</f>
        <v>893.0763559999999</v>
      </c>
      <c r="G41" s="111"/>
    </row>
    <row r="42" spans="1:7" ht="12.75" customHeight="1">
      <c r="A42" s="44"/>
      <c r="B42" s="54"/>
      <c r="C42" s="44" t="s">
        <v>19</v>
      </c>
      <c r="D42" s="44"/>
      <c r="E42" s="65"/>
      <c r="F42" s="97">
        <f>SUM(F43:F55)</f>
        <v>53235.508526000005</v>
      </c>
      <c r="G42" s="111"/>
    </row>
    <row r="43" spans="1:7" ht="12.75" customHeight="1">
      <c r="A43" s="44"/>
      <c r="B43" s="54"/>
      <c r="C43" s="44"/>
      <c r="D43" s="44"/>
      <c r="E43" s="66" t="s">
        <v>47</v>
      </c>
      <c r="F43" s="98">
        <v>1248.06</v>
      </c>
      <c r="G43" s="111"/>
    </row>
    <row r="44" spans="1:7" ht="12.75" customHeight="1">
      <c r="A44" s="44"/>
      <c r="B44" s="54"/>
      <c r="C44" s="44"/>
      <c r="D44" s="44"/>
      <c r="E44" s="66" t="s">
        <v>46</v>
      </c>
      <c r="F44" s="98">
        <v>62.73</v>
      </c>
      <c r="G44" s="111"/>
    </row>
    <row r="45" spans="1:7" ht="12.75" customHeight="1">
      <c r="A45" s="44"/>
      <c r="B45" s="54"/>
      <c r="C45" s="44"/>
      <c r="D45" s="44"/>
      <c r="E45" s="66" t="s">
        <v>53</v>
      </c>
      <c r="F45" s="98">
        <v>362.55</v>
      </c>
      <c r="G45" s="111"/>
    </row>
    <row r="46" spans="1:7" ht="12.75" customHeight="1">
      <c r="A46" s="44"/>
      <c r="B46" s="54"/>
      <c r="C46" s="44"/>
      <c r="D46" s="44"/>
      <c r="E46" s="66" t="s">
        <v>129</v>
      </c>
      <c r="F46" s="98">
        <v>669.21</v>
      </c>
      <c r="G46" s="111"/>
    </row>
    <row r="47" spans="1:7" ht="12.75" customHeight="1">
      <c r="A47" s="44"/>
      <c r="B47" s="54"/>
      <c r="C47" s="44"/>
      <c r="D47" s="44"/>
      <c r="E47" s="66" t="s">
        <v>224</v>
      </c>
      <c r="F47" s="98">
        <v>450.23</v>
      </c>
      <c r="G47" s="111"/>
    </row>
    <row r="48" spans="1:7" ht="12.75" customHeight="1">
      <c r="A48" s="44"/>
      <c r="B48" s="54"/>
      <c r="C48" s="44"/>
      <c r="D48" s="44"/>
      <c r="E48" s="66" t="s">
        <v>75</v>
      </c>
      <c r="F48" s="98">
        <v>725.11</v>
      </c>
      <c r="G48" s="111"/>
    </row>
    <row r="49" spans="1:7" ht="12.75" customHeight="1">
      <c r="A49" s="44"/>
      <c r="B49" s="54"/>
      <c r="C49" s="44"/>
      <c r="D49" s="44"/>
      <c r="E49" s="66" t="s">
        <v>149</v>
      </c>
      <c r="F49" s="98">
        <v>371.76</v>
      </c>
      <c r="G49" s="111"/>
    </row>
    <row r="50" spans="1:7" ht="12.75" customHeight="1">
      <c r="A50" s="44"/>
      <c r="B50" s="54"/>
      <c r="C50" s="44"/>
      <c r="D50" s="44"/>
      <c r="E50" s="66" t="s">
        <v>49</v>
      </c>
      <c r="F50" s="98">
        <v>240.35</v>
      </c>
      <c r="G50" s="111"/>
    </row>
    <row r="51" spans="1:7" ht="12.75" customHeight="1">
      <c r="A51" s="44"/>
      <c r="B51" s="54"/>
      <c r="C51" s="44"/>
      <c r="D51" s="44"/>
      <c r="E51" s="66" t="s">
        <v>147</v>
      </c>
      <c r="F51" s="98">
        <v>4370.95</v>
      </c>
      <c r="G51" s="111"/>
    </row>
    <row r="52" spans="1:7" ht="12.75" customHeight="1">
      <c r="A52" s="44"/>
      <c r="B52" s="54"/>
      <c r="C52" s="44"/>
      <c r="D52" s="44"/>
      <c r="E52" s="66" t="s">
        <v>152</v>
      </c>
      <c r="F52" s="98">
        <v>10175.67</v>
      </c>
      <c r="G52" s="111"/>
    </row>
    <row r="53" spans="1:7" ht="12.75" customHeight="1">
      <c r="A53" s="44"/>
      <c r="B53" s="54"/>
      <c r="C53" s="44"/>
      <c r="D53" s="44"/>
      <c r="E53" s="66" t="s">
        <v>197</v>
      </c>
      <c r="F53" s="98">
        <v>5182.79</v>
      </c>
      <c r="G53" s="111"/>
    </row>
    <row r="54" spans="1:7" ht="12.75" customHeight="1">
      <c r="A54" s="44"/>
      <c r="B54" s="54"/>
      <c r="C54" s="44"/>
      <c r="D54" s="44"/>
      <c r="E54" s="66" t="s">
        <v>198</v>
      </c>
      <c r="F54" s="98">
        <v>483.66</v>
      </c>
      <c r="G54" s="111"/>
    </row>
    <row r="55" spans="1:7" ht="12.75" customHeight="1">
      <c r="A55" s="44"/>
      <c r="B55" s="54"/>
      <c r="C55" s="44"/>
      <c r="D55" s="44"/>
      <c r="E55" s="66" t="s">
        <v>220</v>
      </c>
      <c r="F55" s="98">
        <f>340665.11*8.66/100-158.93-450.23</f>
        <v>28892.438525999998</v>
      </c>
      <c r="G55" s="111"/>
    </row>
    <row r="56" spans="1:7" ht="12.75" customHeight="1">
      <c r="A56" s="44"/>
      <c r="B56" s="54"/>
      <c r="C56" s="44" t="s">
        <v>20</v>
      </c>
      <c r="D56" s="44"/>
      <c r="E56" s="65"/>
      <c r="F56" s="93">
        <f>SUM(F57:F60)</f>
        <v>24842.081918</v>
      </c>
      <c r="G56" s="111"/>
    </row>
    <row r="57" spans="1:7" ht="12.75" customHeight="1">
      <c r="A57" s="44"/>
      <c r="B57" s="54"/>
      <c r="C57" s="44"/>
      <c r="D57" s="44"/>
      <c r="E57" s="66" t="s">
        <v>117</v>
      </c>
      <c r="F57" s="98">
        <v>18817.36</v>
      </c>
      <c r="G57" s="111"/>
    </row>
    <row r="58" spans="1:7" ht="12.75" customHeight="1">
      <c r="A58" s="44"/>
      <c r="B58" s="54"/>
      <c r="C58" s="44"/>
      <c r="D58" s="44"/>
      <c r="E58" s="66" t="s">
        <v>119</v>
      </c>
      <c r="F58" s="116">
        <v>2699.23</v>
      </c>
      <c r="G58" s="111"/>
    </row>
    <row r="59" spans="1:7" ht="12.75" customHeight="1">
      <c r="A59" s="44"/>
      <c r="B59" s="54"/>
      <c r="C59" s="44"/>
      <c r="D59" s="44"/>
      <c r="E59" s="66" t="s">
        <v>131</v>
      </c>
      <c r="F59" s="116">
        <v>2856.1</v>
      </c>
      <c r="G59" s="111"/>
    </row>
    <row r="60" spans="1:7" ht="12.75" customHeight="1">
      <c r="A60" s="44"/>
      <c r="B60" s="54"/>
      <c r="C60" s="44"/>
      <c r="D60" s="44"/>
      <c r="E60" s="66" t="s">
        <v>219</v>
      </c>
      <c r="F60" s="116">
        <f>5420.23*8.66/100</f>
        <v>469.39191800000003</v>
      </c>
      <c r="G60" s="111"/>
    </row>
    <row r="61" spans="1:7" ht="12.75" customHeight="1">
      <c r="A61" s="44"/>
      <c r="B61" s="54"/>
      <c r="C61" s="44" t="s">
        <v>21</v>
      </c>
      <c r="D61" s="44"/>
      <c r="E61" s="65"/>
      <c r="F61" s="97">
        <f>SUM(F62:F66)</f>
        <v>176347.792358</v>
      </c>
      <c r="G61" s="111"/>
    </row>
    <row r="62" spans="1:7" ht="12.75" customHeight="1">
      <c r="A62" s="44"/>
      <c r="B62" s="54"/>
      <c r="D62" s="67" t="s">
        <v>22</v>
      </c>
      <c r="E62" s="68"/>
      <c r="F62" s="98">
        <f>(105514.82+801.96+6168.53)+(252968.7*8.66/100)-24</f>
        <v>134368.39942000003</v>
      </c>
      <c r="G62" s="111"/>
    </row>
    <row r="63" spans="1:7" ht="12.75" customHeight="1">
      <c r="A63" s="44"/>
      <c r="B63" s="54"/>
      <c r="D63" s="67" t="s">
        <v>23</v>
      </c>
      <c r="E63" s="68"/>
      <c r="F63" s="98">
        <f>(25086.96+2725.17+198.97+1530.41)+(44020.19*8.66/100)</f>
        <v>33353.658454</v>
      </c>
      <c r="G63" s="111"/>
    </row>
    <row r="64" spans="1:7" ht="12.75" customHeight="1">
      <c r="A64" s="44"/>
      <c r="B64" s="54"/>
      <c r="D64" s="67" t="s">
        <v>24</v>
      </c>
      <c r="E64" s="68"/>
      <c r="F64" s="98">
        <f>6881.2+(20144.74*8.66/100)</f>
        <v>8625.734484</v>
      </c>
      <c r="G64" s="111"/>
    </row>
    <row r="65" spans="1:7" ht="12.75" customHeight="1">
      <c r="A65" s="44"/>
      <c r="B65" s="54"/>
      <c r="D65" s="67" t="s">
        <v>25</v>
      </c>
      <c r="E65" s="68"/>
      <c r="F65" s="98">
        <v>0</v>
      </c>
      <c r="G65" s="111"/>
    </row>
    <row r="66" spans="1:7" ht="12.75" customHeight="1">
      <c r="A66" s="44"/>
      <c r="B66" s="54"/>
      <c r="D66" s="67" t="s">
        <v>137</v>
      </c>
      <c r="E66" s="68"/>
      <c r="F66" s="98">
        <v>0</v>
      </c>
      <c r="G66" s="111"/>
    </row>
    <row r="67" spans="1:7" ht="12.75" customHeight="1">
      <c r="A67" s="44"/>
      <c r="B67" s="54"/>
      <c r="C67" s="44" t="s">
        <v>27</v>
      </c>
      <c r="D67" s="44"/>
      <c r="E67" s="65"/>
      <c r="F67" s="97">
        <f>SUM(F68:F72)</f>
        <v>1683.159874</v>
      </c>
      <c r="G67" s="111"/>
    </row>
    <row r="68" spans="1:7" ht="12.75" customHeight="1">
      <c r="A68" s="44"/>
      <c r="B68" s="54"/>
      <c r="C68" s="44"/>
      <c r="D68" s="67" t="s">
        <v>28</v>
      </c>
      <c r="E68" s="68"/>
      <c r="F68" s="98">
        <f>2090.44*8.66/100</f>
        <v>181.032104</v>
      </c>
      <c r="G68" s="111"/>
    </row>
    <row r="69" spans="1:7" ht="12.75" customHeight="1">
      <c r="A69" s="44"/>
      <c r="B69" s="54"/>
      <c r="D69" s="67" t="s">
        <v>29</v>
      </c>
      <c r="E69" s="69"/>
      <c r="F69" s="98">
        <f>1387.95+(512.4*8.66/100)</f>
        <v>1432.32384</v>
      </c>
      <c r="G69" s="111"/>
    </row>
    <row r="70" spans="1:7" ht="12.75" customHeight="1">
      <c r="A70" s="44"/>
      <c r="B70" s="54"/>
      <c r="D70" s="67" t="s">
        <v>31</v>
      </c>
      <c r="E70" s="68"/>
      <c r="F70" s="98"/>
      <c r="G70" s="111"/>
    </row>
    <row r="71" spans="1:7" ht="12.75" customHeight="1">
      <c r="A71" s="44"/>
      <c r="B71" s="54"/>
      <c r="D71" s="67" t="s">
        <v>32</v>
      </c>
      <c r="E71" s="68"/>
      <c r="F71" s="98"/>
      <c r="G71" s="111"/>
    </row>
    <row r="72" spans="1:7" ht="12.75" customHeight="1">
      <c r="A72" s="44"/>
      <c r="B72" s="54"/>
      <c r="D72" s="67"/>
      <c r="E72" s="69" t="s">
        <v>33</v>
      </c>
      <c r="F72" s="98">
        <f>806.05*8.66/100</f>
        <v>69.80393</v>
      </c>
      <c r="G72" s="111"/>
    </row>
    <row r="73" spans="1:7" ht="12.75" customHeight="1">
      <c r="A73" s="44"/>
      <c r="B73" s="54"/>
      <c r="C73" s="44" t="s">
        <v>34</v>
      </c>
      <c r="D73" s="44"/>
      <c r="E73" s="65"/>
      <c r="F73" s="95"/>
      <c r="G73" s="111"/>
    </row>
    <row r="74" spans="1:7" ht="12.75" customHeight="1">
      <c r="A74" s="44"/>
      <c r="B74" s="54"/>
      <c r="D74" s="44"/>
      <c r="E74" s="70" t="s">
        <v>35</v>
      </c>
      <c r="F74" s="95">
        <f>-198983.92+189707.34</f>
        <v>-9276.580000000016</v>
      </c>
      <c r="G74" s="111"/>
    </row>
    <row r="75" spans="1:7" ht="12.75" customHeight="1">
      <c r="A75" s="44"/>
      <c r="B75" s="54"/>
      <c r="C75" s="44" t="s">
        <v>36</v>
      </c>
      <c r="D75" s="44"/>
      <c r="E75" s="65"/>
      <c r="F75" s="95">
        <v>0</v>
      </c>
      <c r="G75" s="111"/>
    </row>
    <row r="76" spans="1:7" ht="12.75" customHeight="1">
      <c r="A76" s="44"/>
      <c r="B76" s="54"/>
      <c r="C76" s="44" t="s">
        <v>37</v>
      </c>
      <c r="D76" s="44"/>
      <c r="E76" s="65"/>
      <c r="F76" s="95">
        <v>0</v>
      </c>
      <c r="G76" s="111"/>
    </row>
    <row r="77" spans="1:7" ht="12.75" customHeight="1">
      <c r="A77" s="44"/>
      <c r="B77" s="54"/>
      <c r="C77" s="44" t="s">
        <v>38</v>
      </c>
      <c r="D77" s="44"/>
      <c r="E77" s="65"/>
      <c r="F77" s="95">
        <f>SUM(F78:F83)</f>
        <v>1544.568712</v>
      </c>
      <c r="G77" s="111"/>
    </row>
    <row r="78" spans="1:7" ht="12.75" customHeight="1">
      <c r="A78" s="44"/>
      <c r="B78" s="54"/>
      <c r="C78" s="44"/>
      <c r="D78" s="44"/>
      <c r="E78" s="65" t="s">
        <v>132</v>
      </c>
      <c r="F78" s="103">
        <v>1.29</v>
      </c>
      <c r="G78" s="111"/>
    </row>
    <row r="79" spans="1:7" ht="13.5" customHeight="1">
      <c r="A79" s="44"/>
      <c r="B79" s="54"/>
      <c r="C79" s="44"/>
      <c r="D79" s="44" t="s">
        <v>0</v>
      </c>
      <c r="E79" s="66" t="s">
        <v>153</v>
      </c>
      <c r="F79" s="98">
        <v>558.29</v>
      </c>
      <c r="G79" s="111"/>
    </row>
    <row r="80" spans="1:7" ht="12.75" customHeight="1">
      <c r="A80" s="44"/>
      <c r="B80" s="54"/>
      <c r="C80" s="44"/>
      <c r="D80" s="44"/>
      <c r="E80" s="71" t="s">
        <v>51</v>
      </c>
      <c r="F80" s="98">
        <v>388</v>
      </c>
      <c r="G80" s="111"/>
    </row>
    <row r="81" spans="1:7" ht="12.75" customHeight="1">
      <c r="A81" s="44"/>
      <c r="B81" s="54"/>
      <c r="C81" s="44"/>
      <c r="D81" s="44"/>
      <c r="E81" s="66" t="s">
        <v>63</v>
      </c>
      <c r="F81" s="98">
        <v>65</v>
      </c>
      <c r="G81" s="111"/>
    </row>
    <row r="82" spans="1:7" ht="12.75" customHeight="1">
      <c r="A82" s="44"/>
      <c r="B82" s="54"/>
      <c r="C82" s="44"/>
      <c r="D82" s="44"/>
      <c r="E82" s="66" t="s">
        <v>200</v>
      </c>
      <c r="F82" s="98">
        <v>30.98</v>
      </c>
      <c r="G82" s="111"/>
    </row>
    <row r="83" spans="1:7" ht="12.75" customHeight="1">
      <c r="A83" s="44"/>
      <c r="B83" s="54"/>
      <c r="C83" s="44"/>
      <c r="D83" s="44"/>
      <c r="E83" s="66" t="s">
        <v>220</v>
      </c>
      <c r="F83" s="102">
        <f>5785.32*8.66/100</f>
        <v>501.008712</v>
      </c>
      <c r="G83" s="111"/>
    </row>
    <row r="84" spans="1:7" ht="12.75" customHeight="1">
      <c r="A84" s="44"/>
      <c r="B84" s="54"/>
      <c r="C84" s="44"/>
      <c r="D84" s="44"/>
      <c r="E84" s="70"/>
      <c r="F84" s="95" t="s">
        <v>0</v>
      </c>
      <c r="G84" s="111"/>
    </row>
    <row r="85" spans="1:7" ht="12.75" customHeight="1">
      <c r="A85" s="72"/>
      <c r="B85" s="57" t="s">
        <v>39</v>
      </c>
      <c r="C85" s="73"/>
      <c r="D85" s="73"/>
      <c r="E85" s="66"/>
      <c r="F85" s="95" t="s">
        <v>0</v>
      </c>
      <c r="G85" s="106">
        <f>G19+G34</f>
        <v>296035.71051599993</v>
      </c>
    </row>
    <row r="86" spans="1:7" ht="12.75" customHeight="1">
      <c r="A86" s="44"/>
      <c r="B86" s="74" t="s">
        <v>40</v>
      </c>
      <c r="C86" s="44"/>
      <c r="D86" s="44"/>
      <c r="E86" s="70"/>
      <c r="F86" s="95" t="s">
        <v>0</v>
      </c>
      <c r="G86" s="113"/>
    </row>
    <row r="87" spans="2:7" ht="12" customHeight="1">
      <c r="B87" s="76"/>
      <c r="E87" s="65"/>
      <c r="F87" s="95" t="s">
        <v>0</v>
      </c>
      <c r="G87" s="113"/>
    </row>
    <row r="88" spans="2:7" ht="12" customHeight="1">
      <c r="B88" s="57" t="s">
        <v>81</v>
      </c>
      <c r="C88" s="62"/>
      <c r="D88" s="62"/>
      <c r="E88" s="77"/>
      <c r="F88" s="96"/>
      <c r="G88" s="107">
        <f>SUM(F90:F92)</f>
        <v>-1797.141374</v>
      </c>
    </row>
    <row r="89" spans="2:7" ht="12">
      <c r="B89" s="76"/>
      <c r="E89" s="65"/>
      <c r="F89" s="95"/>
      <c r="G89" s="113"/>
    </row>
    <row r="90" spans="2:7" ht="12">
      <c r="B90" s="54"/>
      <c r="C90" s="44" t="s">
        <v>78</v>
      </c>
      <c r="D90" s="44"/>
      <c r="E90" s="65"/>
      <c r="F90" s="93">
        <v>0</v>
      </c>
      <c r="G90" s="113"/>
    </row>
    <row r="91" spans="2:7" ht="12">
      <c r="B91" s="76"/>
      <c r="C91" s="44" t="s">
        <v>79</v>
      </c>
      <c r="E91" s="65"/>
      <c r="F91" s="95">
        <f>-27786.39*8.66/100</f>
        <v>-2406.301374</v>
      </c>
      <c r="G91" s="113"/>
    </row>
    <row r="92" spans="2:7" ht="12">
      <c r="B92" s="76"/>
      <c r="C92" s="44" t="s">
        <v>80</v>
      </c>
      <c r="E92" s="65"/>
      <c r="F92" s="95">
        <f>450.23+158.93</f>
        <v>609.1600000000001</v>
      </c>
      <c r="G92" s="113"/>
    </row>
    <row r="93" spans="2:7" ht="12">
      <c r="B93" s="76"/>
      <c r="E93" s="65"/>
      <c r="F93" s="95"/>
      <c r="G93" s="113"/>
    </row>
    <row r="94" spans="2:7" ht="12">
      <c r="B94" s="57" t="s">
        <v>82</v>
      </c>
      <c r="C94" s="62"/>
      <c r="D94" s="62"/>
      <c r="E94" s="77"/>
      <c r="F94" s="96">
        <v>0</v>
      </c>
      <c r="G94" s="107">
        <v>0</v>
      </c>
    </row>
    <row r="95" spans="2:7" ht="12">
      <c r="B95" s="76"/>
      <c r="E95" s="65"/>
      <c r="F95" s="95"/>
      <c r="G95" s="113"/>
    </row>
    <row r="96" spans="2:7" ht="12">
      <c r="B96" s="57" t="s">
        <v>77</v>
      </c>
      <c r="C96" s="62"/>
      <c r="D96" s="62"/>
      <c r="E96" s="77"/>
      <c r="F96" s="96"/>
      <c r="G96" s="107">
        <f>SUM(F98:F99)</f>
        <v>-1528.9534019999996</v>
      </c>
    </row>
    <row r="97" spans="2:7" ht="12">
      <c r="B97" s="76"/>
      <c r="E97" s="65"/>
      <c r="F97" s="95"/>
      <c r="G97" s="113"/>
    </row>
    <row r="98" spans="2:7" ht="12">
      <c r="B98" s="76"/>
      <c r="C98" s="44" t="s">
        <v>83</v>
      </c>
      <c r="E98" s="65"/>
      <c r="F98" s="95">
        <f>-4455.24-361.33</f>
        <v>-4816.57</v>
      </c>
      <c r="G98" s="113"/>
    </row>
    <row r="99" spans="2:7" ht="12">
      <c r="B99" s="76"/>
      <c r="C99" s="44" t="s">
        <v>84</v>
      </c>
      <c r="E99" s="65"/>
      <c r="F99" s="95">
        <f>1920.2+(15790.03*8.66/100)</f>
        <v>3287.616598</v>
      </c>
      <c r="G99" s="113"/>
    </row>
    <row r="100" spans="2:7" ht="12">
      <c r="B100" s="76"/>
      <c r="E100" s="65"/>
      <c r="F100" s="95"/>
      <c r="G100" s="113"/>
    </row>
    <row r="101" spans="2:7" ht="12">
      <c r="B101" s="79" t="s">
        <v>85</v>
      </c>
      <c r="C101" s="63"/>
      <c r="D101" s="63"/>
      <c r="E101" s="77"/>
      <c r="F101" s="95">
        <f>109997.32*8.66/100</f>
        <v>9525.767912000001</v>
      </c>
      <c r="G101" s="107">
        <f>F101</f>
        <v>9525.767912000001</v>
      </c>
    </row>
    <row r="102" spans="2:7" ht="12">
      <c r="B102" s="76"/>
      <c r="E102" s="65"/>
      <c r="F102" s="95"/>
      <c r="G102" s="113"/>
    </row>
    <row r="103" spans="2:7" ht="12.75">
      <c r="B103" s="57"/>
      <c r="E103" s="80" t="s">
        <v>86</v>
      </c>
      <c r="F103" s="95"/>
      <c r="G103" s="108">
        <f>G85-G88-G94-G96-G101</f>
        <v>289836.03737999994</v>
      </c>
    </row>
    <row r="104" spans="2:7" ht="12">
      <c r="B104" s="81"/>
      <c r="C104" s="82"/>
      <c r="D104" s="82"/>
      <c r="E104" s="83"/>
      <c r="F104" s="114"/>
      <c r="G104" s="115"/>
    </row>
  </sheetData>
  <mergeCells count="4">
    <mergeCell ref="B6:G6"/>
    <mergeCell ref="B11:G11"/>
    <mergeCell ref="B13:G13"/>
    <mergeCell ref="F16:G16"/>
  </mergeCells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Campedelli</cp:lastModifiedBy>
  <cp:lastPrinted>2003-05-19T15:55:55Z</cp:lastPrinted>
  <dcterms:created xsi:type="dcterms:W3CDTF">1997-08-28T16:58:31Z</dcterms:created>
  <dcterms:modified xsi:type="dcterms:W3CDTF">2003-05-23T14:25:39Z</dcterms:modified>
  <cp:category/>
  <cp:version/>
  <cp:contentType/>
  <cp:contentStatus/>
</cp:coreProperties>
</file>