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895" windowHeight="6600" tabRatio="737" firstSheet="7" activeTab="10"/>
  </bookViews>
  <sheets>
    <sheet name="RSA" sheetId="1" r:id="rId1"/>
    <sheet name="Ristorazione" sheetId="2" r:id="rId2"/>
    <sheet name="SAD" sheetId="3" r:id="rId3"/>
    <sheet name="CDI" sheetId="4" r:id="rId4"/>
    <sheet name="ALLOGGI JUVARA" sheetId="5" r:id="rId5"/>
    <sheet name="DORMITORIO" sheetId="6" r:id="rId6"/>
    <sheet name="Pensionato sociale" sheetId="7" r:id="rId7"/>
    <sheet name="DUE PINI" sheetId="8" r:id="rId8"/>
    <sheet name="GRAMSCI" sheetId="9" r:id="rId9"/>
    <sheet name="TRASPORTI" sheetId="10" r:id="rId10"/>
    <sheet name="CAG" sheetId="11" r:id="rId11"/>
    <sheet name="PG" sheetId="12" r:id="rId12"/>
    <sheet name="SND" sheetId="13" r:id="rId13"/>
    <sheet name="CPIH CAH" sheetId="14" r:id="rId14"/>
    <sheet name="FORM MARK" sheetId="15" r:id="rId15"/>
    <sheet name="Riepilogo" sheetId="16" r:id="rId16"/>
  </sheets>
  <definedNames>
    <definedName name="_xlnm.Print_Area" localSheetId="13">'CPIH CAH'!$A:$IV</definedName>
    <definedName name="_xlnm.Print_Area" localSheetId="11">'PG'!$A$1:$IQ$98</definedName>
    <definedName name="_xlnm.Print_Area" localSheetId="15">'Riepilogo'!#REF!</definedName>
    <definedName name="_xlnm.Print_Area" localSheetId="0">'RSA'!$A$1:$H$127</definedName>
    <definedName name="_xlnm.Print_Titles" localSheetId="15">'Riepilogo'!$13:$13</definedName>
  </definedNames>
  <calcPr fullCalcOnLoad="1"/>
</workbook>
</file>

<file path=xl/sharedStrings.xml><?xml version="1.0" encoding="utf-8"?>
<sst xmlns="http://schemas.openxmlformats.org/spreadsheetml/2006/main" count="1290" uniqueCount="205">
  <si>
    <t xml:space="preserve"> </t>
  </si>
  <si>
    <t>CONTO ECONOMICO</t>
  </si>
  <si>
    <t>DESCRIZIONE</t>
  </si>
  <si>
    <t>PARZIALI</t>
  </si>
  <si>
    <t>TOTALI</t>
  </si>
  <si>
    <t>A) Valore della produzione:</t>
  </si>
  <si>
    <t xml:space="preserve">1)  </t>
  </si>
  <si>
    <t>ricavi delle vendite e delle prestazioni;</t>
  </si>
  <si>
    <t>2)</t>
  </si>
  <si>
    <t>variazioni delle rimanenze di prodotti in</t>
  </si>
  <si>
    <t>corso di lavorazione, semilavorati e finiti;</t>
  </si>
  <si>
    <t>3)</t>
  </si>
  <si>
    <t>variazione dei lavori in corso su ordinazione;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</si>
  <si>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</si>
  <si>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</si>
  <si>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</si>
  <si>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</si>
  <si>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</si>
  <si>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</si>
  <si>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</si>
  <si>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</si>
  <si>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</si>
  <si>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</si>
  <si>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</si>
  <si>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</si>
  <si>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</si>
  <si>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e - altri costi;  contributi associativi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</si>
  <si>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</si>
  <si>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</si>
  <si>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</si>
  <si>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</si>
  <si>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</si>
  <si>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</si>
  <si>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</si>
  <si>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</si>
  <si>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</si>
  <si>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</si>
  <si>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</si>
  <si>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</si>
  <si>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</si>
  <si>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</si>
  <si>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R.S.A.</t>
  </si>
  <si>
    <t>S.A.D.</t>
  </si>
  <si>
    <t>contributi A.S.L.</t>
  </si>
  <si>
    <t>* acquisto farmaci</t>
  </si>
  <si>
    <t>* cancelleria</t>
  </si>
  <si>
    <t>* acqua e gas</t>
  </si>
  <si>
    <t>* energia elettrica</t>
  </si>
  <si>
    <t>* spese postali e di affrancatura</t>
  </si>
  <si>
    <t>* servizio di pulizia</t>
  </si>
  <si>
    <t>* spese telefoniche</t>
  </si>
  <si>
    <t>* trasporti</t>
  </si>
  <si>
    <t>* imposte e tasse varie</t>
  </si>
  <si>
    <t>* manutenzioni contrattuali</t>
  </si>
  <si>
    <t>* manutenzioni e riparaz. varie</t>
  </si>
  <si>
    <t>rivalsa rette</t>
  </si>
  <si>
    <t>contributi Regione</t>
  </si>
  <si>
    <t>altri proventi vari</t>
  </si>
  <si>
    <t>* materiali di pulizia</t>
  </si>
  <si>
    <t>* sicurezza e adempimenti L. 626</t>
  </si>
  <si>
    <t>* teleriscaldamento</t>
  </si>
  <si>
    <t>* attività di animazione</t>
  </si>
  <si>
    <t>* compensi ai professionisti medici</t>
  </si>
  <si>
    <t>* servizio barbiere e parrucchiere</t>
  </si>
  <si>
    <t>* smaltimento rifiuti</t>
  </si>
  <si>
    <t>* abbonamenti testi, riviste e quot.</t>
  </si>
  <si>
    <t>Farmacia 2 Pini</t>
  </si>
  <si>
    <t>Farmacia Gramsci</t>
  </si>
  <si>
    <t>Nuoto disabili</t>
  </si>
  <si>
    <t>Centro Aggreg. Giovanile</t>
  </si>
  <si>
    <t>Progetto Giovani</t>
  </si>
  <si>
    <t xml:space="preserve">totale </t>
  </si>
  <si>
    <t>risultato aziendale</t>
  </si>
  <si>
    <t>Centro diurno</t>
  </si>
  <si>
    <t>Formazione e Marketing</t>
  </si>
  <si>
    <t>proventi fisioterapia</t>
  </si>
  <si>
    <t>* compensi fisioterapisti</t>
  </si>
  <si>
    <t>* compensi a collaboratori e occasionali</t>
  </si>
  <si>
    <t>* prestazioni medicina specialistica</t>
  </si>
  <si>
    <t>* attività socio ricreative</t>
  </si>
  <si>
    <t>* carburanti e lubrificanti</t>
  </si>
  <si>
    <t>* assicurazioni diverse</t>
  </si>
  <si>
    <t>Trasporti</t>
  </si>
  <si>
    <t>E) Proventi e oneri straordinari</t>
  </si>
  <si>
    <t>15) Proventi da partecipazioni</t>
  </si>
  <si>
    <t>16) Altri proventi finanziari</t>
  </si>
  <si>
    <t>17) Interessi ed altri oneri finanziari</t>
  </si>
  <si>
    <t>C) Proventi e oneri finanziari</t>
  </si>
  <si>
    <t>D) Rettifiche di valore di attività finanziarie</t>
  </si>
  <si>
    <t>20) Proventi straordinari</t>
  </si>
  <si>
    <t>21) Oneri straordinari</t>
  </si>
  <si>
    <t>22) Imposte dell'esercizio</t>
  </si>
  <si>
    <t>UTILE (PERDITA) del SERVIZIO</t>
  </si>
  <si>
    <t>integrazione rette Comune</t>
  </si>
  <si>
    <t>* acquisto mat. medico per assist. farm. san.</t>
  </si>
  <si>
    <t>* acquisto materiali di consumo vari</t>
  </si>
  <si>
    <t>* spese generali</t>
  </si>
  <si>
    <t>*  spese generali</t>
  </si>
  <si>
    <t>* servizio lavanderia biancheria piana</t>
  </si>
  <si>
    <t>* compensi professionisti</t>
  </si>
  <si>
    <t>* servizio assistenza geriatrica conv.</t>
  </si>
  <si>
    <t>* spese servizio religioso</t>
  </si>
  <si>
    <t>* acquisto pasti da CdR Ristorazione</t>
  </si>
  <si>
    <t>* locazione sollevatori</t>
  </si>
  <si>
    <t>* tasse di circolazione</t>
  </si>
  <si>
    <t>Ristorazione</t>
  </si>
  <si>
    <t>Alloggi Juvara</t>
  </si>
  <si>
    <t>Dormitorio Ariosto</t>
  </si>
  <si>
    <t>C.P.I.H. poi C.A.H.</t>
  </si>
  <si>
    <t>erogazione pasti ad altri CdR</t>
  </si>
  <si>
    <t>proventi Ristorazione: obiettori e altri</t>
  </si>
  <si>
    <t>* acquisto generi alimentari</t>
  </si>
  <si>
    <t>* acquisto attrezzature cucina</t>
  </si>
  <si>
    <t>C.D.I.</t>
  </si>
  <si>
    <t>ALLOGGI JUVARA</t>
  </si>
  <si>
    <t>DORMITORIO ARIOSTO</t>
  </si>
  <si>
    <t>FARMACIA DUE PINI</t>
  </si>
  <si>
    <t>FARMACIA GRAMSCI</t>
  </si>
  <si>
    <t>SERVIZIO TRASPORTI</t>
  </si>
  <si>
    <t>C.A.G.</t>
  </si>
  <si>
    <t>PROGETTO GIOVANI</t>
  </si>
  <si>
    <t>SERVIZIO NUOTO DISABILI</t>
  </si>
  <si>
    <t>FORMAZIONE e MARKETING</t>
  </si>
  <si>
    <t xml:space="preserve">pasti a domicilio </t>
  </si>
  <si>
    <t>sollevatori</t>
  </si>
  <si>
    <t>prestazioni socio-sanitarie</t>
  </si>
  <si>
    <t>integrazione tariffe Comune</t>
  </si>
  <si>
    <t>* telesoccorso</t>
  </si>
  <si>
    <t>rivalsa tariffe</t>
  </si>
  <si>
    <t>proventi alloggi</t>
  </si>
  <si>
    <t>contributi forfettari Comune</t>
  </si>
  <si>
    <t>proventi trasporto utenti</t>
  </si>
  <si>
    <t>vendita farmaci</t>
  </si>
  <si>
    <t>prestazioni diverse</t>
  </si>
  <si>
    <t>rimborsi farmaci scaduti</t>
  </si>
  <si>
    <t>* acquisto materiale pubblicitario</t>
  </si>
  <si>
    <t>*  affitti e locazioni</t>
  </si>
  <si>
    <t>rimborso farmaci scaduti</t>
  </si>
  <si>
    <t>*  spese condominiali</t>
  </si>
  <si>
    <t>contributi vari</t>
  </si>
  <si>
    <t>* spese gestione servizio</t>
  </si>
  <si>
    <t>proventi progetto giovani</t>
  </si>
  <si>
    <t>* prestazioni artistiche e spese soggiorno</t>
  </si>
  <si>
    <t>* altre spese per servizi</t>
  </si>
  <si>
    <t>*  noleggio strutture e attrezzature</t>
  </si>
  <si>
    <t>* spese Siae</t>
  </si>
  <si>
    <t>proventi nuoto disabili</t>
  </si>
  <si>
    <t>rette Comunità Alloggio Handicap</t>
  </si>
  <si>
    <t>contributi Cariverona</t>
  </si>
  <si>
    <t>* altri compensi professionali</t>
  </si>
  <si>
    <t>BILANCIO DELL'ESERCIZIO CHIUSO AL 31 DICEMBRE 2001</t>
  </si>
  <si>
    <t>* compensi professionista podologa</t>
  </si>
  <si>
    <t>*  formazione corsi e borse di studio</t>
  </si>
  <si>
    <t>* rimborso spese ospiti</t>
  </si>
  <si>
    <t>* altre spese per automezzi</t>
  </si>
  <si>
    <t>* spese telefonia fissa</t>
  </si>
  <si>
    <t>* spese viaggi e trasferte</t>
  </si>
  <si>
    <t>* prestazioni artistiche</t>
  </si>
  <si>
    <t>* noleggio strutture e attrezzature</t>
  </si>
  <si>
    <t>* imposta di bollo</t>
  </si>
  <si>
    <t>* altre imposte e tasse</t>
  </si>
  <si>
    <t>* tasse di circolazione automezzi</t>
  </si>
  <si>
    <t>* interessi di mora</t>
  </si>
  <si>
    <t>* perdite su crediti</t>
  </si>
  <si>
    <t>* acquisto biancheria piana</t>
  </si>
  <si>
    <t>* servizio  lavaggio stoviglie</t>
  </si>
  <si>
    <t>e - altri costi per il personale</t>
  </si>
  <si>
    <t>trasporto e varie</t>
  </si>
  <si>
    <t xml:space="preserve">* confezionamento e consegna pasti </t>
  </si>
  <si>
    <t>* spese per manutenzione automezzi</t>
  </si>
  <si>
    <t>* assicurazione automezzi</t>
  </si>
  <si>
    <t>* imposte di bollo</t>
  </si>
  <si>
    <t>* compensi professionisti podologa</t>
  </si>
  <si>
    <t>e - altri costi del personale</t>
  </si>
  <si>
    <t>* compensi collaborazioni occasionali</t>
  </si>
  <si>
    <t>* spese postali e affrancatura</t>
  </si>
  <si>
    <t>* sicurezza e legge 626/94</t>
  </si>
  <si>
    <t>PENSIONATO SOCIALE</t>
  </si>
  <si>
    <t>proventi pensionato sociale</t>
  </si>
  <si>
    <t>* confezionamento e consegna pasti</t>
  </si>
  <si>
    <t>* compensi farmacisti</t>
  </si>
  <si>
    <t>* enpaf farmacisti</t>
  </si>
  <si>
    <t>* spese di vigilanza</t>
  </si>
  <si>
    <t>* tassa di concessione regionale</t>
  </si>
  <si>
    <t>* imposta di registro</t>
  </si>
  <si>
    <t>* rifiuti urbani e speciali</t>
  </si>
  <si>
    <t>* Enpaf farmacisti</t>
  </si>
  <si>
    <t>* tassa concessione regionale</t>
  </si>
  <si>
    <t>* acquisto materiale di consumo</t>
  </si>
  <si>
    <t>* spese per assicurazione automezzi</t>
  </si>
  <si>
    <t>proventi servizio assistenza domicil.minori</t>
  </si>
  <si>
    <t xml:space="preserve">* prestazioni da terzi </t>
  </si>
  <si>
    <t>* attivita' socio ricreative</t>
  </si>
  <si>
    <t>* materiale pubblicitario</t>
  </si>
  <si>
    <t>* altri costi per godimento beni di terzi</t>
  </si>
  <si>
    <t>* acquisto per attivita' di animazione</t>
  </si>
  <si>
    <t>*confezionamento e consegna pasti</t>
  </si>
  <si>
    <t>* prestazione da terzi</t>
  </si>
  <si>
    <t>* spese direttore generale</t>
  </si>
  <si>
    <t>Pensionato sociale</t>
  </si>
  <si>
    <t xml:space="preserve">* </t>
  </si>
  <si>
    <t xml:space="preserve">* compensi collab.occasionali e co.co.co. </t>
  </si>
  <si>
    <t>* compensi collab.occasionali e co.co.co.</t>
  </si>
  <si>
    <t>* contributi vari</t>
  </si>
  <si>
    <t xml:space="preserve">COMUNITA' ALLOGGIO HANDICAP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</si>
</sst>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&quot;L.&quot;\ #,##0;&quot;-&quot;&quot;L.&quot;\ #,##0"/>
    <numFmt numFmtId="169" formatCode="&quot;L.&quot;\ #,##0;[Red]&quot;-&quot;&quot;L.&quot;\ #,##0"/>
    <numFmt numFmtId="170" formatCode="&quot;L.&quot;\ #,##0.00;&quot;-&quot;&quot;L.&quot;\ #,##0.00"/>
    <numFmt numFmtId="171" formatCode="&quot;L.&quot;\ #,##0.00;[Red]&quot;-&quot;&quot;L.&quot;\ #,##0.00"/>
    <numFmt numFmtId="172" formatCode="d/m/yy"/>
    <numFmt numFmtId="173" formatCode="d/m/yy\ h:mm"/>
  </numFmts>
  <fonts count="19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sz val="8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b/>
      <sz val="18"/>
      <color indexed="8"/>
      <name val="Geneva"/>
      <family val="0"/>
    </font>
    <font>
      <b/>
      <sz val="11"/>
      <name val="Geneva"/>
      <family val="0"/>
    </font>
    <font>
      <b/>
      <sz val="11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7" fillId="2" borderId="0" xfId="0" applyFont="1" applyFill="1" applyBorder="1" applyAlignment="1">
      <alignment/>
    </xf>
    <xf numFmtId="41" fontId="17" fillId="2" borderId="0" xfId="0" applyNumberFormat="1" applyFont="1" applyFill="1" applyBorder="1" applyAlignment="1">
      <alignment/>
    </xf>
    <xf numFmtId="0" fontId="17" fillId="2" borderId="5" xfId="0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8" fillId="2" borderId="0" xfId="0" applyFont="1" applyFill="1" applyBorder="1" applyAlignment="1">
      <alignment/>
    </xf>
    <xf numFmtId="41" fontId="18" fillId="2" borderId="0" xfId="0" applyNumberFormat="1" applyFont="1" applyFill="1" applyBorder="1" applyAlignment="1">
      <alignment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3" fontId="14" fillId="3" borderId="7" xfId="0" applyNumberFormat="1" applyFont="1" applyFill="1" applyBorder="1" applyAlignment="1" applyProtection="1">
      <alignment horizontal="center"/>
      <protection locked="0"/>
    </xf>
    <xf numFmtId="3" fontId="5" fillId="3" borderId="7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3" fontId="14" fillId="3" borderId="10" xfId="0" applyNumberFormat="1" applyFont="1" applyFill="1" applyBorder="1" applyAlignment="1" applyProtection="1">
      <alignment horizontal="center"/>
      <protection locked="0"/>
    </xf>
    <xf numFmtId="3" fontId="5" fillId="3" borderId="1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3" fontId="15" fillId="3" borderId="0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12" xfId="0" applyFont="1" applyFill="1" applyBorder="1" applyAlignment="1" applyProtection="1">
      <alignment horizontal="center"/>
      <protection locked="0"/>
    </xf>
    <xf numFmtId="3" fontId="5" fillId="3" borderId="13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3" fontId="14" fillId="3" borderId="15" xfId="0" applyNumberFormat="1" applyFont="1" applyFill="1" applyBorder="1" applyAlignment="1" applyProtection="1">
      <alignment horizontal="center"/>
      <protection locked="0"/>
    </xf>
    <xf numFmtId="3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3" fontId="15" fillId="3" borderId="0" xfId="0" applyNumberFormat="1" applyFont="1" applyFill="1" applyBorder="1" applyAlignment="1" applyProtection="1">
      <alignment/>
      <protection locked="0"/>
    </xf>
    <xf numFmtId="3" fontId="1" fillId="3" borderId="0" xfId="0" applyNumberFormat="1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3" fontId="15" fillId="3" borderId="19" xfId="0" applyNumberFormat="1" applyFont="1" applyFill="1" applyBorder="1" applyAlignment="1" applyProtection="1">
      <alignment horizontal="center"/>
      <protection locked="0"/>
    </xf>
    <xf numFmtId="3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3" fontId="15" fillId="3" borderId="20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3" fontId="1" fillId="3" borderId="20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" fontId="0" fillId="3" borderId="20" xfId="0" applyNumberFormat="1" applyFont="1" applyFill="1" applyBorder="1" applyAlignment="1" applyProtection="1">
      <alignment/>
      <protection locked="0"/>
    </xf>
    <xf numFmtId="3" fontId="11" fillId="3" borderId="4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 locked="0"/>
    </xf>
    <xf numFmtId="3" fontId="0" fillId="3" borderId="20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3" fontId="9" fillId="3" borderId="20" xfId="0" applyNumberFormat="1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/>
      <protection locked="0"/>
    </xf>
    <xf numFmtId="3" fontId="13" fillId="3" borderId="20" xfId="0" applyNumberFormat="1" applyFont="1" applyFill="1" applyBorder="1" applyAlignment="1" applyProtection="1">
      <alignment/>
      <protection locked="0"/>
    </xf>
    <xf numFmtId="3" fontId="8" fillId="3" borderId="2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0" fontId="0" fillId="3" borderId="5" xfId="0" applyFill="1" applyBorder="1" applyAlignment="1" applyProtection="1">
      <alignment/>
      <protection locked="0"/>
    </xf>
    <xf numFmtId="3" fontId="11" fillId="3" borderId="21" xfId="0" applyNumberFormat="1" applyFont="1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3" fontId="1" fillId="3" borderId="5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/>
      <protection locked="0"/>
    </xf>
    <xf numFmtId="3" fontId="8" fillId="3" borderId="5" xfId="0" applyNumberFormat="1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3" fontId="1" fillId="3" borderId="5" xfId="0" applyNumberFormat="1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3" fontId="12" fillId="3" borderId="22" xfId="0" applyNumberFormat="1" applyFont="1" applyFill="1" applyBorder="1" applyAlignment="1" applyProtection="1">
      <alignment/>
      <protection locked="0"/>
    </xf>
    <xf numFmtId="3" fontId="0" fillId="3" borderId="8" xfId="0" applyNumberFormat="1" applyFill="1" applyBorder="1" applyAlignment="1" applyProtection="1">
      <alignment/>
      <protection locked="0"/>
    </xf>
    <xf numFmtId="3" fontId="12" fillId="3" borderId="0" xfId="0" applyNumberFormat="1" applyFont="1" applyFill="1" applyBorder="1" applyAlignment="1" applyProtection="1">
      <alignment/>
      <protection locked="0"/>
    </xf>
    <xf numFmtId="3" fontId="0" fillId="3" borderId="0" xfId="0" applyNumberFormat="1" applyFill="1" applyBorder="1" applyAlignment="1" applyProtection="1">
      <alignment/>
      <protection locked="0"/>
    </xf>
    <xf numFmtId="3" fontId="12" fillId="3" borderId="21" xfId="0" applyNumberFormat="1" applyFont="1" applyFill="1" applyBorder="1" applyAlignment="1" applyProtection="1">
      <alignment/>
      <protection/>
    </xf>
    <xf numFmtId="3" fontId="11" fillId="3" borderId="20" xfId="0" applyNumberFormat="1" applyFont="1" applyFill="1" applyBorder="1" applyAlignment="1" applyProtection="1">
      <alignment/>
      <protection locked="0"/>
    </xf>
    <xf numFmtId="3" fontId="11" fillId="3" borderId="0" xfId="0" applyNumberFormat="1" applyFont="1" applyFill="1" applyBorder="1" applyAlignment="1" applyProtection="1">
      <alignment/>
      <protection/>
    </xf>
    <xf numFmtId="3" fontId="11" fillId="3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12" fillId="3" borderId="0" xfId="0" applyNumberFormat="1" applyFont="1" applyFill="1" applyBorder="1" applyAlignment="1" applyProtection="1">
      <alignment/>
      <protection/>
    </xf>
    <xf numFmtId="3" fontId="12" fillId="3" borderId="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/>
      <protection locked="0"/>
    </xf>
    <xf numFmtId="3" fontId="11" fillId="0" borderId="21" xfId="0" applyNumberFormat="1" applyFon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3" fontId="11" fillId="3" borderId="20" xfId="0" applyNumberFormat="1" applyFont="1" applyFill="1" applyBorder="1" applyAlignment="1" applyProtection="1">
      <alignment/>
      <protection/>
    </xf>
    <xf numFmtId="0" fontId="16" fillId="3" borderId="12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15" fillId="3" borderId="17" xfId="0" applyNumberFormat="1" applyFont="1" applyFill="1" applyBorder="1" applyAlignment="1" applyProtection="1">
      <alignment horizontal="center"/>
      <protection locked="0"/>
    </xf>
    <xf numFmtId="0" fontId="15" fillId="3" borderId="23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01">
      <selection activeCell="C126" sqref="C126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21.7539062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41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F20+F25+F26+F27+F29</f>
        <v>5373511688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SUM(F21:F23)</f>
        <v>2486642400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55</v>
      </c>
      <c r="F21" s="62">
        <v>2079942600</v>
      </c>
      <c r="G21" s="61"/>
    </row>
    <row r="22" spans="1:7" ht="12.75" customHeight="1">
      <c r="A22" s="45"/>
      <c r="B22" s="55"/>
      <c r="C22" s="45"/>
      <c r="D22" s="45" t="s">
        <v>30</v>
      </c>
      <c r="E22" s="46" t="s">
        <v>75</v>
      </c>
      <c r="F22" s="62">
        <v>5475500</v>
      </c>
      <c r="G22" s="61"/>
    </row>
    <row r="23" spans="1:7" ht="12.75" customHeight="1">
      <c r="A23" s="45"/>
      <c r="B23" s="55"/>
      <c r="C23" s="45"/>
      <c r="D23" s="45" t="s">
        <v>30</v>
      </c>
      <c r="E23" s="46" t="s">
        <v>93</v>
      </c>
      <c r="F23" s="62">
        <v>401224300</v>
      </c>
      <c r="G23" s="61"/>
    </row>
    <row r="24" spans="1:7" ht="12.75" customHeight="1">
      <c r="A24" s="45"/>
      <c r="B24" s="55"/>
      <c r="C24" s="45" t="s">
        <v>8</v>
      </c>
      <c r="D24" s="45" t="s">
        <v>9</v>
      </c>
      <c r="F24" s="63"/>
      <c r="G24" s="61"/>
    </row>
    <row r="25" spans="1:7" ht="12.75" customHeight="1">
      <c r="A25" s="45"/>
      <c r="B25" s="55"/>
      <c r="C25" s="45"/>
      <c r="D25" s="45" t="s">
        <v>10</v>
      </c>
      <c r="F25" s="63">
        <v>-47676411</v>
      </c>
      <c r="G25" s="61"/>
    </row>
    <row r="26" spans="1:7" ht="12.75" customHeight="1">
      <c r="A26" s="45"/>
      <c r="B26" s="55"/>
      <c r="C26" s="45" t="s">
        <v>11</v>
      </c>
      <c r="D26" s="45" t="s">
        <v>12</v>
      </c>
      <c r="F26" s="63">
        <v>0</v>
      </c>
      <c r="G26" s="61"/>
    </row>
    <row r="27" spans="1:7" ht="12.75" customHeight="1">
      <c r="A27" s="45"/>
      <c r="B27" s="55"/>
      <c r="C27" s="45" t="s">
        <v>13</v>
      </c>
      <c r="D27" s="45"/>
      <c r="F27" s="63">
        <v>0</v>
      </c>
      <c r="G27" s="61"/>
    </row>
    <row r="28" spans="1:7" ht="12.75" customHeight="1">
      <c r="A28" s="45"/>
      <c r="B28" s="55"/>
      <c r="C28" s="45" t="s">
        <v>14</v>
      </c>
      <c r="D28" s="45"/>
      <c r="F28" s="63" t="s">
        <v>0</v>
      </c>
      <c r="G28" s="64"/>
    </row>
    <row r="29" spans="1:7" ht="12.75" customHeight="1">
      <c r="A29" s="45"/>
      <c r="B29" s="55"/>
      <c r="C29" s="45"/>
      <c r="D29" s="45" t="s">
        <v>15</v>
      </c>
      <c r="F29" s="60">
        <f>SUM(F30:F33)</f>
        <v>2934545699</v>
      </c>
      <c r="G29" s="64"/>
    </row>
    <row r="30" spans="1:7" ht="12.75" customHeight="1">
      <c r="A30" s="45"/>
      <c r="B30" s="55"/>
      <c r="C30" s="45"/>
      <c r="D30" s="65" t="s">
        <v>30</v>
      </c>
      <c r="E30" s="46" t="s">
        <v>43</v>
      </c>
      <c r="F30" s="62">
        <v>2139704987</v>
      </c>
      <c r="G30" s="66"/>
    </row>
    <row r="31" spans="1:7" ht="12.75" customHeight="1">
      <c r="A31" s="45"/>
      <c r="B31" s="55"/>
      <c r="C31" s="45"/>
      <c r="D31" s="65" t="s">
        <v>30</v>
      </c>
      <c r="E31" s="46" t="s">
        <v>56</v>
      </c>
      <c r="F31" s="62">
        <v>509714000</v>
      </c>
      <c r="G31" s="66"/>
    </row>
    <row r="32" spans="1:7" ht="12.75" customHeight="1">
      <c r="A32" s="45"/>
      <c r="B32" s="55"/>
      <c r="C32" s="45"/>
      <c r="D32" s="65" t="s">
        <v>30</v>
      </c>
      <c r="E32" s="46" t="s">
        <v>139</v>
      </c>
      <c r="F32" s="62">
        <v>260889626</v>
      </c>
      <c r="G32" s="66"/>
    </row>
    <row r="33" spans="1:7" ht="12.75" customHeight="1">
      <c r="A33" s="45"/>
      <c r="B33" s="55"/>
      <c r="C33" s="45"/>
      <c r="D33" s="65" t="s">
        <v>30</v>
      </c>
      <c r="E33" s="46" t="s">
        <v>57</v>
      </c>
      <c r="F33" s="62">
        <f>3162500+21074586</f>
        <v>24237086</v>
      </c>
      <c r="G33" s="66"/>
    </row>
    <row r="34" spans="1:7" ht="12.75" customHeight="1">
      <c r="A34" s="45"/>
      <c r="B34" s="55"/>
      <c r="C34" s="45"/>
      <c r="D34" s="45"/>
      <c r="E34" s="45"/>
      <c r="F34" s="63"/>
      <c r="G34" s="64"/>
    </row>
    <row r="35" spans="1:7" s="71" customFormat="1" ht="12.75" customHeight="1">
      <c r="A35" s="67"/>
      <c r="B35" s="58" t="s">
        <v>16</v>
      </c>
      <c r="C35" s="67"/>
      <c r="D35" s="67"/>
      <c r="E35" s="68"/>
      <c r="F35" s="69"/>
      <c r="G35" s="70">
        <f>-(F37+F48+F76+F80+F86+F93+F94+F95+F96)</f>
        <v>-6074975707</v>
      </c>
    </row>
    <row r="36" spans="1:7" ht="12.75" customHeight="1">
      <c r="A36" s="45"/>
      <c r="B36" s="55"/>
      <c r="C36" s="45" t="s">
        <v>17</v>
      </c>
      <c r="D36" s="45"/>
      <c r="F36" s="63" t="s">
        <v>0</v>
      </c>
      <c r="G36" s="64"/>
    </row>
    <row r="37" spans="1:7" ht="12.75" customHeight="1">
      <c r="A37" s="45"/>
      <c r="B37" s="55"/>
      <c r="D37" s="45" t="s">
        <v>18</v>
      </c>
      <c r="E37" s="72"/>
      <c r="F37" s="98">
        <f>SUM(F38:F47)</f>
        <v>630045780</v>
      </c>
      <c r="G37" s="64"/>
    </row>
    <row r="38" spans="1:7" ht="12.75" customHeight="1">
      <c r="A38" s="45"/>
      <c r="B38" s="55"/>
      <c r="D38" s="45"/>
      <c r="E38" s="72" t="s">
        <v>111</v>
      </c>
      <c r="F38" s="98">
        <v>3069164</v>
      </c>
      <c r="G38" s="64"/>
    </row>
    <row r="39" spans="1:7" ht="12.75" customHeight="1">
      <c r="A39" s="45"/>
      <c r="B39" s="55"/>
      <c r="D39" s="45"/>
      <c r="E39" s="72" t="s">
        <v>94</v>
      </c>
      <c r="F39" s="73">
        <v>186614314</v>
      </c>
      <c r="G39" s="64"/>
    </row>
    <row r="40" spans="1:7" ht="12.75" customHeight="1">
      <c r="A40" s="45"/>
      <c r="B40" s="55"/>
      <c r="D40" s="45"/>
      <c r="E40" s="72" t="s">
        <v>61</v>
      </c>
      <c r="F40" s="73">
        <v>2878469</v>
      </c>
      <c r="G40" s="64"/>
    </row>
    <row r="41" spans="1:7" ht="12.75" customHeight="1">
      <c r="A41" s="45"/>
      <c r="B41" s="55"/>
      <c r="D41" s="45"/>
      <c r="E41" s="72" t="s">
        <v>44</v>
      </c>
      <c r="F41" s="73">
        <v>198699067</v>
      </c>
      <c r="G41" s="64"/>
    </row>
    <row r="42" spans="1:7" ht="12.75" customHeight="1">
      <c r="A42" s="45"/>
      <c r="B42" s="55"/>
      <c r="D42" s="45"/>
      <c r="E42" s="72" t="s">
        <v>95</v>
      </c>
      <c r="F42" s="73">
        <v>38922866</v>
      </c>
      <c r="G42" s="64"/>
    </row>
    <row r="43" spans="1:7" ht="12.75" customHeight="1">
      <c r="A43" s="45"/>
      <c r="B43" s="55"/>
      <c r="D43" s="45"/>
      <c r="E43" s="72" t="s">
        <v>58</v>
      </c>
      <c r="F43" s="73">
        <v>65646370</v>
      </c>
      <c r="G43" s="64"/>
    </row>
    <row r="44" spans="1:7" ht="12.75" customHeight="1">
      <c r="A44" s="45"/>
      <c r="B44" s="55"/>
      <c r="D44" s="45"/>
      <c r="E44" s="74" t="s">
        <v>45</v>
      </c>
      <c r="F44" s="73">
        <v>856688</v>
      </c>
      <c r="G44" s="64"/>
    </row>
    <row r="45" spans="1:7" ht="12.75" customHeight="1">
      <c r="A45" s="45"/>
      <c r="B45" s="55"/>
      <c r="D45" s="45"/>
      <c r="E45" s="74" t="s">
        <v>80</v>
      </c>
      <c r="F45" s="73">
        <v>691040</v>
      </c>
      <c r="G45" s="64"/>
    </row>
    <row r="46" spans="1:7" ht="12.75" customHeight="1">
      <c r="A46" s="45"/>
      <c r="B46" s="55"/>
      <c r="C46" s="45"/>
      <c r="D46" s="45"/>
      <c r="E46" s="74" t="s">
        <v>60</v>
      </c>
      <c r="F46" s="73">
        <v>120511923</v>
      </c>
      <c r="G46" s="64"/>
    </row>
    <row r="47" spans="1:7" ht="12.75" customHeight="1">
      <c r="A47" s="45"/>
      <c r="B47" s="55"/>
      <c r="D47" s="45"/>
      <c r="E47" s="72" t="s">
        <v>96</v>
      </c>
      <c r="F47" s="99">
        <f>7115342+5040537</f>
        <v>12155879</v>
      </c>
      <c r="G47" s="64"/>
    </row>
    <row r="48" spans="1:7" ht="12.75" customHeight="1">
      <c r="A48" s="45"/>
      <c r="B48" s="55"/>
      <c r="C48" s="45" t="s">
        <v>19</v>
      </c>
      <c r="D48" s="45"/>
      <c r="E48" s="72"/>
      <c r="F48" s="98">
        <f>SUM(F49:F75)</f>
        <v>3058479285</v>
      </c>
      <c r="G48" s="64"/>
    </row>
    <row r="49" spans="1:7" ht="12.75" customHeight="1">
      <c r="A49" s="45"/>
      <c r="B49" s="55"/>
      <c r="C49" s="45"/>
      <c r="D49" s="45"/>
      <c r="E49" s="74" t="s">
        <v>51</v>
      </c>
      <c r="F49" s="98">
        <v>1398500</v>
      </c>
      <c r="G49" s="64"/>
    </row>
    <row r="50" spans="1:7" ht="12.75" customHeight="1">
      <c r="A50" s="45"/>
      <c r="B50" s="55"/>
      <c r="C50" s="45"/>
      <c r="D50" s="45"/>
      <c r="E50" s="74" t="s">
        <v>47</v>
      </c>
      <c r="F50" s="73">
        <v>63151340</v>
      </c>
      <c r="G50" s="64"/>
    </row>
    <row r="51" spans="1:7" ht="12.75" customHeight="1">
      <c r="A51" s="45"/>
      <c r="B51" s="55"/>
      <c r="C51" s="45"/>
      <c r="D51" s="45"/>
      <c r="E51" s="74" t="s">
        <v>46</v>
      </c>
      <c r="F51" s="73">
        <v>36078365</v>
      </c>
      <c r="G51" s="64"/>
    </row>
    <row r="52" spans="1:7" ht="12.75" customHeight="1">
      <c r="A52" s="45"/>
      <c r="B52" s="55"/>
      <c r="C52" s="45"/>
      <c r="D52" s="45"/>
      <c r="E52" s="74" t="s">
        <v>54</v>
      </c>
      <c r="F52" s="73">
        <v>9824490</v>
      </c>
      <c r="G52" s="64"/>
    </row>
    <row r="53" spans="1:7" ht="12.75" customHeight="1">
      <c r="A53" s="45"/>
      <c r="B53" s="55"/>
      <c r="C53" s="45"/>
      <c r="D53" s="45"/>
      <c r="E53" s="74" t="s">
        <v>53</v>
      </c>
      <c r="F53" s="73">
        <v>34133780</v>
      </c>
      <c r="G53" s="64"/>
    </row>
    <row r="54" spans="1:7" ht="12.75" customHeight="1">
      <c r="A54" s="45"/>
      <c r="B54" s="55"/>
      <c r="C54" s="45"/>
      <c r="D54" s="45"/>
      <c r="E54" s="74" t="s">
        <v>63</v>
      </c>
      <c r="F54" s="73">
        <v>39156264</v>
      </c>
      <c r="G54" s="64"/>
    </row>
    <row r="55" spans="1:7" ht="12.75" customHeight="1">
      <c r="A55" s="45"/>
      <c r="B55" s="55"/>
      <c r="C55" s="45"/>
      <c r="D55" s="45"/>
      <c r="E55" s="74" t="s">
        <v>98</v>
      </c>
      <c r="F55" s="73">
        <v>133698204</v>
      </c>
      <c r="G55" s="64"/>
    </row>
    <row r="56" spans="1:7" ht="12.75" customHeight="1">
      <c r="A56" s="45"/>
      <c r="B56" s="55"/>
      <c r="C56" s="45"/>
      <c r="D56" s="45"/>
      <c r="E56" s="74" t="s">
        <v>49</v>
      </c>
      <c r="F56" s="73">
        <v>400998611</v>
      </c>
      <c r="G56" s="64"/>
    </row>
    <row r="57" spans="1:7" ht="12.75" customHeight="1">
      <c r="A57" s="45"/>
      <c r="B57" s="55"/>
      <c r="C57" s="45"/>
      <c r="D57" s="45"/>
      <c r="E57" s="74" t="s">
        <v>62</v>
      </c>
      <c r="F57" s="73">
        <v>198150597</v>
      </c>
      <c r="G57" s="64"/>
    </row>
    <row r="58" spans="1:7" ht="12.75" customHeight="1">
      <c r="A58" s="45"/>
      <c r="B58" s="55"/>
      <c r="C58" s="45"/>
      <c r="D58" s="45"/>
      <c r="E58" s="74" t="s">
        <v>151</v>
      </c>
      <c r="F58" s="73">
        <v>35675650</v>
      </c>
      <c r="G58" s="64"/>
    </row>
    <row r="59" spans="1:7" ht="12.75" customHeight="1">
      <c r="A59" s="45"/>
      <c r="B59" s="55"/>
      <c r="C59" s="45"/>
      <c r="D59" s="45"/>
      <c r="E59" s="74" t="s">
        <v>76</v>
      </c>
      <c r="F59" s="73">
        <v>17475288</v>
      </c>
      <c r="G59" s="64"/>
    </row>
    <row r="60" spans="1:7" s="1" customFormat="1" ht="12.75" customHeight="1">
      <c r="A60" s="105"/>
      <c r="B60" s="106"/>
      <c r="C60" s="105"/>
      <c r="D60" s="105"/>
      <c r="E60" s="107" t="s">
        <v>77</v>
      </c>
      <c r="F60" s="108">
        <f>36000000+45659265+4579397</f>
        <v>86238662</v>
      </c>
      <c r="G60" s="109"/>
    </row>
    <row r="61" spans="1:7" ht="12.75" customHeight="1">
      <c r="A61" s="45"/>
      <c r="B61" s="55"/>
      <c r="C61" s="45"/>
      <c r="D61" s="45"/>
      <c r="E61" s="74" t="s">
        <v>152</v>
      </c>
      <c r="F61" s="73">
        <v>608800</v>
      </c>
      <c r="G61" s="64"/>
    </row>
    <row r="62" spans="1:7" ht="12.75" customHeight="1">
      <c r="A62" s="45"/>
      <c r="B62" s="55"/>
      <c r="C62" s="45"/>
      <c r="D62" s="45"/>
      <c r="E62" s="74" t="s">
        <v>102</v>
      </c>
      <c r="F62" s="73">
        <v>1150705500</v>
      </c>
      <c r="G62" s="64"/>
    </row>
    <row r="63" spans="1:7" ht="12.75" customHeight="1">
      <c r="A63" s="45"/>
      <c r="B63" s="55"/>
      <c r="C63" s="45"/>
      <c r="D63" s="45"/>
      <c r="E63" s="74" t="s">
        <v>153</v>
      </c>
      <c r="F63" s="73">
        <v>3325500</v>
      </c>
      <c r="G63" s="64"/>
    </row>
    <row r="64" spans="1:7" ht="13.5" customHeight="1">
      <c r="A64" s="45"/>
      <c r="B64" s="55"/>
      <c r="C64" s="45"/>
      <c r="D64" s="45"/>
      <c r="E64" s="74" t="s">
        <v>78</v>
      </c>
      <c r="F64" s="73">
        <v>7026003</v>
      </c>
      <c r="G64" s="64"/>
    </row>
    <row r="65" spans="1:7" ht="13.5" customHeight="1">
      <c r="A65" s="45"/>
      <c r="B65" s="55"/>
      <c r="C65" s="45"/>
      <c r="D65" s="45"/>
      <c r="E65" s="74" t="s">
        <v>100</v>
      </c>
      <c r="F65" s="73">
        <v>477594900</v>
      </c>
      <c r="G65" s="64"/>
    </row>
    <row r="66" spans="1:7" ht="13.5" customHeight="1">
      <c r="A66" s="45"/>
      <c r="B66" s="55"/>
      <c r="C66" s="45"/>
      <c r="D66" s="45"/>
      <c r="E66" s="74" t="s">
        <v>154</v>
      </c>
      <c r="F66" s="73">
        <v>705000</v>
      </c>
      <c r="G66" s="64"/>
    </row>
    <row r="67" spans="1:7" ht="13.5" customHeight="1">
      <c r="A67" s="45"/>
      <c r="B67" s="55"/>
      <c r="C67" s="45"/>
      <c r="D67" s="45"/>
      <c r="E67" s="74" t="s">
        <v>155</v>
      </c>
      <c r="F67" s="73">
        <v>11420126</v>
      </c>
      <c r="G67" s="64"/>
    </row>
    <row r="68" spans="1:7" ht="12.75" customHeight="1">
      <c r="A68" s="45"/>
      <c r="B68" s="55"/>
      <c r="C68" s="45"/>
      <c r="D68" s="45"/>
      <c r="E68" s="74" t="s">
        <v>48</v>
      </c>
      <c r="F68" s="73">
        <v>388100</v>
      </c>
      <c r="G68" s="64"/>
    </row>
    <row r="69" spans="1:7" ht="12.75" customHeight="1">
      <c r="A69" s="45"/>
      <c r="B69" s="55"/>
      <c r="C69" s="45"/>
      <c r="D69" s="45"/>
      <c r="E69" s="74" t="s">
        <v>81</v>
      </c>
      <c r="F69" s="73">
        <v>537496</v>
      </c>
      <c r="G69" s="64"/>
    </row>
    <row r="70" spans="1:7" ht="12.75" customHeight="1">
      <c r="A70" s="45"/>
      <c r="B70" s="55"/>
      <c r="C70" s="45"/>
      <c r="D70" s="45"/>
      <c r="E70" s="74" t="s">
        <v>156</v>
      </c>
      <c r="F70" s="73">
        <v>112000</v>
      </c>
      <c r="G70" s="64"/>
    </row>
    <row r="71" spans="1:7" ht="12.75" customHeight="1">
      <c r="A71" s="45"/>
      <c r="B71" s="55"/>
      <c r="C71" s="45"/>
      <c r="D71" s="45"/>
      <c r="E71" s="74" t="s">
        <v>157</v>
      </c>
      <c r="F71" s="73">
        <v>625000</v>
      </c>
      <c r="G71" s="64"/>
    </row>
    <row r="72" spans="1:7" ht="12.75" customHeight="1">
      <c r="A72" s="45"/>
      <c r="B72" s="55"/>
      <c r="C72" s="45"/>
      <c r="D72" s="45"/>
      <c r="E72" s="74" t="s">
        <v>101</v>
      </c>
      <c r="F72" s="73">
        <v>5424000</v>
      </c>
      <c r="G72" s="64"/>
    </row>
    <row r="73" spans="1:7" ht="12.75" customHeight="1">
      <c r="A73" s="45"/>
      <c r="B73" s="55"/>
      <c r="C73" s="45"/>
      <c r="D73" s="45"/>
      <c r="E73" s="74" t="s">
        <v>79</v>
      </c>
      <c r="F73" s="73">
        <v>3741000</v>
      </c>
      <c r="G73" s="64"/>
    </row>
    <row r="74" spans="1:7" ht="12.75" customHeight="1">
      <c r="A74" s="45"/>
      <c r="B74" s="55"/>
      <c r="C74" s="45"/>
      <c r="D74" s="45"/>
      <c r="E74" s="74" t="s">
        <v>143</v>
      </c>
      <c r="F74" s="73">
        <v>12688320</v>
      </c>
      <c r="G74" s="64"/>
    </row>
    <row r="75" spans="1:7" ht="12.75" customHeight="1">
      <c r="A75" s="45"/>
      <c r="B75" s="55"/>
      <c r="C75" s="45"/>
      <c r="D75" s="45"/>
      <c r="E75" s="74" t="s">
        <v>97</v>
      </c>
      <c r="F75" s="73">
        <f>217803700+109794089</f>
        <v>327597789</v>
      </c>
      <c r="G75" s="64"/>
    </row>
    <row r="76" spans="1:7" ht="12.75" customHeight="1">
      <c r="A76" s="45"/>
      <c r="B76" s="55"/>
      <c r="C76" s="45" t="s">
        <v>20</v>
      </c>
      <c r="D76" s="45"/>
      <c r="E76" s="72"/>
      <c r="F76" s="60">
        <f>SUM(F77:F79)</f>
        <v>54555000</v>
      </c>
      <c r="G76" s="64"/>
    </row>
    <row r="77" spans="1:7" ht="12.75" customHeight="1">
      <c r="A77" s="45"/>
      <c r="B77" s="55"/>
      <c r="C77" s="45"/>
      <c r="D77" s="45"/>
      <c r="E77" s="72" t="s">
        <v>158</v>
      </c>
      <c r="F77" s="103">
        <v>103200</v>
      </c>
      <c r="G77" s="64"/>
    </row>
    <row r="78" spans="1:7" ht="12.75" customHeight="1">
      <c r="A78" s="45"/>
      <c r="B78" s="55"/>
      <c r="C78" s="45"/>
      <c r="D78" s="45"/>
      <c r="E78" s="74" t="s">
        <v>103</v>
      </c>
      <c r="F78" s="73">
        <v>54451800</v>
      </c>
      <c r="G78" s="64"/>
    </row>
    <row r="79" spans="1:7" ht="12.75" customHeight="1">
      <c r="A79" s="45"/>
      <c r="B79" s="55"/>
      <c r="C79" s="45"/>
      <c r="D79" s="45"/>
      <c r="E79" s="74" t="s">
        <v>97</v>
      </c>
      <c r="F79" s="100">
        <v>0</v>
      </c>
      <c r="G79" s="64"/>
    </row>
    <row r="80" spans="1:7" ht="12.75" customHeight="1">
      <c r="A80" s="45"/>
      <c r="B80" s="55"/>
      <c r="C80" s="45" t="s">
        <v>21</v>
      </c>
      <c r="D80" s="45"/>
      <c r="E80" s="72"/>
      <c r="F80" s="98">
        <f>SUM(F81:F85)</f>
        <v>2217251831</v>
      </c>
      <c r="G80" s="64"/>
    </row>
    <row r="81" spans="1:7" ht="12.75" customHeight="1">
      <c r="A81" s="45"/>
      <c r="B81" s="55"/>
      <c r="D81" s="75" t="s">
        <v>22</v>
      </c>
      <c r="E81" s="76"/>
      <c r="F81" s="73">
        <f>1374612194+304073711</f>
        <v>1678685905</v>
      </c>
      <c r="G81" s="64"/>
    </row>
    <row r="82" spans="1:7" ht="12.75" customHeight="1">
      <c r="A82" s="45"/>
      <c r="B82" s="55"/>
      <c r="D82" s="75" t="s">
        <v>23</v>
      </c>
      <c r="E82" s="76"/>
      <c r="F82" s="73">
        <f>327312375+22282960+69989714+812056</f>
        <v>420397105</v>
      </c>
      <c r="G82" s="64"/>
    </row>
    <row r="83" spans="1:7" ht="12.75" customHeight="1">
      <c r="A83" s="45"/>
      <c r="B83" s="55"/>
      <c r="D83" s="75" t="s">
        <v>24</v>
      </c>
      <c r="E83" s="76"/>
      <c r="F83" s="73">
        <f>78983234+31734859</f>
        <v>110718093</v>
      </c>
      <c r="G83" s="64"/>
    </row>
    <row r="84" spans="1:7" ht="12.75" customHeight="1">
      <c r="A84" s="45"/>
      <c r="B84" s="55"/>
      <c r="D84" s="75" t="s">
        <v>25</v>
      </c>
      <c r="E84" s="76"/>
      <c r="F84" s="73">
        <v>0</v>
      </c>
      <c r="G84" s="64"/>
    </row>
    <row r="85" spans="1:7" ht="12.75" customHeight="1">
      <c r="A85" s="45"/>
      <c r="B85" s="55"/>
      <c r="D85" s="75" t="s">
        <v>26</v>
      </c>
      <c r="E85" s="76"/>
      <c r="F85" s="73">
        <f>2094069+5356659</f>
        <v>7450728</v>
      </c>
      <c r="G85" s="64"/>
    </row>
    <row r="86" spans="1:7" ht="12.75" customHeight="1">
      <c r="A86" s="45"/>
      <c r="B86" s="55"/>
      <c r="C86" s="45" t="s">
        <v>27</v>
      </c>
      <c r="D86" s="45"/>
      <c r="E86" s="72"/>
      <c r="F86" s="98">
        <f>SUM(F87:F91)</f>
        <v>39550916</v>
      </c>
      <c r="G86" s="64"/>
    </row>
    <row r="87" spans="1:7" ht="12.75" customHeight="1">
      <c r="A87" s="45"/>
      <c r="B87" s="55"/>
      <c r="C87" s="45"/>
      <c r="D87" s="75" t="s">
        <v>28</v>
      </c>
      <c r="E87" s="76"/>
      <c r="F87" s="73">
        <f>3980060+6057197</f>
        <v>10037257</v>
      </c>
      <c r="G87" s="64"/>
    </row>
    <row r="88" spans="1:7" ht="12.75" customHeight="1">
      <c r="A88" s="45"/>
      <c r="B88" s="55"/>
      <c r="D88" s="75" t="s">
        <v>29</v>
      </c>
      <c r="E88" s="77"/>
      <c r="F88" s="73">
        <f>12151900+15499476</f>
        <v>27651376</v>
      </c>
      <c r="G88" s="64"/>
    </row>
    <row r="89" spans="1:7" ht="12.75" customHeight="1">
      <c r="A89" s="45"/>
      <c r="B89" s="55"/>
      <c r="D89" s="75" t="s">
        <v>31</v>
      </c>
      <c r="E89" s="76"/>
      <c r="F89" s="73">
        <v>0</v>
      </c>
      <c r="G89" s="64"/>
    </row>
    <row r="90" spans="1:7" ht="12.75" customHeight="1">
      <c r="A90" s="45"/>
      <c r="B90" s="55"/>
      <c r="D90" s="75" t="s">
        <v>32</v>
      </c>
      <c r="E90" s="76"/>
      <c r="F90" s="73"/>
      <c r="G90" s="64"/>
    </row>
    <row r="91" spans="1:7" ht="12.75" customHeight="1">
      <c r="A91" s="45"/>
      <c r="B91" s="55"/>
      <c r="D91" s="75"/>
      <c r="E91" s="77" t="s">
        <v>33</v>
      </c>
      <c r="F91" s="73">
        <v>1862283</v>
      </c>
      <c r="G91" s="64"/>
    </row>
    <row r="92" spans="1:7" ht="12.75" customHeight="1">
      <c r="A92" s="45"/>
      <c r="B92" s="55"/>
      <c r="C92" s="45" t="s">
        <v>34</v>
      </c>
      <c r="D92" s="45"/>
      <c r="E92" s="72"/>
      <c r="F92" s="63"/>
      <c r="G92" s="64"/>
    </row>
    <row r="93" spans="1:7" ht="12.75" customHeight="1">
      <c r="A93" s="45"/>
      <c r="B93" s="55"/>
      <c r="D93" s="45"/>
      <c r="E93" s="78" t="s">
        <v>35</v>
      </c>
      <c r="F93" s="63">
        <v>0</v>
      </c>
      <c r="G93" s="64"/>
    </row>
    <row r="94" spans="1:7" ht="12.75" customHeight="1">
      <c r="A94" s="45"/>
      <c r="B94" s="55"/>
      <c r="C94" s="45" t="s">
        <v>36</v>
      </c>
      <c r="D94" s="45"/>
      <c r="E94" s="72"/>
      <c r="F94" s="63">
        <v>0</v>
      </c>
      <c r="G94" s="64"/>
    </row>
    <row r="95" spans="1:7" ht="12.75" customHeight="1">
      <c r="A95" s="45"/>
      <c r="B95" s="55"/>
      <c r="C95" s="45" t="s">
        <v>37</v>
      </c>
      <c r="D95" s="45"/>
      <c r="E95" s="72"/>
      <c r="F95" s="63">
        <v>0</v>
      </c>
      <c r="G95" s="64"/>
    </row>
    <row r="96" spans="1:7" ht="12.75" customHeight="1">
      <c r="A96" s="45"/>
      <c r="B96" s="55"/>
      <c r="C96" s="45" t="s">
        <v>38</v>
      </c>
      <c r="D96" s="45"/>
      <c r="E96" s="72"/>
      <c r="F96" s="63">
        <f>SUM(F97:F105)</f>
        <v>75092895</v>
      </c>
      <c r="G96" s="64"/>
    </row>
    <row r="97" spans="1:7" ht="12.75" customHeight="1">
      <c r="A97" s="45"/>
      <c r="B97" s="55"/>
      <c r="C97" s="45"/>
      <c r="D97" s="45"/>
      <c r="E97" s="72" t="s">
        <v>159</v>
      </c>
      <c r="F97" s="96">
        <v>4535000</v>
      </c>
      <c r="G97" s="64"/>
    </row>
    <row r="98" spans="1:7" ht="12.75" customHeight="1">
      <c r="A98" s="45"/>
      <c r="B98" s="55"/>
      <c r="C98" s="45"/>
      <c r="D98" s="45"/>
      <c r="E98" s="79" t="s">
        <v>160</v>
      </c>
      <c r="F98" s="96">
        <v>879000</v>
      </c>
      <c r="G98" s="64"/>
    </row>
    <row r="99" spans="1:7" ht="12.75" customHeight="1">
      <c r="A99" s="45"/>
      <c r="B99" s="55"/>
      <c r="C99" s="45"/>
      <c r="D99" s="45"/>
      <c r="E99" s="74" t="s">
        <v>64</v>
      </c>
      <c r="F99" s="96">
        <v>24648142</v>
      </c>
      <c r="G99" s="64"/>
    </row>
    <row r="100" spans="1:7" ht="12.75" customHeight="1">
      <c r="A100" s="45"/>
      <c r="B100" s="55"/>
      <c r="C100" s="45"/>
      <c r="D100" s="45"/>
      <c r="E100" s="74" t="s">
        <v>65</v>
      </c>
      <c r="F100" s="96">
        <v>2898480</v>
      </c>
      <c r="G100" s="64"/>
    </row>
    <row r="101" spans="1:7" ht="13.5" customHeight="1">
      <c r="A101" s="45"/>
      <c r="B101" s="55"/>
      <c r="C101" s="45"/>
      <c r="D101" s="45" t="s">
        <v>0</v>
      </c>
      <c r="E101" s="74" t="s">
        <v>59</v>
      </c>
      <c r="F101" s="73">
        <v>17217796</v>
      </c>
      <c r="G101" s="64"/>
    </row>
    <row r="102" spans="1:7" ht="12.75" customHeight="1">
      <c r="A102" s="45"/>
      <c r="B102" s="55"/>
      <c r="C102" s="45"/>
      <c r="D102" s="45"/>
      <c r="E102" s="74" t="s">
        <v>161</v>
      </c>
      <c r="F102" s="73">
        <v>621000</v>
      </c>
      <c r="G102" s="64"/>
    </row>
    <row r="103" spans="1:7" ht="12.75" customHeight="1">
      <c r="A103" s="45"/>
      <c r="B103" s="55"/>
      <c r="C103" s="45"/>
      <c r="D103" s="45" t="s">
        <v>0</v>
      </c>
      <c r="E103" s="74" t="s">
        <v>162</v>
      </c>
      <c r="F103" s="73">
        <v>2135866</v>
      </c>
      <c r="G103" s="64"/>
    </row>
    <row r="104" spans="1:7" ht="12.75" customHeight="1">
      <c r="A104" s="45"/>
      <c r="B104" s="55"/>
      <c r="C104" s="45"/>
      <c r="D104" s="45"/>
      <c r="E104" s="74" t="s">
        <v>163</v>
      </c>
      <c r="F104" s="101">
        <v>10296378</v>
      </c>
      <c r="G104" s="64"/>
    </row>
    <row r="105" spans="1:7" ht="12.75" customHeight="1">
      <c r="A105" s="45"/>
      <c r="B105" s="55"/>
      <c r="C105" s="45"/>
      <c r="D105" s="45"/>
      <c r="E105" s="74" t="s">
        <v>97</v>
      </c>
      <c r="F105" s="100">
        <v>11861233</v>
      </c>
      <c r="G105" s="64"/>
    </row>
    <row r="106" spans="1:7" ht="12.75" customHeight="1">
      <c r="A106" s="45"/>
      <c r="B106" s="55"/>
      <c r="C106" s="45"/>
      <c r="D106" s="45"/>
      <c r="E106" s="78"/>
      <c r="F106" s="63" t="s">
        <v>0</v>
      </c>
      <c r="G106" s="64"/>
    </row>
    <row r="107" spans="1:7" ht="12.75" customHeight="1">
      <c r="A107" s="80"/>
      <c r="B107" s="58" t="s">
        <v>39</v>
      </c>
      <c r="C107" s="81"/>
      <c r="D107" s="81"/>
      <c r="E107" s="74"/>
      <c r="F107" s="63" t="s">
        <v>0</v>
      </c>
      <c r="G107" s="82">
        <f>G19+G35</f>
        <v>-701464019</v>
      </c>
    </row>
    <row r="108" spans="1:7" ht="12.75" customHeight="1">
      <c r="A108" s="45"/>
      <c r="B108" s="83" t="s">
        <v>40</v>
      </c>
      <c r="C108" s="45"/>
      <c r="D108" s="45"/>
      <c r="E108" s="78"/>
      <c r="F108" s="63" t="s">
        <v>0</v>
      </c>
      <c r="G108" s="84"/>
    </row>
    <row r="109" spans="2:7" ht="12" customHeight="1">
      <c r="B109" s="85"/>
      <c r="E109" s="72"/>
      <c r="F109" s="63" t="s">
        <v>0</v>
      </c>
      <c r="G109" s="84"/>
    </row>
    <row r="110" spans="2:7" ht="12" customHeight="1">
      <c r="B110" s="58" t="s">
        <v>87</v>
      </c>
      <c r="C110" s="67"/>
      <c r="D110" s="67"/>
      <c r="E110" s="86"/>
      <c r="F110" s="69"/>
      <c r="G110" s="87">
        <f>SUM(F112:F114)</f>
        <v>-23949822</v>
      </c>
    </row>
    <row r="111" spans="2:7" ht="12">
      <c r="B111" s="85"/>
      <c r="E111" s="72"/>
      <c r="F111" s="63"/>
      <c r="G111" s="84"/>
    </row>
    <row r="112" spans="2:7" ht="12">
      <c r="B112" s="55"/>
      <c r="C112" s="45" t="s">
        <v>84</v>
      </c>
      <c r="D112" s="45"/>
      <c r="E112" s="72"/>
      <c r="F112" s="60">
        <v>0</v>
      </c>
      <c r="G112" s="84"/>
    </row>
    <row r="113" spans="2:7" ht="12">
      <c r="B113" s="85"/>
      <c r="C113" s="45" t="s">
        <v>85</v>
      </c>
      <c r="E113" s="72"/>
      <c r="F113" s="63">
        <v>-24859127</v>
      </c>
      <c r="G113" s="84"/>
    </row>
    <row r="114" spans="2:7" ht="12">
      <c r="B114" s="85"/>
      <c r="C114" s="45" t="s">
        <v>86</v>
      </c>
      <c r="E114" s="72"/>
      <c r="F114" s="63">
        <f>69500+839805</f>
        <v>909305</v>
      </c>
      <c r="G114" s="84"/>
    </row>
    <row r="115" spans="2:7" ht="12">
      <c r="B115" s="85"/>
      <c r="E115" s="72"/>
      <c r="F115" s="63"/>
      <c r="G115" s="84"/>
    </row>
    <row r="116" spans="2:7" ht="12">
      <c r="B116" s="58" t="s">
        <v>88</v>
      </c>
      <c r="C116" s="67"/>
      <c r="D116" s="67"/>
      <c r="E116" s="86"/>
      <c r="F116" s="69">
        <v>0</v>
      </c>
      <c r="G116" s="87">
        <v>0</v>
      </c>
    </row>
    <row r="117" spans="2:7" ht="12">
      <c r="B117" s="85"/>
      <c r="E117" s="72"/>
      <c r="F117" s="63"/>
      <c r="G117" s="84"/>
    </row>
    <row r="118" spans="2:7" ht="12">
      <c r="B118" s="58" t="s">
        <v>83</v>
      </c>
      <c r="C118" s="67"/>
      <c r="D118" s="67"/>
      <c r="E118" s="86"/>
      <c r="F118" s="69"/>
      <c r="G118" s="87">
        <f>SUM(F120:F121)</f>
        <v>30440110</v>
      </c>
    </row>
    <row r="119" spans="2:7" ht="12">
      <c r="B119" s="85"/>
      <c r="E119" s="72"/>
      <c r="F119" s="63"/>
      <c r="G119" s="84"/>
    </row>
    <row r="120" spans="2:7" ht="12">
      <c r="B120" s="85"/>
      <c r="C120" s="45" t="s">
        <v>89</v>
      </c>
      <c r="E120" s="72"/>
      <c r="F120" s="63">
        <f>-1902000-6633200</f>
        <v>-8535200</v>
      </c>
      <c r="G120" s="84"/>
    </row>
    <row r="121" spans="2:7" ht="12">
      <c r="B121" s="85"/>
      <c r="C121" s="45" t="s">
        <v>90</v>
      </c>
      <c r="E121" s="72"/>
      <c r="F121" s="63">
        <f>35734799+3240511</f>
        <v>38975310</v>
      </c>
      <c r="G121" s="84"/>
    </row>
    <row r="122" spans="2:7" ht="12">
      <c r="B122" s="85"/>
      <c r="E122" s="72"/>
      <c r="F122" s="63"/>
      <c r="G122" s="84"/>
    </row>
    <row r="123" spans="2:7" ht="12">
      <c r="B123" s="88" t="s">
        <v>91</v>
      </c>
      <c r="C123" s="68"/>
      <c r="D123" s="68"/>
      <c r="E123" s="86"/>
      <c r="F123" s="63">
        <v>103633318</v>
      </c>
      <c r="G123" s="87">
        <f>F123</f>
        <v>103633318</v>
      </c>
    </row>
    <row r="124" spans="2:7" ht="12">
      <c r="B124" s="85"/>
      <c r="E124" s="72"/>
      <c r="F124" s="63"/>
      <c r="G124" s="84"/>
    </row>
    <row r="125" spans="2:7" ht="12.75">
      <c r="B125" s="58"/>
      <c r="E125" s="89" t="s">
        <v>92</v>
      </c>
      <c r="F125" s="63"/>
      <c r="G125" s="90">
        <f>G107-G110-G116-G118-G123</f>
        <v>-811587625</v>
      </c>
    </row>
    <row r="126" spans="2:7" ht="12">
      <c r="B126" s="91"/>
      <c r="C126" s="92"/>
      <c r="D126" s="92"/>
      <c r="E126" s="93"/>
      <c r="F126" s="94"/>
      <c r="G126" s="95"/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85" r:id="rId1"/>
  <rowBreaks count="1" manualBreakCount="1">
    <brk id="5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58">
      <selection activeCell="F78" sqref="F78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118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44327368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42419819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131</v>
      </c>
      <c r="F21" s="62">
        <v>42419819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0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SUM(F28:F29)</f>
        <v>1907549</v>
      </c>
      <c r="G27" s="64"/>
    </row>
    <row r="28" spans="1:7" ht="12.75" customHeight="1">
      <c r="A28" s="45"/>
      <c r="B28" s="55"/>
      <c r="C28" s="45"/>
      <c r="D28" s="45" t="s">
        <v>30</v>
      </c>
      <c r="E28" s="46" t="s">
        <v>139</v>
      </c>
      <c r="F28" s="104">
        <v>1880049</v>
      </c>
      <c r="G28" s="64"/>
    </row>
    <row r="29" spans="1:7" ht="12.75" customHeight="1">
      <c r="A29" s="45"/>
      <c r="B29" s="55"/>
      <c r="C29" s="45"/>
      <c r="D29" s="65" t="s">
        <v>30</v>
      </c>
      <c r="E29" s="46" t="s">
        <v>57</v>
      </c>
      <c r="F29" s="62">
        <v>27500</v>
      </c>
      <c r="G29" s="66"/>
    </row>
    <row r="30" spans="1:7" ht="12.75" customHeight="1">
      <c r="A30" s="45"/>
      <c r="B30" s="55"/>
      <c r="C30" s="45"/>
      <c r="D30" s="45"/>
      <c r="E30" s="45"/>
      <c r="F30" s="63"/>
      <c r="G30" s="64"/>
    </row>
    <row r="31" spans="1:7" s="71" customFormat="1" ht="12.75" customHeight="1">
      <c r="A31" s="67"/>
      <c r="B31" s="58" t="s">
        <v>16</v>
      </c>
      <c r="C31" s="67"/>
      <c r="D31" s="67"/>
      <c r="E31" s="68"/>
      <c r="F31" s="69"/>
      <c r="G31" s="70">
        <f>-(F33+F36+F44+F45+F51+F58+F59+F60+F61)</f>
        <v>-43778095</v>
      </c>
    </row>
    <row r="32" spans="1:7" ht="12.75" customHeight="1">
      <c r="A32" s="45"/>
      <c r="B32" s="55"/>
      <c r="C32" s="45" t="s">
        <v>17</v>
      </c>
      <c r="D32" s="45"/>
      <c r="F32" s="63" t="s">
        <v>0</v>
      </c>
      <c r="G32" s="64"/>
    </row>
    <row r="33" spans="1:7" ht="12.75" customHeight="1">
      <c r="A33" s="45"/>
      <c r="B33" s="55"/>
      <c r="D33" s="45" t="s">
        <v>18</v>
      </c>
      <c r="E33" s="72"/>
      <c r="F33" s="98">
        <f>SUM(F34:F35)</f>
        <v>8739874</v>
      </c>
      <c r="G33" s="64"/>
    </row>
    <row r="34" spans="1:7" ht="12.75" customHeight="1">
      <c r="A34" s="45"/>
      <c r="B34" s="55"/>
      <c r="C34" s="45"/>
      <c r="D34" s="45"/>
      <c r="E34" s="74" t="s">
        <v>80</v>
      </c>
      <c r="F34" s="73">
        <v>8652275</v>
      </c>
      <c r="G34" s="64"/>
    </row>
    <row r="35" spans="1:7" ht="12.75" customHeight="1">
      <c r="A35" s="45"/>
      <c r="B35" s="55"/>
      <c r="D35" s="45"/>
      <c r="E35" s="72" t="s">
        <v>96</v>
      </c>
      <c r="F35" s="99">
        <f>51275+36324</f>
        <v>87599</v>
      </c>
      <c r="G35" s="64"/>
    </row>
    <row r="36" spans="1:7" ht="12.75" customHeight="1">
      <c r="A36" s="45"/>
      <c r="B36" s="55"/>
      <c r="C36" s="45" t="s">
        <v>19</v>
      </c>
      <c r="D36" s="45"/>
      <c r="E36" s="72"/>
      <c r="F36" s="98">
        <f>SUM(F37:F43)</f>
        <v>22833856</v>
      </c>
      <c r="G36" s="64"/>
    </row>
    <row r="37" spans="1:7" ht="12.75" customHeight="1">
      <c r="A37" s="45"/>
      <c r="B37" s="55"/>
      <c r="C37" s="45"/>
      <c r="D37" s="45"/>
      <c r="E37" s="74" t="s">
        <v>49</v>
      </c>
      <c r="F37" s="73">
        <v>5150000</v>
      </c>
      <c r="G37" s="64"/>
    </row>
    <row r="38" spans="1:7" ht="12.75" customHeight="1">
      <c r="A38" s="45"/>
      <c r="B38" s="55"/>
      <c r="C38" s="45"/>
      <c r="D38" s="45"/>
      <c r="E38" s="74" t="s">
        <v>169</v>
      </c>
      <c r="F38" s="73">
        <v>8060234</v>
      </c>
      <c r="G38" s="64"/>
    </row>
    <row r="39" spans="1:7" ht="12.75" customHeight="1">
      <c r="A39" s="45"/>
      <c r="B39" s="55"/>
      <c r="C39" s="45"/>
      <c r="D39" s="45"/>
      <c r="E39" s="74" t="s">
        <v>189</v>
      </c>
      <c r="F39" s="73">
        <v>1140804</v>
      </c>
      <c r="G39" s="64"/>
    </row>
    <row r="40" spans="1:7" ht="12.75" customHeight="1">
      <c r="A40" s="45"/>
      <c r="B40" s="55"/>
      <c r="C40" s="45"/>
      <c r="D40" s="45"/>
      <c r="E40" s="74" t="s">
        <v>154</v>
      </c>
      <c r="F40" s="73">
        <v>254000</v>
      </c>
      <c r="G40" s="64"/>
    </row>
    <row r="41" spans="1:7" ht="12.75" customHeight="1">
      <c r="A41" s="45"/>
      <c r="B41" s="55"/>
      <c r="C41" s="45"/>
      <c r="D41" s="45"/>
      <c r="E41" s="74" t="s">
        <v>50</v>
      </c>
      <c r="F41" s="73">
        <v>4568050</v>
      </c>
      <c r="G41" s="64"/>
    </row>
    <row r="42" spans="1:7" ht="12.75" customHeight="1">
      <c r="A42" s="45"/>
      <c r="B42" s="55"/>
      <c r="C42" s="45"/>
      <c r="D42" s="45"/>
      <c r="E42" s="74" t="s">
        <v>81</v>
      </c>
      <c r="F42" s="73">
        <v>1300000</v>
      </c>
      <c r="G42" s="64"/>
    </row>
    <row r="43" spans="1:7" ht="12.75" customHeight="1">
      <c r="A43" s="45"/>
      <c r="B43" s="55"/>
      <c r="C43" s="45"/>
      <c r="D43" s="45"/>
      <c r="E43" s="74" t="s">
        <v>97</v>
      </c>
      <c r="F43" s="73">
        <f>1569559+791209</f>
        <v>2360768</v>
      </c>
      <c r="G43" s="64"/>
    </row>
    <row r="44" spans="1:7" ht="12.75" customHeight="1">
      <c r="A44" s="45"/>
      <c r="B44" s="55"/>
      <c r="C44" s="45" t="s">
        <v>20</v>
      </c>
      <c r="D44" s="45"/>
      <c r="E44" s="72"/>
      <c r="F44" s="60">
        <v>0</v>
      </c>
      <c r="G44" s="64"/>
    </row>
    <row r="45" spans="1:7" ht="12.75" customHeight="1">
      <c r="A45" s="45"/>
      <c r="B45" s="55"/>
      <c r="C45" s="45" t="s">
        <v>21</v>
      </c>
      <c r="D45" s="45"/>
      <c r="E45" s="72"/>
      <c r="F45" s="98">
        <f>SUM(F46:F50)</f>
        <v>2968758</v>
      </c>
      <c r="G45" s="64"/>
    </row>
    <row r="46" spans="1:7" ht="12.75" customHeight="1">
      <c r="A46" s="45"/>
      <c r="B46" s="55"/>
      <c r="D46" s="75" t="s">
        <v>22</v>
      </c>
      <c r="E46" s="76"/>
      <c r="F46" s="73">
        <v>2191246</v>
      </c>
      <c r="G46" s="64"/>
    </row>
    <row r="47" spans="1:7" ht="12.75" customHeight="1">
      <c r="A47" s="45"/>
      <c r="B47" s="55"/>
      <c r="D47" s="75" t="s">
        <v>23</v>
      </c>
      <c r="E47" s="76"/>
      <c r="F47" s="73">
        <f>504367+5852</f>
        <v>510219</v>
      </c>
      <c r="G47" s="64"/>
    </row>
    <row r="48" spans="1:7" ht="12.75" customHeight="1">
      <c r="A48" s="45"/>
      <c r="B48" s="55"/>
      <c r="D48" s="75" t="s">
        <v>24</v>
      </c>
      <c r="E48" s="76"/>
      <c r="F48" s="73">
        <v>228691</v>
      </c>
      <c r="G48" s="64"/>
    </row>
    <row r="49" spans="1:7" ht="12.75" customHeight="1">
      <c r="A49" s="45"/>
      <c r="B49" s="55"/>
      <c r="D49" s="75" t="s">
        <v>25</v>
      </c>
      <c r="E49" s="76"/>
      <c r="F49" s="73">
        <v>0</v>
      </c>
      <c r="G49" s="64"/>
    </row>
    <row r="50" spans="1:7" ht="12.75" customHeight="1">
      <c r="A50" s="45"/>
      <c r="B50" s="55"/>
      <c r="D50" s="75" t="s">
        <v>166</v>
      </c>
      <c r="E50" s="76"/>
      <c r="F50" s="73">
        <v>38602</v>
      </c>
      <c r="G50" s="64"/>
    </row>
    <row r="51" spans="1:7" ht="12.75" customHeight="1">
      <c r="A51" s="45"/>
      <c r="B51" s="55"/>
      <c r="C51" s="45" t="s">
        <v>27</v>
      </c>
      <c r="D51" s="45"/>
      <c r="E51" s="72"/>
      <c r="F51" s="98">
        <f>SUM(F52:F56)</f>
        <v>9150131</v>
      </c>
      <c r="G51" s="64"/>
    </row>
    <row r="52" spans="1:7" ht="12.75" customHeight="1">
      <c r="A52" s="45"/>
      <c r="B52" s="55"/>
      <c r="C52" s="45"/>
      <c r="D52" s="75" t="s">
        <v>28</v>
      </c>
      <c r="E52" s="76"/>
      <c r="F52" s="73">
        <v>43650</v>
      </c>
      <c r="G52" s="64"/>
    </row>
    <row r="53" spans="1:7" ht="12.75" customHeight="1">
      <c r="A53" s="45"/>
      <c r="B53" s="55"/>
      <c r="D53" s="75" t="s">
        <v>29</v>
      </c>
      <c r="E53" s="77"/>
      <c r="F53" s="73">
        <f>111694+8981367</f>
        <v>9093061</v>
      </c>
      <c r="G53" s="64"/>
    </row>
    <row r="54" spans="1:7" ht="12.75" customHeight="1">
      <c r="A54" s="45"/>
      <c r="B54" s="55"/>
      <c r="D54" s="75" t="s">
        <v>31</v>
      </c>
      <c r="E54" s="76"/>
      <c r="F54" s="73">
        <v>0</v>
      </c>
      <c r="G54" s="64"/>
    </row>
    <row r="55" spans="1:7" ht="12.75" customHeight="1">
      <c r="A55" s="45"/>
      <c r="B55" s="55"/>
      <c r="D55" s="75" t="s">
        <v>32</v>
      </c>
      <c r="E55" s="76"/>
      <c r="F55" s="73"/>
      <c r="G55" s="64"/>
    </row>
    <row r="56" spans="1:7" ht="12.75" customHeight="1">
      <c r="A56" s="45"/>
      <c r="B56" s="55"/>
      <c r="D56" s="75"/>
      <c r="E56" s="77" t="s">
        <v>33</v>
      </c>
      <c r="F56" s="73">
        <v>13420</v>
      </c>
      <c r="G56" s="64"/>
    </row>
    <row r="57" spans="1:7" ht="12.75" customHeight="1">
      <c r="A57" s="45"/>
      <c r="B57" s="55"/>
      <c r="C57" s="45" t="s">
        <v>34</v>
      </c>
      <c r="D57" s="45"/>
      <c r="E57" s="72"/>
      <c r="F57" s="63"/>
      <c r="G57" s="64"/>
    </row>
    <row r="58" spans="1:7" ht="12.75" customHeight="1">
      <c r="A58" s="45"/>
      <c r="B58" s="55"/>
      <c r="D58" s="45"/>
      <c r="E58" s="78" t="s">
        <v>35</v>
      </c>
      <c r="F58" s="63">
        <v>0</v>
      </c>
      <c r="G58" s="64"/>
    </row>
    <row r="59" spans="1:7" ht="12.75" customHeight="1">
      <c r="A59" s="45"/>
      <c r="B59" s="55"/>
      <c r="C59" s="45" t="s">
        <v>36</v>
      </c>
      <c r="D59" s="45"/>
      <c r="E59" s="72"/>
      <c r="F59" s="63">
        <v>0</v>
      </c>
      <c r="G59" s="64"/>
    </row>
    <row r="60" spans="1:7" ht="12.75" customHeight="1">
      <c r="A60" s="45"/>
      <c r="B60" s="55"/>
      <c r="C60" s="45" t="s">
        <v>37</v>
      </c>
      <c r="D60" s="45"/>
      <c r="E60" s="72"/>
      <c r="F60" s="63">
        <v>0</v>
      </c>
      <c r="G60" s="64"/>
    </row>
    <row r="61" spans="1:7" ht="12.75" customHeight="1">
      <c r="A61" s="45"/>
      <c r="B61" s="55"/>
      <c r="C61" s="45" t="s">
        <v>38</v>
      </c>
      <c r="D61" s="45"/>
      <c r="E61" s="72"/>
      <c r="F61" s="63">
        <f>SUM(F62:F62)</f>
        <v>85476</v>
      </c>
      <c r="G61" s="64"/>
    </row>
    <row r="62" spans="1:7" ht="12.75" customHeight="1">
      <c r="A62" s="45"/>
      <c r="B62" s="55"/>
      <c r="C62" s="45"/>
      <c r="D62" s="45"/>
      <c r="E62" s="74" t="s">
        <v>97</v>
      </c>
      <c r="F62" s="100">
        <v>85476</v>
      </c>
      <c r="G62" s="64"/>
    </row>
    <row r="63" spans="1:7" ht="12.75" customHeight="1">
      <c r="A63" s="45"/>
      <c r="B63" s="55"/>
      <c r="C63" s="45"/>
      <c r="D63" s="45"/>
      <c r="E63" s="78"/>
      <c r="F63" s="63" t="s">
        <v>0</v>
      </c>
      <c r="G63" s="64"/>
    </row>
    <row r="64" spans="1:7" ht="12.75" customHeight="1">
      <c r="A64" s="80"/>
      <c r="B64" s="58" t="s">
        <v>39</v>
      </c>
      <c r="C64" s="81"/>
      <c r="D64" s="81"/>
      <c r="E64" s="74"/>
      <c r="F64" s="63" t="s">
        <v>0</v>
      </c>
      <c r="G64" s="82">
        <f>G19+G31</f>
        <v>549273</v>
      </c>
    </row>
    <row r="65" spans="1:7" ht="12.75" customHeight="1">
      <c r="A65" s="45"/>
      <c r="B65" s="83" t="s">
        <v>40</v>
      </c>
      <c r="C65" s="45"/>
      <c r="D65" s="45"/>
      <c r="E65" s="78"/>
      <c r="F65" s="63" t="s">
        <v>0</v>
      </c>
      <c r="G65" s="84"/>
    </row>
    <row r="66" spans="2:7" ht="12" customHeight="1">
      <c r="B66" s="85"/>
      <c r="E66" s="72"/>
      <c r="F66" s="63" t="s">
        <v>0</v>
      </c>
      <c r="G66" s="84"/>
    </row>
    <row r="67" spans="2:7" ht="12" customHeight="1">
      <c r="B67" s="58" t="s">
        <v>87</v>
      </c>
      <c r="C67" s="67"/>
      <c r="D67" s="67"/>
      <c r="E67" s="86"/>
      <c r="F67" s="69"/>
      <c r="G67" s="87">
        <f>SUM(F69:F71)</f>
        <v>-173090</v>
      </c>
    </row>
    <row r="68" spans="2:7" ht="12">
      <c r="B68" s="85"/>
      <c r="E68" s="72"/>
      <c r="F68" s="63"/>
      <c r="G68" s="84"/>
    </row>
    <row r="69" spans="2:7" ht="12">
      <c r="B69" s="55"/>
      <c r="C69" s="45" t="s">
        <v>84</v>
      </c>
      <c r="D69" s="45"/>
      <c r="E69" s="72"/>
      <c r="F69" s="60">
        <v>0</v>
      </c>
      <c r="G69" s="84"/>
    </row>
    <row r="70" spans="2:7" ht="12">
      <c r="B70" s="85"/>
      <c r="C70" s="45" t="s">
        <v>85</v>
      </c>
      <c r="E70" s="72"/>
      <c r="F70" s="63">
        <v>-179142</v>
      </c>
      <c r="G70" s="84"/>
    </row>
    <row r="71" spans="2:7" ht="12">
      <c r="B71" s="85"/>
      <c r="C71" s="45" t="s">
        <v>86</v>
      </c>
      <c r="E71" s="72"/>
      <c r="F71" s="63">
        <v>6052</v>
      </c>
      <c r="G71" s="84"/>
    </row>
    <row r="72" spans="2:7" ht="12">
      <c r="B72" s="85"/>
      <c r="E72" s="72"/>
      <c r="F72" s="63"/>
      <c r="G72" s="84"/>
    </row>
    <row r="73" spans="2:7" ht="12">
      <c r="B73" s="58" t="s">
        <v>88</v>
      </c>
      <c r="C73" s="67"/>
      <c r="D73" s="67"/>
      <c r="E73" s="86"/>
      <c r="F73" s="69">
        <v>0</v>
      </c>
      <c r="G73" s="87">
        <v>0</v>
      </c>
    </row>
    <row r="74" spans="2:7" ht="12">
      <c r="B74" s="85"/>
      <c r="E74" s="72"/>
      <c r="F74" s="63"/>
      <c r="G74" s="84"/>
    </row>
    <row r="75" spans="2:7" ht="12">
      <c r="B75" s="58" t="s">
        <v>83</v>
      </c>
      <c r="C75" s="67"/>
      <c r="D75" s="67"/>
      <c r="E75" s="86"/>
      <c r="F75" s="69"/>
      <c r="G75" s="87">
        <f>SUM(F77:F78)</f>
        <v>-24450</v>
      </c>
    </row>
    <row r="76" spans="2:7" ht="12">
      <c r="B76" s="85"/>
      <c r="E76" s="72"/>
      <c r="F76" s="63"/>
      <c r="G76" s="84"/>
    </row>
    <row r="77" spans="2:7" ht="12">
      <c r="B77" s="85"/>
      <c r="C77" s="45" t="s">
        <v>89</v>
      </c>
      <c r="E77" s="72"/>
      <c r="F77" s="63">
        <v>-47802</v>
      </c>
      <c r="G77" s="84"/>
    </row>
    <row r="78" spans="2:7" ht="12">
      <c r="B78" s="85"/>
      <c r="C78" s="45" t="s">
        <v>90</v>
      </c>
      <c r="E78" s="72"/>
      <c r="F78" s="63">
        <v>23352</v>
      </c>
      <c r="G78" s="84"/>
    </row>
    <row r="79" spans="2:7" ht="12">
      <c r="B79" s="85"/>
      <c r="E79" s="72"/>
      <c r="F79" s="63"/>
      <c r="G79" s="84"/>
    </row>
    <row r="80" spans="2:7" ht="12">
      <c r="B80" s="88" t="s">
        <v>91</v>
      </c>
      <c r="C80" s="68"/>
      <c r="D80" s="68"/>
      <c r="E80" s="86"/>
      <c r="F80" s="63">
        <v>746813</v>
      </c>
      <c r="G80" s="87">
        <f>F80</f>
        <v>746813</v>
      </c>
    </row>
    <row r="81" spans="2:7" ht="12">
      <c r="B81" s="85"/>
      <c r="E81" s="72"/>
      <c r="F81" s="63"/>
      <c r="G81" s="84"/>
    </row>
    <row r="82" spans="2:7" ht="12.75">
      <c r="B82" s="58"/>
      <c r="E82" s="89" t="s">
        <v>92</v>
      </c>
      <c r="F82" s="63"/>
      <c r="G82" s="90">
        <f>G64-G67-G73-G75-G80</f>
        <v>0</v>
      </c>
    </row>
    <row r="83" spans="2:7" ht="12">
      <c r="B83" s="91"/>
      <c r="C83" s="92"/>
      <c r="D83" s="92"/>
      <c r="E83" s="93"/>
      <c r="F83" s="94"/>
      <c r="G83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G14" sqref="G14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119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F20+F24+F25+F26+F28</f>
        <v>390715500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SUM(F21:F22)</f>
        <v>158819935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190</v>
      </c>
      <c r="F21" s="104">
        <v>54653268</v>
      </c>
      <c r="G21" s="61"/>
    </row>
    <row r="22" spans="1:7" ht="12.75" customHeight="1">
      <c r="A22" s="45"/>
      <c r="B22" s="55"/>
      <c r="C22" s="45"/>
      <c r="D22" s="45" t="s">
        <v>30</v>
      </c>
      <c r="E22" s="46" t="s">
        <v>130</v>
      </c>
      <c r="F22" s="62">
        <v>104166667</v>
      </c>
      <c r="G22" s="61"/>
    </row>
    <row r="23" spans="1:7" ht="12.75" customHeight="1">
      <c r="A23" s="45"/>
      <c r="B23" s="55"/>
      <c r="C23" s="45" t="s">
        <v>8</v>
      </c>
      <c r="D23" s="45" t="s">
        <v>9</v>
      </c>
      <c r="F23" s="63"/>
      <c r="G23" s="61"/>
    </row>
    <row r="24" spans="1:7" ht="12.75" customHeight="1">
      <c r="A24" s="45"/>
      <c r="B24" s="55"/>
      <c r="C24" s="45"/>
      <c r="D24" s="45" t="s">
        <v>10</v>
      </c>
      <c r="F24" s="63">
        <v>0</v>
      </c>
      <c r="G24" s="61"/>
    </row>
    <row r="25" spans="1:7" ht="12.75" customHeight="1">
      <c r="A25" s="45"/>
      <c r="B25" s="55"/>
      <c r="C25" s="45" t="s">
        <v>11</v>
      </c>
      <c r="D25" s="45" t="s">
        <v>12</v>
      </c>
      <c r="F25" s="63">
        <v>0</v>
      </c>
      <c r="G25" s="61"/>
    </row>
    <row r="26" spans="1:7" ht="12.75" customHeight="1">
      <c r="A26" s="45"/>
      <c r="B26" s="55"/>
      <c r="C26" s="45" t="s">
        <v>13</v>
      </c>
      <c r="D26" s="45"/>
      <c r="F26" s="63">
        <v>0</v>
      </c>
      <c r="G26" s="61"/>
    </row>
    <row r="27" spans="1:7" ht="12.75" customHeight="1">
      <c r="A27" s="45"/>
      <c r="B27" s="55"/>
      <c r="C27" s="45" t="s">
        <v>14</v>
      </c>
      <c r="D27" s="45"/>
      <c r="F27" s="63" t="s">
        <v>0</v>
      </c>
      <c r="G27" s="64"/>
    </row>
    <row r="28" spans="1:7" ht="12.75" customHeight="1">
      <c r="A28" s="45"/>
      <c r="B28" s="55"/>
      <c r="C28" s="45"/>
      <c r="D28" s="45" t="s">
        <v>15</v>
      </c>
      <c r="F28" s="60">
        <f>SUM(F29:F31)</f>
        <v>231895565</v>
      </c>
      <c r="G28" s="64"/>
    </row>
    <row r="29" spans="1:7" ht="12.75" customHeight="1">
      <c r="A29" s="45"/>
      <c r="B29" s="55"/>
      <c r="C29" s="45"/>
      <c r="D29" s="65" t="s">
        <v>30</v>
      </c>
      <c r="E29" s="46" t="s">
        <v>56</v>
      </c>
      <c r="F29" s="62">
        <v>138452000</v>
      </c>
      <c r="G29" s="66"/>
    </row>
    <row r="30" spans="1:7" ht="12.75" customHeight="1">
      <c r="A30" s="45"/>
      <c r="B30" s="55"/>
      <c r="C30" s="45"/>
      <c r="D30" s="65" t="s">
        <v>30</v>
      </c>
      <c r="E30" s="46" t="s">
        <v>139</v>
      </c>
      <c r="F30" s="62">
        <f>66666667+18448148</f>
        <v>85114815</v>
      </c>
      <c r="G30" s="66"/>
    </row>
    <row r="31" spans="1:7" ht="12.75" customHeight="1">
      <c r="A31" s="45"/>
      <c r="B31" s="55"/>
      <c r="C31" s="45"/>
      <c r="D31" s="65" t="s">
        <v>30</v>
      </c>
      <c r="E31" s="46" t="s">
        <v>133</v>
      </c>
      <c r="F31" s="62">
        <v>8328750</v>
      </c>
      <c r="G31" s="66"/>
    </row>
    <row r="32" spans="1:7" ht="12.75" customHeight="1">
      <c r="A32" s="45"/>
      <c r="B32" s="55"/>
      <c r="C32" s="45"/>
      <c r="D32" s="45"/>
      <c r="E32" s="45"/>
      <c r="F32" s="63"/>
      <c r="G32" s="64"/>
    </row>
    <row r="33" spans="1:7" s="71" customFormat="1" ht="12.75" customHeight="1">
      <c r="A33" s="67"/>
      <c r="B33" s="58" t="s">
        <v>16</v>
      </c>
      <c r="C33" s="67"/>
      <c r="D33" s="67"/>
      <c r="E33" s="68"/>
      <c r="F33" s="69"/>
      <c r="G33" s="70">
        <f>-(F35+F41+F54+F55+F61+F68+F69+F70+F71)</f>
        <v>-429576495</v>
      </c>
    </row>
    <row r="34" spans="1:7" ht="12.75" customHeight="1">
      <c r="A34" s="45"/>
      <c r="B34" s="55"/>
      <c r="C34" s="45" t="s">
        <v>17</v>
      </c>
      <c r="D34" s="45"/>
      <c r="F34" s="63" t="s">
        <v>0</v>
      </c>
      <c r="G34" s="64"/>
    </row>
    <row r="35" spans="1:7" ht="12.75" customHeight="1">
      <c r="A35" s="45"/>
      <c r="B35" s="55"/>
      <c r="D35" s="45" t="s">
        <v>18</v>
      </c>
      <c r="E35" s="72"/>
      <c r="F35" s="98">
        <f>SUM(F36:F40)</f>
        <v>52291903</v>
      </c>
      <c r="G35" s="64"/>
    </row>
    <row r="36" spans="1:7" ht="12.75" customHeight="1">
      <c r="A36" s="45"/>
      <c r="B36" s="55"/>
      <c r="D36" s="45"/>
      <c r="E36" s="72" t="s">
        <v>111</v>
      </c>
      <c r="F36" s="73">
        <v>338051</v>
      </c>
      <c r="G36" s="64"/>
    </row>
    <row r="37" spans="1:7" ht="12.75" customHeight="1">
      <c r="A37" s="45"/>
      <c r="B37" s="55"/>
      <c r="D37" s="45"/>
      <c r="E37" s="72" t="s">
        <v>95</v>
      </c>
      <c r="F37" s="73">
        <v>159845</v>
      </c>
      <c r="G37" s="64"/>
    </row>
    <row r="38" spans="1:7" ht="12.75" customHeight="1">
      <c r="A38" s="45"/>
      <c r="B38" s="55"/>
      <c r="D38" s="45"/>
      <c r="E38" s="74" t="s">
        <v>45</v>
      </c>
      <c r="F38" s="73">
        <v>378300</v>
      </c>
      <c r="G38" s="64"/>
    </row>
    <row r="39" spans="1:7" ht="12.75" customHeight="1">
      <c r="A39" s="45"/>
      <c r="B39" s="55"/>
      <c r="D39" s="45"/>
      <c r="E39" s="72" t="s">
        <v>60</v>
      </c>
      <c r="F39" s="73">
        <v>50556135</v>
      </c>
      <c r="G39" s="64"/>
    </row>
    <row r="40" spans="1:7" ht="12.75" customHeight="1">
      <c r="A40" s="45"/>
      <c r="B40" s="55"/>
      <c r="D40" s="45"/>
      <c r="E40" s="72" t="s">
        <v>96</v>
      </c>
      <c r="F40" s="99">
        <f>503143+356429</f>
        <v>859572</v>
      </c>
      <c r="G40" s="64"/>
    </row>
    <row r="41" spans="1:7" ht="12.75" customHeight="1">
      <c r="A41" s="45"/>
      <c r="B41" s="55"/>
      <c r="C41" s="45" t="s">
        <v>19</v>
      </c>
      <c r="D41" s="45"/>
      <c r="E41" s="72"/>
      <c r="F41" s="98">
        <f>SUM(F42:F53)</f>
        <v>281961633</v>
      </c>
      <c r="G41" s="64"/>
    </row>
    <row r="42" spans="1:7" ht="12.75" customHeight="1">
      <c r="A42" s="45"/>
      <c r="B42" s="55"/>
      <c r="C42" s="45"/>
      <c r="D42" s="45"/>
      <c r="E42" s="74" t="s">
        <v>47</v>
      </c>
      <c r="F42" s="73">
        <v>5222794</v>
      </c>
      <c r="G42" s="64"/>
    </row>
    <row r="43" spans="1:7" s="1" customFormat="1" ht="12.75" customHeight="1">
      <c r="A43" s="105"/>
      <c r="B43" s="106"/>
      <c r="C43" s="105"/>
      <c r="D43" s="105"/>
      <c r="E43" s="107" t="s">
        <v>46</v>
      </c>
      <c r="F43" s="108">
        <v>-1013306</v>
      </c>
      <c r="G43" s="109"/>
    </row>
    <row r="44" spans="1:7" ht="12.75" customHeight="1">
      <c r="A44" s="45"/>
      <c r="B44" s="55"/>
      <c r="C44" s="45"/>
      <c r="D44" s="45"/>
      <c r="E44" s="74" t="s">
        <v>54</v>
      </c>
      <c r="F44" s="73">
        <v>3364960</v>
      </c>
      <c r="G44" s="64"/>
    </row>
    <row r="45" spans="1:7" ht="12.75" customHeight="1">
      <c r="A45" s="45"/>
      <c r="B45" s="55"/>
      <c r="C45" s="45"/>
      <c r="D45" s="45"/>
      <c r="E45" s="74" t="s">
        <v>49</v>
      </c>
      <c r="F45" s="73">
        <v>6120000</v>
      </c>
      <c r="G45" s="64"/>
    </row>
    <row r="46" spans="1:7" ht="12.75" customHeight="1">
      <c r="A46" s="45"/>
      <c r="B46" s="55"/>
      <c r="C46" s="45"/>
      <c r="D46" s="45"/>
      <c r="E46" s="74" t="s">
        <v>174</v>
      </c>
      <c r="F46" s="73">
        <f>8000000+1944400+201665</f>
        <v>10146065</v>
      </c>
      <c r="G46" s="64"/>
    </row>
    <row r="47" spans="1:7" ht="12.75" customHeight="1">
      <c r="A47" s="45"/>
      <c r="B47" s="55"/>
      <c r="C47" s="45"/>
      <c r="D47" s="45"/>
      <c r="E47" s="74" t="s">
        <v>140</v>
      </c>
      <c r="F47" s="73">
        <f>146205000+86590400</f>
        <v>232795400</v>
      </c>
      <c r="G47" s="64"/>
    </row>
    <row r="48" spans="1:7" ht="12.75" customHeight="1">
      <c r="A48" s="45"/>
      <c r="B48" s="55"/>
      <c r="C48" s="45"/>
      <c r="D48" s="45"/>
      <c r="E48" s="74" t="s">
        <v>50</v>
      </c>
      <c r="F48" s="73">
        <v>965718</v>
      </c>
      <c r="G48" s="64"/>
    </row>
    <row r="49" spans="1:7" ht="12.75" customHeight="1">
      <c r="A49" s="45"/>
      <c r="B49" s="55"/>
      <c r="C49" s="45"/>
      <c r="D49" s="45"/>
      <c r="E49" s="74" t="s">
        <v>48</v>
      </c>
      <c r="F49" s="73">
        <v>1500</v>
      </c>
      <c r="G49" s="64"/>
    </row>
    <row r="50" spans="1:7" ht="12.75" customHeight="1">
      <c r="A50" s="45"/>
      <c r="B50" s="55"/>
      <c r="C50" s="45"/>
      <c r="D50" s="45"/>
      <c r="E50" s="74" t="s">
        <v>191</v>
      </c>
      <c r="F50" s="73">
        <v>861174</v>
      </c>
      <c r="G50" s="64"/>
    </row>
    <row r="51" spans="1:7" ht="12.75" customHeight="1">
      <c r="A51" s="45"/>
      <c r="B51" s="55"/>
      <c r="C51" s="45"/>
      <c r="D51" s="45"/>
      <c r="E51" s="74" t="s">
        <v>192</v>
      </c>
      <c r="F51" s="73">
        <v>82082</v>
      </c>
      <c r="G51" s="64"/>
    </row>
    <row r="52" spans="1:7" ht="12.75" customHeight="1">
      <c r="A52" s="45"/>
      <c r="B52" s="55"/>
      <c r="C52" s="45"/>
      <c r="D52" s="45"/>
      <c r="E52" s="74" t="s">
        <v>143</v>
      </c>
      <c r="F52" s="73">
        <v>250000</v>
      </c>
      <c r="G52" s="64"/>
    </row>
    <row r="53" spans="1:7" ht="12.75" customHeight="1">
      <c r="A53" s="45"/>
      <c r="B53" s="55"/>
      <c r="C53" s="45"/>
      <c r="D53" s="45"/>
      <c r="E53" s="74" t="s">
        <v>97</v>
      </c>
      <c r="F53" s="73">
        <f>15401436+7763810</f>
        <v>23165246</v>
      </c>
      <c r="G53" s="64"/>
    </row>
    <row r="54" spans="1:7" ht="12.75" customHeight="1">
      <c r="A54" s="45"/>
      <c r="B54" s="55"/>
      <c r="C54" s="45" t="s">
        <v>20</v>
      </c>
      <c r="D54" s="45"/>
      <c r="E54" s="72"/>
      <c r="F54" s="60">
        <v>0</v>
      </c>
      <c r="G54" s="64"/>
    </row>
    <row r="55" spans="1:7" ht="12.75" customHeight="1">
      <c r="A55" s="45"/>
      <c r="B55" s="55"/>
      <c r="C55" s="45" t="s">
        <v>21</v>
      </c>
      <c r="D55" s="45"/>
      <c r="E55" s="72"/>
      <c r="F55" s="98">
        <f>SUM(F56:F60)</f>
        <v>58458751</v>
      </c>
      <c r="G55" s="64"/>
    </row>
    <row r="56" spans="1:7" ht="12.75" customHeight="1">
      <c r="A56" s="45"/>
      <c r="B56" s="55"/>
      <c r="D56" s="75" t="s">
        <v>22</v>
      </c>
      <c r="E56" s="76"/>
      <c r="F56" s="73">
        <f>18392599+21501801</f>
        <v>39894400</v>
      </c>
      <c r="G56" s="64"/>
    </row>
    <row r="57" spans="1:7" ht="12.75" customHeight="1">
      <c r="A57" s="45"/>
      <c r="B57" s="55"/>
      <c r="D57" s="75" t="s">
        <v>23</v>
      </c>
      <c r="E57" s="76"/>
      <c r="F57" s="73">
        <f>7807668+690049+4949145+57422</f>
        <v>13504284</v>
      </c>
      <c r="G57" s="64"/>
    </row>
    <row r="58" spans="1:7" ht="12.75" customHeight="1">
      <c r="A58" s="45"/>
      <c r="B58" s="55"/>
      <c r="D58" s="75" t="s">
        <v>24</v>
      </c>
      <c r="E58" s="76"/>
      <c r="F58" s="73">
        <f>2437234+2244050</f>
        <v>4681284</v>
      </c>
      <c r="G58" s="64"/>
    </row>
    <row r="59" spans="1:7" ht="12.75" customHeight="1">
      <c r="A59" s="45"/>
      <c r="B59" s="55"/>
      <c r="D59" s="75" t="s">
        <v>25</v>
      </c>
      <c r="E59" s="76"/>
      <c r="F59" s="73">
        <v>0</v>
      </c>
      <c r="G59" s="64"/>
    </row>
    <row r="60" spans="1:7" ht="12.75" customHeight="1">
      <c r="A60" s="45"/>
      <c r="B60" s="55"/>
      <c r="D60" s="75" t="s">
        <v>166</v>
      </c>
      <c r="E60" s="76"/>
      <c r="F60" s="73">
        <v>378783</v>
      </c>
      <c r="G60" s="64"/>
    </row>
    <row r="61" spans="1:7" ht="12.75" customHeight="1">
      <c r="A61" s="45"/>
      <c r="B61" s="55"/>
      <c r="C61" s="45" t="s">
        <v>27</v>
      </c>
      <c r="D61" s="45"/>
      <c r="E61" s="72"/>
      <c r="F61" s="98">
        <f>SUM(F62:F66)</f>
        <v>35130844</v>
      </c>
      <c r="G61" s="64"/>
    </row>
    <row r="62" spans="1:7" ht="12.75" customHeight="1">
      <c r="A62" s="45"/>
      <c r="B62" s="55"/>
      <c r="C62" s="45"/>
      <c r="D62" s="75" t="s">
        <v>28</v>
      </c>
      <c r="E62" s="76"/>
      <c r="F62" s="73">
        <v>428319</v>
      </c>
      <c r="G62" s="64"/>
    </row>
    <row r="63" spans="1:7" ht="12.75" customHeight="1">
      <c r="A63" s="45"/>
      <c r="B63" s="55"/>
      <c r="D63" s="75" t="s">
        <v>29</v>
      </c>
      <c r="E63" s="77"/>
      <c r="F63" s="73">
        <f>33474832+1096006</f>
        <v>34570838</v>
      </c>
      <c r="G63" s="64"/>
    </row>
    <row r="64" spans="1:7" ht="12.75" customHeight="1">
      <c r="A64" s="45"/>
      <c r="B64" s="55"/>
      <c r="D64" s="75" t="s">
        <v>31</v>
      </c>
      <c r="E64" s="76"/>
      <c r="F64" s="73">
        <v>0</v>
      </c>
      <c r="G64" s="64"/>
    </row>
    <row r="65" spans="1:7" ht="12.75" customHeight="1">
      <c r="A65" s="45"/>
      <c r="B65" s="55"/>
      <c r="D65" s="75" t="s">
        <v>32</v>
      </c>
      <c r="E65" s="76"/>
      <c r="F65" s="73"/>
      <c r="G65" s="64"/>
    </row>
    <row r="66" spans="1:7" ht="12.75" customHeight="1">
      <c r="A66" s="45"/>
      <c r="B66" s="55"/>
      <c r="D66" s="75"/>
      <c r="E66" s="77" t="s">
        <v>33</v>
      </c>
      <c r="F66" s="73">
        <v>131687</v>
      </c>
      <c r="G66" s="64"/>
    </row>
    <row r="67" spans="1:7" ht="12.75" customHeight="1">
      <c r="A67" s="45"/>
      <c r="B67" s="55"/>
      <c r="C67" s="45" t="s">
        <v>34</v>
      </c>
      <c r="D67" s="45"/>
      <c r="E67" s="72"/>
      <c r="F67" s="63"/>
      <c r="G67" s="64"/>
    </row>
    <row r="68" spans="1:7" ht="12.75" customHeight="1">
      <c r="A68" s="45"/>
      <c r="B68" s="55"/>
      <c r="D68" s="45"/>
      <c r="E68" s="78" t="s">
        <v>35</v>
      </c>
      <c r="F68" s="63">
        <v>0</v>
      </c>
      <c r="G68" s="64"/>
    </row>
    <row r="69" spans="1:7" ht="12.75" customHeight="1">
      <c r="A69" s="45"/>
      <c r="B69" s="55"/>
      <c r="C69" s="45" t="s">
        <v>36</v>
      </c>
      <c r="D69" s="45"/>
      <c r="E69" s="72"/>
      <c r="F69" s="63">
        <v>0</v>
      </c>
      <c r="G69" s="64"/>
    </row>
    <row r="70" spans="1:7" ht="12.75" customHeight="1">
      <c r="A70" s="45"/>
      <c r="B70" s="55"/>
      <c r="C70" s="45" t="s">
        <v>37</v>
      </c>
      <c r="D70" s="45"/>
      <c r="E70" s="72"/>
      <c r="F70" s="63">
        <v>0</v>
      </c>
      <c r="G70" s="64"/>
    </row>
    <row r="71" spans="1:7" ht="12.75" customHeight="1">
      <c r="A71" s="45"/>
      <c r="B71" s="55"/>
      <c r="C71" s="45" t="s">
        <v>38</v>
      </c>
      <c r="D71" s="45"/>
      <c r="E71" s="72"/>
      <c r="F71" s="63">
        <f>SUM(F72:F75)</f>
        <v>1733364</v>
      </c>
      <c r="G71" s="64"/>
    </row>
    <row r="72" spans="1:7" ht="12.75" customHeight="1">
      <c r="A72" s="45"/>
      <c r="B72" s="55"/>
      <c r="C72" s="45"/>
      <c r="D72" s="45"/>
      <c r="E72" s="74" t="s">
        <v>65</v>
      </c>
      <c r="F72" s="96">
        <v>707240</v>
      </c>
      <c r="G72" s="64"/>
    </row>
    <row r="73" spans="1:7" ht="13.5" customHeight="1">
      <c r="A73" s="45"/>
      <c r="B73" s="55"/>
      <c r="C73" s="45"/>
      <c r="D73" s="45" t="s">
        <v>0</v>
      </c>
      <c r="E73" s="74" t="s">
        <v>59</v>
      </c>
      <c r="F73" s="73">
        <v>138000</v>
      </c>
      <c r="G73" s="64"/>
    </row>
    <row r="74" spans="1:7" ht="12.75" customHeight="1">
      <c r="A74" s="45"/>
      <c r="B74" s="55"/>
      <c r="C74" s="45"/>
      <c r="D74" s="45"/>
      <c r="E74" s="79" t="s">
        <v>162</v>
      </c>
      <c r="F74" s="73">
        <v>49387</v>
      </c>
      <c r="G74" s="64"/>
    </row>
    <row r="75" spans="1:7" ht="12.75" customHeight="1">
      <c r="A75" s="45"/>
      <c r="B75" s="55"/>
      <c r="C75" s="45"/>
      <c r="D75" s="45"/>
      <c r="E75" s="74" t="s">
        <v>97</v>
      </c>
      <c r="F75" s="100">
        <v>838737</v>
      </c>
      <c r="G75" s="64"/>
    </row>
    <row r="76" spans="1:7" ht="12.75" customHeight="1">
      <c r="A76" s="45"/>
      <c r="B76" s="55"/>
      <c r="C76" s="45"/>
      <c r="D76" s="45"/>
      <c r="E76" s="78"/>
      <c r="F76" s="63" t="s">
        <v>0</v>
      </c>
      <c r="G76" s="64"/>
    </row>
    <row r="77" spans="1:7" ht="12.75" customHeight="1">
      <c r="A77" s="80"/>
      <c r="B77" s="58" t="s">
        <v>39</v>
      </c>
      <c r="C77" s="81"/>
      <c r="D77" s="81"/>
      <c r="E77" s="74"/>
      <c r="F77" s="63" t="s">
        <v>0</v>
      </c>
      <c r="G77" s="82">
        <f>G19+G33</f>
        <v>-38860995</v>
      </c>
    </row>
    <row r="78" spans="1:7" ht="12.75" customHeight="1">
      <c r="A78" s="45"/>
      <c r="B78" s="83" t="s">
        <v>40</v>
      </c>
      <c r="C78" s="45"/>
      <c r="D78" s="45"/>
      <c r="E78" s="78"/>
      <c r="F78" s="63" t="s">
        <v>0</v>
      </c>
      <c r="G78" s="84"/>
    </row>
    <row r="79" spans="2:7" ht="12" customHeight="1">
      <c r="B79" s="85"/>
      <c r="E79" s="72"/>
      <c r="F79" s="63" t="s">
        <v>0</v>
      </c>
      <c r="G79" s="84"/>
    </row>
    <row r="80" spans="2:7" ht="12" customHeight="1">
      <c r="B80" s="58" t="s">
        <v>87</v>
      </c>
      <c r="C80" s="67"/>
      <c r="D80" s="67"/>
      <c r="E80" s="86"/>
      <c r="F80" s="69"/>
      <c r="G80" s="87">
        <f>SUM(F82:F84)</f>
        <v>-1694465</v>
      </c>
    </row>
    <row r="81" spans="2:7" ht="12">
      <c r="B81" s="85"/>
      <c r="E81" s="72"/>
      <c r="F81" s="63"/>
      <c r="G81" s="84"/>
    </row>
    <row r="82" spans="2:7" ht="12">
      <c r="B82" s="55"/>
      <c r="C82" s="45" t="s">
        <v>84</v>
      </c>
      <c r="D82" s="45"/>
      <c r="E82" s="72"/>
      <c r="F82" s="60">
        <v>0</v>
      </c>
      <c r="G82" s="84"/>
    </row>
    <row r="83" spans="2:7" ht="12">
      <c r="B83" s="85"/>
      <c r="C83" s="45" t="s">
        <v>85</v>
      </c>
      <c r="E83" s="72"/>
      <c r="F83" s="63">
        <v>-1757850</v>
      </c>
      <c r="G83" s="84"/>
    </row>
    <row r="84" spans="2:7" ht="12">
      <c r="B84" s="85"/>
      <c r="C84" s="45" t="s">
        <v>86</v>
      </c>
      <c r="E84" s="72"/>
      <c r="F84" s="63">
        <f>4000+59385</f>
        <v>63385</v>
      </c>
      <c r="G84" s="84"/>
    </row>
    <row r="85" spans="2:7" ht="12">
      <c r="B85" s="85"/>
      <c r="E85" s="72"/>
      <c r="F85" s="63"/>
      <c r="G85" s="84"/>
    </row>
    <row r="86" spans="2:7" ht="12">
      <c r="B86" s="58" t="s">
        <v>88</v>
      </c>
      <c r="C86" s="67"/>
      <c r="D86" s="67"/>
      <c r="E86" s="86"/>
      <c r="F86" s="69">
        <v>0</v>
      </c>
      <c r="G86" s="87">
        <v>0</v>
      </c>
    </row>
    <row r="87" spans="2:7" ht="12">
      <c r="B87" s="85"/>
      <c r="E87" s="72"/>
      <c r="F87" s="63"/>
      <c r="G87" s="84"/>
    </row>
    <row r="88" spans="2:7" ht="12">
      <c r="B88" s="58" t="s">
        <v>83</v>
      </c>
      <c r="C88" s="67"/>
      <c r="D88" s="67"/>
      <c r="E88" s="86"/>
      <c r="F88" s="69"/>
      <c r="G88" s="87">
        <f>SUM(F90:F91)</f>
        <v>7373695</v>
      </c>
    </row>
    <row r="89" spans="2:7" ht="12">
      <c r="B89" s="85"/>
      <c r="E89" s="72"/>
      <c r="F89" s="63"/>
      <c r="G89" s="84"/>
    </row>
    <row r="90" spans="2:7" ht="12">
      <c r="B90" s="85"/>
      <c r="C90" s="45" t="s">
        <v>89</v>
      </c>
      <c r="E90" s="72"/>
      <c r="F90" s="63">
        <f>-13333333-469050</f>
        <v>-13802383</v>
      </c>
      <c r="G90" s="84"/>
    </row>
    <row r="91" spans="2:7" ht="12">
      <c r="B91" s="85"/>
      <c r="C91" s="45" t="s">
        <v>90</v>
      </c>
      <c r="E91" s="72"/>
      <c r="F91" s="63">
        <f>20946933+229145</f>
        <v>21176078</v>
      </c>
      <c r="G91" s="84"/>
    </row>
    <row r="92" spans="2:7" ht="12">
      <c r="B92" s="85"/>
      <c r="E92" s="72"/>
      <c r="F92" s="63"/>
      <c r="G92" s="84"/>
    </row>
    <row r="93" spans="2:7" ht="12">
      <c r="B93" s="88" t="s">
        <v>91</v>
      </c>
      <c r="C93" s="68"/>
      <c r="D93" s="68"/>
      <c r="E93" s="86"/>
      <c r="F93" s="63">
        <v>7328167</v>
      </c>
      <c r="G93" s="87">
        <f>F93</f>
        <v>7328167</v>
      </c>
    </row>
    <row r="94" spans="2:7" ht="12">
      <c r="B94" s="85"/>
      <c r="E94" s="72"/>
      <c r="F94" s="63"/>
      <c r="G94" s="84"/>
    </row>
    <row r="95" spans="2:7" ht="12.75">
      <c r="B95" s="58"/>
      <c r="E95" s="89" t="s">
        <v>92</v>
      </c>
      <c r="F95" s="63"/>
      <c r="G95" s="90">
        <f>G77-G80-G86-G88-G93</f>
        <v>-51868392</v>
      </c>
    </row>
    <row r="96" spans="2:7" ht="12">
      <c r="B96" s="91"/>
      <c r="C96" s="92"/>
      <c r="D96" s="92"/>
      <c r="E96" s="93"/>
      <c r="F96" s="94"/>
      <c r="G96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F24" sqref="F24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120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173356008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166382045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141</v>
      </c>
      <c r="F21" s="62">
        <v>166382045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0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SUM(F28:F29)</f>
        <v>6973963</v>
      </c>
      <c r="G27" s="64"/>
    </row>
    <row r="28" spans="1:7" ht="12.75" customHeight="1">
      <c r="A28" s="45"/>
      <c r="B28" s="55"/>
      <c r="C28" s="45"/>
      <c r="D28" s="45" t="s">
        <v>30</v>
      </c>
      <c r="E28" s="46" t="s">
        <v>139</v>
      </c>
      <c r="F28" s="104">
        <v>6673963</v>
      </c>
      <c r="G28" s="64"/>
    </row>
    <row r="29" spans="1:7" ht="12.75" customHeight="1">
      <c r="A29" s="45"/>
      <c r="B29" s="55"/>
      <c r="C29" s="45"/>
      <c r="D29" s="65" t="s">
        <v>30</v>
      </c>
      <c r="E29" s="46" t="s">
        <v>57</v>
      </c>
      <c r="F29" s="62">
        <v>300000</v>
      </c>
      <c r="G29" s="66"/>
    </row>
    <row r="30" spans="1:7" ht="12.75" customHeight="1">
      <c r="A30" s="45"/>
      <c r="B30" s="55"/>
      <c r="C30" s="45"/>
      <c r="D30" s="45"/>
      <c r="E30" s="45"/>
      <c r="F30" s="63"/>
      <c r="G30" s="64"/>
    </row>
    <row r="31" spans="1:7" s="71" customFormat="1" ht="12.75" customHeight="1">
      <c r="A31" s="67"/>
      <c r="B31" s="58" t="s">
        <v>16</v>
      </c>
      <c r="C31" s="67"/>
      <c r="D31" s="67"/>
      <c r="E31" s="68"/>
      <c r="F31" s="69"/>
      <c r="G31" s="70">
        <f>-(F33+F40+F49+F53+F59+F66+F67+F68+F69)</f>
        <v>-155407330</v>
      </c>
    </row>
    <row r="32" spans="1:7" ht="12.75" customHeight="1">
      <c r="A32" s="45"/>
      <c r="B32" s="55"/>
      <c r="C32" s="45" t="s">
        <v>17</v>
      </c>
      <c r="D32" s="45"/>
      <c r="F32" s="63" t="s">
        <v>0</v>
      </c>
      <c r="G32" s="64"/>
    </row>
    <row r="33" spans="1:7" ht="12.75" customHeight="1">
      <c r="A33" s="45"/>
      <c r="B33" s="55"/>
      <c r="D33" s="45" t="s">
        <v>18</v>
      </c>
      <c r="E33" s="72"/>
      <c r="F33" s="98">
        <f>SUM(F34:F39)</f>
        <v>3997823</v>
      </c>
      <c r="G33" s="64"/>
    </row>
    <row r="34" spans="1:7" ht="12.75" customHeight="1">
      <c r="A34" s="45"/>
      <c r="B34" s="55"/>
      <c r="D34" s="45"/>
      <c r="E34" s="72" t="s">
        <v>111</v>
      </c>
      <c r="F34" s="73">
        <v>1045000</v>
      </c>
      <c r="G34" s="64"/>
    </row>
    <row r="35" spans="1:7" ht="12.75" customHeight="1">
      <c r="A35" s="45"/>
      <c r="B35" s="55"/>
      <c r="D35" s="45"/>
      <c r="E35" s="72" t="s">
        <v>95</v>
      </c>
      <c r="F35" s="73">
        <v>350523</v>
      </c>
      <c r="G35" s="64"/>
    </row>
    <row r="36" spans="1:7" ht="12.75" customHeight="1">
      <c r="A36" s="45"/>
      <c r="B36" s="55"/>
      <c r="D36" s="45"/>
      <c r="E36" s="72" t="s">
        <v>45</v>
      </c>
      <c r="F36" s="73">
        <v>696333</v>
      </c>
      <c r="G36" s="64"/>
    </row>
    <row r="37" spans="1:7" ht="12.75" customHeight="1">
      <c r="A37" s="45"/>
      <c r="B37" s="55"/>
      <c r="D37" s="45"/>
      <c r="E37" s="72" t="s">
        <v>193</v>
      </c>
      <c r="F37" s="73">
        <v>1502000</v>
      </c>
      <c r="G37" s="64"/>
    </row>
    <row r="38" spans="1:7" ht="12.75" customHeight="1">
      <c r="A38" s="45"/>
      <c r="B38" s="55"/>
      <c r="C38" s="45"/>
      <c r="D38" s="45"/>
      <c r="E38" s="74" t="s">
        <v>80</v>
      </c>
      <c r="F38" s="73">
        <v>93000</v>
      </c>
      <c r="G38" s="64"/>
    </row>
    <row r="39" spans="1:7" ht="12.75" customHeight="1">
      <c r="A39" s="45"/>
      <c r="B39" s="55"/>
      <c r="D39" s="45"/>
      <c r="E39" s="72" t="s">
        <v>96</v>
      </c>
      <c r="F39" s="99">
        <f>182022+128945</f>
        <v>310967</v>
      </c>
      <c r="G39" s="64"/>
    </row>
    <row r="40" spans="1:7" ht="12.75" customHeight="1">
      <c r="A40" s="45"/>
      <c r="B40" s="55"/>
      <c r="C40" s="45" t="s">
        <v>19</v>
      </c>
      <c r="D40" s="45"/>
      <c r="E40" s="72"/>
      <c r="F40" s="98">
        <f>SUM(F41:F48)</f>
        <v>112572661</v>
      </c>
      <c r="G40" s="64"/>
    </row>
    <row r="41" spans="1:7" ht="12.75" customHeight="1">
      <c r="A41" s="45"/>
      <c r="B41" s="55"/>
      <c r="C41" s="45"/>
      <c r="D41" s="45"/>
      <c r="E41" s="74" t="s">
        <v>47</v>
      </c>
      <c r="F41" s="73">
        <v>327274</v>
      </c>
      <c r="G41" s="64"/>
    </row>
    <row r="42" spans="1:7" ht="12.75" customHeight="1">
      <c r="A42" s="45"/>
      <c r="B42" s="55"/>
      <c r="C42" s="45"/>
      <c r="D42" s="45"/>
      <c r="E42" s="74" t="s">
        <v>46</v>
      </c>
      <c r="F42" s="73">
        <v>79778</v>
      </c>
      <c r="G42" s="64"/>
    </row>
    <row r="43" spans="1:7" ht="12.75" customHeight="1">
      <c r="A43" s="45"/>
      <c r="B43" s="55"/>
      <c r="C43" s="45"/>
      <c r="D43" s="45"/>
      <c r="E43" s="74" t="s">
        <v>174</v>
      </c>
      <c r="F43" s="73">
        <v>27599000</v>
      </c>
      <c r="G43" s="64"/>
    </row>
    <row r="44" spans="1:7" ht="13.5" customHeight="1">
      <c r="A44" s="45"/>
      <c r="B44" s="55"/>
      <c r="C44" s="45"/>
      <c r="D44" s="45"/>
      <c r="E44" s="74" t="s">
        <v>99</v>
      </c>
      <c r="F44" s="73">
        <v>55706567</v>
      </c>
      <c r="G44" s="64"/>
    </row>
    <row r="45" spans="1:7" ht="13.5" customHeight="1">
      <c r="A45" s="45"/>
      <c r="B45" s="55"/>
      <c r="C45" s="45"/>
      <c r="D45" s="45"/>
      <c r="E45" s="74" t="s">
        <v>48</v>
      </c>
      <c r="F45" s="73">
        <v>343000</v>
      </c>
      <c r="G45" s="64"/>
    </row>
    <row r="46" spans="1:7" ht="13.5" customHeight="1">
      <c r="A46" s="45"/>
      <c r="B46" s="55"/>
      <c r="C46" s="45"/>
      <c r="D46" s="45"/>
      <c r="E46" s="74" t="s">
        <v>142</v>
      </c>
      <c r="F46" s="73">
        <v>17436580</v>
      </c>
      <c r="G46" s="64"/>
    </row>
    <row r="47" spans="1:7" ht="12.75" customHeight="1">
      <c r="A47" s="45"/>
      <c r="B47" s="55"/>
      <c r="C47" s="45"/>
      <c r="D47" s="45"/>
      <c r="E47" s="74" t="s">
        <v>143</v>
      </c>
      <c r="F47" s="73">
        <v>2700000</v>
      </c>
      <c r="G47" s="64"/>
    </row>
    <row r="48" spans="1:7" ht="12.75" customHeight="1">
      <c r="A48" s="45"/>
      <c r="B48" s="55"/>
      <c r="C48" s="45"/>
      <c r="D48" s="45"/>
      <c r="E48" s="74" t="s">
        <v>97</v>
      </c>
      <c r="F48" s="73">
        <f>5571758+2808704</f>
        <v>8380462</v>
      </c>
      <c r="G48" s="64"/>
    </row>
    <row r="49" spans="1:7" ht="12.75" customHeight="1">
      <c r="A49" s="45"/>
      <c r="B49" s="55"/>
      <c r="C49" s="45" t="s">
        <v>20</v>
      </c>
      <c r="D49" s="45"/>
      <c r="E49" s="72"/>
      <c r="F49" s="60">
        <f>SUM(F50:F52)</f>
        <v>20918800</v>
      </c>
      <c r="G49" s="64"/>
    </row>
    <row r="50" spans="1:7" ht="12.75" customHeight="1">
      <c r="A50" s="45"/>
      <c r="B50" s="55"/>
      <c r="C50" s="45"/>
      <c r="D50" s="45"/>
      <c r="E50" s="74" t="s">
        <v>136</v>
      </c>
      <c r="F50" s="73">
        <v>2400000</v>
      </c>
      <c r="G50" s="64"/>
    </row>
    <row r="51" spans="1:7" ht="12.75" customHeight="1">
      <c r="A51" s="45"/>
      <c r="B51" s="55"/>
      <c r="C51" s="45"/>
      <c r="D51" s="45"/>
      <c r="E51" s="74" t="s">
        <v>144</v>
      </c>
      <c r="F51" s="101">
        <v>17352800</v>
      </c>
      <c r="G51" s="64"/>
    </row>
    <row r="52" spans="1:7" ht="12.75" customHeight="1">
      <c r="A52" s="45"/>
      <c r="B52" s="55"/>
      <c r="C52" s="45"/>
      <c r="D52" s="45"/>
      <c r="E52" s="74" t="s">
        <v>194</v>
      </c>
      <c r="F52" s="101">
        <v>1166000</v>
      </c>
      <c r="G52" s="64"/>
    </row>
    <row r="53" spans="1:7" ht="12.75" customHeight="1">
      <c r="A53" s="45"/>
      <c r="B53" s="55"/>
      <c r="C53" s="45" t="s">
        <v>21</v>
      </c>
      <c r="D53" s="45"/>
      <c r="E53" s="72"/>
      <c r="F53" s="98">
        <f>SUM(F54:F58)</f>
        <v>10538757</v>
      </c>
      <c r="G53" s="64"/>
    </row>
    <row r="54" spans="1:7" ht="12.75" customHeight="1">
      <c r="A54" s="45"/>
      <c r="B54" s="55"/>
      <c r="D54" s="75" t="s">
        <v>22</v>
      </c>
      <c r="E54" s="76"/>
      <c r="F54" s="73">
        <v>7778679</v>
      </c>
      <c r="G54" s="64"/>
    </row>
    <row r="55" spans="1:7" ht="12.75" customHeight="1">
      <c r="A55" s="45"/>
      <c r="B55" s="55"/>
      <c r="D55" s="75" t="s">
        <v>23</v>
      </c>
      <c r="E55" s="76"/>
      <c r="F55" s="73">
        <f>1790446+20774</f>
        <v>1811220</v>
      </c>
      <c r="G55" s="64"/>
    </row>
    <row r="56" spans="1:7" ht="12.75" customHeight="1">
      <c r="A56" s="45"/>
      <c r="B56" s="55"/>
      <c r="D56" s="75" t="s">
        <v>24</v>
      </c>
      <c r="E56" s="76"/>
      <c r="F56" s="73">
        <v>811826</v>
      </c>
      <c r="G56" s="64"/>
    </row>
    <row r="57" spans="1:7" ht="12.75" customHeight="1">
      <c r="A57" s="45"/>
      <c r="B57" s="55"/>
      <c r="D57" s="75" t="s">
        <v>25</v>
      </c>
      <c r="E57" s="76"/>
      <c r="F57" s="73">
        <v>0</v>
      </c>
      <c r="G57" s="64"/>
    </row>
    <row r="58" spans="1:7" ht="12.75" customHeight="1">
      <c r="A58" s="45"/>
      <c r="B58" s="55"/>
      <c r="D58" s="75" t="s">
        <v>166</v>
      </c>
      <c r="E58" s="76"/>
      <c r="F58" s="73">
        <v>137032</v>
      </c>
      <c r="G58" s="64"/>
    </row>
    <row r="59" spans="1:7" ht="12.75" customHeight="1">
      <c r="A59" s="45"/>
      <c r="B59" s="55"/>
      <c r="C59" s="45" t="s">
        <v>27</v>
      </c>
      <c r="D59" s="45"/>
      <c r="E59" s="72"/>
      <c r="F59" s="98">
        <f>SUM(F60:F64)</f>
        <v>980343</v>
      </c>
      <c r="G59" s="64"/>
    </row>
    <row r="60" spans="1:7" ht="12.75" customHeight="1">
      <c r="A60" s="45"/>
      <c r="B60" s="55"/>
      <c r="C60" s="45"/>
      <c r="D60" s="75" t="s">
        <v>28</v>
      </c>
      <c r="E60" s="76"/>
      <c r="F60" s="73">
        <v>154953</v>
      </c>
      <c r="G60" s="64"/>
    </row>
    <row r="61" spans="1:7" ht="12.75" customHeight="1">
      <c r="A61" s="45"/>
      <c r="B61" s="55"/>
      <c r="D61" s="75" t="s">
        <v>29</v>
      </c>
      <c r="E61" s="77"/>
      <c r="F61" s="73">
        <f>381250+396500</f>
        <v>777750</v>
      </c>
      <c r="G61" s="64"/>
    </row>
    <row r="62" spans="1:7" ht="12.75" customHeight="1">
      <c r="A62" s="45"/>
      <c r="B62" s="55"/>
      <c r="D62" s="75" t="s">
        <v>31</v>
      </c>
      <c r="E62" s="76"/>
      <c r="F62" s="73">
        <v>0</v>
      </c>
      <c r="G62" s="64"/>
    </row>
    <row r="63" spans="1:7" ht="12.75" customHeight="1">
      <c r="A63" s="45"/>
      <c r="B63" s="55"/>
      <c r="D63" s="75" t="s">
        <v>32</v>
      </c>
      <c r="E63" s="76"/>
      <c r="F63" s="73"/>
      <c r="G63" s="64"/>
    </row>
    <row r="64" spans="1:7" ht="12.75" customHeight="1">
      <c r="A64" s="45"/>
      <c r="B64" s="55"/>
      <c r="D64" s="75"/>
      <c r="E64" s="77" t="s">
        <v>33</v>
      </c>
      <c r="F64" s="73">
        <v>47640</v>
      </c>
      <c r="G64" s="64"/>
    </row>
    <row r="65" spans="1:7" ht="12.75" customHeight="1">
      <c r="A65" s="45"/>
      <c r="B65" s="55"/>
      <c r="C65" s="45" t="s">
        <v>34</v>
      </c>
      <c r="D65" s="45"/>
      <c r="E65" s="72"/>
      <c r="F65" s="63"/>
      <c r="G65" s="64"/>
    </row>
    <row r="66" spans="1:7" ht="12.75" customHeight="1">
      <c r="A66" s="45"/>
      <c r="B66" s="55"/>
      <c r="D66" s="45"/>
      <c r="E66" s="78" t="s">
        <v>35</v>
      </c>
      <c r="F66" s="63">
        <v>0</v>
      </c>
      <c r="G66" s="64"/>
    </row>
    <row r="67" spans="1:7" ht="12.75" customHeight="1">
      <c r="A67" s="45"/>
      <c r="B67" s="55"/>
      <c r="C67" s="45" t="s">
        <v>36</v>
      </c>
      <c r="D67" s="45"/>
      <c r="E67" s="72"/>
      <c r="F67" s="63">
        <v>0</v>
      </c>
      <c r="G67" s="64"/>
    </row>
    <row r="68" spans="1:7" ht="12.75" customHeight="1">
      <c r="A68" s="45"/>
      <c r="B68" s="55"/>
      <c r="C68" s="45" t="s">
        <v>37</v>
      </c>
      <c r="D68" s="45"/>
      <c r="E68" s="72"/>
      <c r="F68" s="63">
        <v>0</v>
      </c>
      <c r="G68" s="64"/>
    </row>
    <row r="69" spans="1:7" ht="12.75" customHeight="1">
      <c r="A69" s="45"/>
      <c r="B69" s="55"/>
      <c r="C69" s="45" t="s">
        <v>38</v>
      </c>
      <c r="D69" s="45"/>
      <c r="E69" s="72"/>
      <c r="F69" s="63">
        <f>SUM(F70:F75)</f>
        <v>6398946</v>
      </c>
      <c r="G69" s="64"/>
    </row>
    <row r="70" spans="1:7" ht="13.5" customHeight="1">
      <c r="A70" s="45"/>
      <c r="B70" s="55"/>
      <c r="C70" s="45"/>
      <c r="D70" s="45" t="s">
        <v>0</v>
      </c>
      <c r="E70" s="74" t="s">
        <v>159</v>
      </c>
      <c r="F70" s="73">
        <v>22500</v>
      </c>
      <c r="G70" s="64"/>
    </row>
    <row r="71" spans="1:7" ht="12.75" customHeight="1">
      <c r="A71" s="45"/>
      <c r="B71" s="55"/>
      <c r="C71" s="45"/>
      <c r="D71" s="45"/>
      <c r="E71" s="79" t="s">
        <v>52</v>
      </c>
      <c r="F71" s="73">
        <v>52500</v>
      </c>
      <c r="G71" s="64"/>
    </row>
    <row r="72" spans="1:7" ht="12.75" customHeight="1">
      <c r="A72" s="45"/>
      <c r="B72" s="55"/>
      <c r="C72" s="45"/>
      <c r="D72" s="45"/>
      <c r="E72" s="74" t="s">
        <v>145</v>
      </c>
      <c r="F72" s="73">
        <v>5419695</v>
      </c>
      <c r="G72" s="64"/>
    </row>
    <row r="73" spans="1:7" ht="12.75" customHeight="1">
      <c r="A73" s="45"/>
      <c r="B73" s="55"/>
      <c r="C73" s="45"/>
      <c r="D73" s="45"/>
      <c r="E73" s="74" t="s">
        <v>162</v>
      </c>
      <c r="F73" s="73">
        <v>824</v>
      </c>
      <c r="G73" s="64"/>
    </row>
    <row r="74" spans="1:7" ht="12.75" customHeight="1">
      <c r="A74" s="45"/>
      <c r="B74" s="55"/>
      <c r="C74" s="45"/>
      <c r="D74" s="45"/>
      <c r="E74" s="74" t="s">
        <v>163</v>
      </c>
      <c r="F74" s="73">
        <v>600000</v>
      </c>
      <c r="G74" s="64"/>
    </row>
    <row r="75" spans="1:7" ht="12.75" customHeight="1">
      <c r="A75" s="45"/>
      <c r="B75" s="55"/>
      <c r="C75" s="45"/>
      <c r="D75" s="45"/>
      <c r="E75" s="74" t="s">
        <v>97</v>
      </c>
      <c r="F75" s="100">
        <v>303427</v>
      </c>
      <c r="G75" s="64"/>
    </row>
    <row r="76" spans="1:7" ht="12.75" customHeight="1">
      <c r="A76" s="45"/>
      <c r="B76" s="55"/>
      <c r="C76" s="45"/>
      <c r="D76" s="45"/>
      <c r="E76" s="78"/>
      <c r="F76" s="63" t="s">
        <v>0</v>
      </c>
      <c r="G76" s="64"/>
    </row>
    <row r="77" spans="1:7" ht="12.75" customHeight="1">
      <c r="A77" s="80"/>
      <c r="B77" s="58" t="s">
        <v>39</v>
      </c>
      <c r="C77" s="81"/>
      <c r="D77" s="81"/>
      <c r="E77" s="74"/>
      <c r="F77" s="63" t="s">
        <v>0</v>
      </c>
      <c r="G77" s="82">
        <f>G19+G31</f>
        <v>17948678</v>
      </c>
    </row>
    <row r="78" spans="1:7" ht="12.75" customHeight="1">
      <c r="A78" s="45"/>
      <c r="B78" s="83" t="s">
        <v>40</v>
      </c>
      <c r="C78" s="45"/>
      <c r="D78" s="45"/>
      <c r="E78" s="78"/>
      <c r="F78" s="63" t="s">
        <v>0</v>
      </c>
      <c r="G78" s="84"/>
    </row>
    <row r="79" spans="2:7" ht="12" customHeight="1">
      <c r="B79" s="85"/>
      <c r="E79" s="72"/>
      <c r="F79" s="63" t="s">
        <v>0</v>
      </c>
      <c r="G79" s="84"/>
    </row>
    <row r="80" spans="2:7" ht="12" customHeight="1">
      <c r="B80" s="58" t="s">
        <v>87</v>
      </c>
      <c r="C80" s="67"/>
      <c r="D80" s="67"/>
      <c r="E80" s="86"/>
      <c r="F80" s="69"/>
      <c r="G80" s="87">
        <f>SUM(F82:F84)</f>
        <v>-623057</v>
      </c>
    </row>
    <row r="81" spans="2:7" ht="12">
      <c r="B81" s="85"/>
      <c r="E81" s="72"/>
      <c r="F81" s="63"/>
      <c r="G81" s="84"/>
    </row>
    <row r="82" spans="2:7" ht="12">
      <c r="B82" s="55"/>
      <c r="C82" s="45" t="s">
        <v>84</v>
      </c>
      <c r="D82" s="45"/>
      <c r="E82" s="72"/>
      <c r="F82" s="60">
        <v>0</v>
      </c>
      <c r="G82" s="84"/>
    </row>
    <row r="83" spans="2:7" ht="12">
      <c r="B83" s="85"/>
      <c r="C83" s="45" t="s">
        <v>85</v>
      </c>
      <c r="E83" s="72"/>
      <c r="F83" s="63">
        <f>-8606-635935</f>
        <v>-644541</v>
      </c>
      <c r="G83" s="84"/>
    </row>
    <row r="84" spans="2:7" ht="12">
      <c r="B84" s="85"/>
      <c r="C84" s="45" t="s">
        <v>86</v>
      </c>
      <c r="E84" s="72"/>
      <c r="F84" s="63">
        <v>21484</v>
      </c>
      <c r="G84" s="84"/>
    </row>
    <row r="85" spans="2:7" ht="12">
      <c r="B85" s="85"/>
      <c r="E85" s="72"/>
      <c r="F85" s="63"/>
      <c r="G85" s="84"/>
    </row>
    <row r="86" spans="2:7" ht="12">
      <c r="B86" s="58" t="s">
        <v>88</v>
      </c>
      <c r="C86" s="67"/>
      <c r="D86" s="67"/>
      <c r="E86" s="86"/>
      <c r="F86" s="69">
        <v>0</v>
      </c>
      <c r="G86" s="87">
        <v>0</v>
      </c>
    </row>
    <row r="87" spans="2:7" ht="12">
      <c r="B87" s="85"/>
      <c r="E87" s="72"/>
      <c r="F87" s="63"/>
      <c r="G87" s="84"/>
    </row>
    <row r="88" spans="2:7" ht="12">
      <c r="B88" s="58" t="s">
        <v>83</v>
      </c>
      <c r="C88" s="67"/>
      <c r="D88" s="67"/>
      <c r="E88" s="86"/>
      <c r="F88" s="69"/>
      <c r="G88" s="87">
        <f>SUM(F90:F91)</f>
        <v>29128209</v>
      </c>
    </row>
    <row r="89" spans="2:7" ht="12">
      <c r="B89" s="85"/>
      <c r="E89" s="72"/>
      <c r="F89" s="63"/>
      <c r="G89" s="84"/>
    </row>
    <row r="90" spans="2:7" ht="12">
      <c r="B90" s="85"/>
      <c r="C90" s="45" t="s">
        <v>89</v>
      </c>
      <c r="E90" s="72"/>
      <c r="F90" s="63">
        <f>-785000-169688</f>
        <v>-954688</v>
      </c>
      <c r="G90" s="84"/>
    </row>
    <row r="91" spans="2:7" ht="12">
      <c r="B91" s="85"/>
      <c r="C91" s="45" t="s">
        <v>90</v>
      </c>
      <c r="E91" s="72"/>
      <c r="F91" s="63">
        <f>30000000+82897</f>
        <v>30082897</v>
      </c>
      <c r="G91" s="84"/>
    </row>
    <row r="92" spans="2:7" ht="12">
      <c r="B92" s="85"/>
      <c r="E92" s="72"/>
      <c r="F92" s="63"/>
      <c r="G92" s="84"/>
    </row>
    <row r="93" spans="2:7" ht="12">
      <c r="B93" s="88" t="s">
        <v>91</v>
      </c>
      <c r="C93" s="68"/>
      <c r="D93" s="68"/>
      <c r="E93" s="86"/>
      <c r="F93" s="63">
        <v>2651102</v>
      </c>
      <c r="G93" s="87">
        <f>F93</f>
        <v>2651102</v>
      </c>
    </row>
    <row r="94" spans="2:7" ht="12">
      <c r="B94" s="85"/>
      <c r="E94" s="72"/>
      <c r="F94" s="63"/>
      <c r="G94" s="84"/>
    </row>
    <row r="95" spans="2:7" ht="12.75">
      <c r="B95" s="58"/>
      <c r="E95" s="89" t="s">
        <v>92</v>
      </c>
      <c r="F95" s="63"/>
      <c r="G95" s="90">
        <f>G77-G80-G86-G88-G93</f>
        <v>-13207576</v>
      </c>
    </row>
    <row r="96" spans="2:7" ht="12">
      <c r="B96" s="91"/>
      <c r="C96" s="92"/>
      <c r="D96" s="92"/>
      <c r="E96" s="93"/>
      <c r="F96" s="94"/>
      <c r="G96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97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5">
      <selection activeCell="F29" sqref="F29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121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261343868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249996000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146</v>
      </c>
      <c r="F21" s="62">
        <v>249996000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0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SUM(F28:F29)</f>
        <v>11347868</v>
      </c>
      <c r="G27" s="64"/>
    </row>
    <row r="28" spans="1:7" ht="12.75" customHeight="1">
      <c r="A28" s="45"/>
      <c r="B28" s="55"/>
      <c r="C28" s="45"/>
      <c r="D28" s="45" t="s">
        <v>30</v>
      </c>
      <c r="E28" s="46" t="s">
        <v>139</v>
      </c>
      <c r="F28" s="104">
        <v>11082868</v>
      </c>
      <c r="G28" s="64"/>
    </row>
    <row r="29" spans="1:7" ht="12.75" customHeight="1">
      <c r="A29" s="45"/>
      <c r="B29" s="55"/>
      <c r="C29" s="45"/>
      <c r="D29" s="65" t="s">
        <v>30</v>
      </c>
      <c r="E29" s="46" t="s">
        <v>57</v>
      </c>
      <c r="F29" s="62">
        <v>265000</v>
      </c>
      <c r="G29" s="66"/>
    </row>
    <row r="30" spans="1:7" ht="12.75" customHeight="1">
      <c r="A30" s="45"/>
      <c r="B30" s="55"/>
      <c r="C30" s="45"/>
      <c r="D30" s="45"/>
      <c r="E30" s="45"/>
      <c r="F30" s="63"/>
      <c r="G30" s="64"/>
    </row>
    <row r="31" spans="1:7" s="71" customFormat="1" ht="12.75" customHeight="1">
      <c r="A31" s="67"/>
      <c r="B31" s="58" t="s">
        <v>16</v>
      </c>
      <c r="C31" s="67"/>
      <c r="D31" s="67"/>
      <c r="E31" s="68"/>
      <c r="F31" s="69"/>
      <c r="G31" s="70">
        <f>-(F33+F36+F40+F41+F47+F54+F55+F56+F57)</f>
        <v>-258071406</v>
      </c>
    </row>
    <row r="32" spans="1:7" ht="12.75" customHeight="1">
      <c r="A32" s="45"/>
      <c r="B32" s="55"/>
      <c r="C32" s="45" t="s">
        <v>17</v>
      </c>
      <c r="D32" s="45"/>
      <c r="F32" s="63" t="s">
        <v>0</v>
      </c>
      <c r="G32" s="64"/>
    </row>
    <row r="33" spans="1:7" ht="12.75" customHeight="1">
      <c r="A33" s="45"/>
      <c r="B33" s="55"/>
      <c r="D33" s="45" t="s">
        <v>18</v>
      </c>
      <c r="E33" s="72"/>
      <c r="F33" s="98">
        <f>SUM(F34:F35)</f>
        <v>9636607</v>
      </c>
      <c r="G33" s="64"/>
    </row>
    <row r="34" spans="1:7" ht="12.75" customHeight="1">
      <c r="A34" s="45"/>
      <c r="B34" s="55"/>
      <c r="D34" s="45"/>
      <c r="E34" s="72" t="s">
        <v>188</v>
      </c>
      <c r="F34" s="100">
        <v>9120213</v>
      </c>
      <c r="G34" s="64"/>
    </row>
    <row r="35" spans="1:7" ht="12.75" customHeight="1">
      <c r="A35" s="45"/>
      <c r="B35" s="55"/>
      <c r="D35" s="45"/>
      <c r="E35" s="72" t="s">
        <v>96</v>
      </c>
      <c r="F35" s="99">
        <f>302267+214127</f>
        <v>516394</v>
      </c>
      <c r="G35" s="64"/>
    </row>
    <row r="36" spans="1:7" ht="12.75" customHeight="1">
      <c r="A36" s="45"/>
      <c r="B36" s="55"/>
      <c r="C36" s="45" t="s">
        <v>19</v>
      </c>
      <c r="D36" s="45"/>
      <c r="E36" s="72"/>
      <c r="F36" s="98">
        <f>SUM(F37:F39)</f>
        <v>69337382</v>
      </c>
      <c r="G36" s="64"/>
    </row>
    <row r="37" spans="1:7" ht="12.75" customHeight="1">
      <c r="A37" s="45"/>
      <c r="B37" s="55"/>
      <c r="C37" s="45"/>
      <c r="D37" s="45"/>
      <c r="E37" s="72" t="s">
        <v>202</v>
      </c>
      <c r="F37" s="98">
        <f>50464500+4716181</f>
        <v>55180681</v>
      </c>
      <c r="G37" s="64"/>
    </row>
    <row r="38" spans="1:7" ht="12.75" customHeight="1">
      <c r="A38" s="45"/>
      <c r="B38" s="55"/>
      <c r="C38" s="45"/>
      <c r="D38" s="45"/>
      <c r="E38" s="74" t="s">
        <v>143</v>
      </c>
      <c r="F38" s="73">
        <v>240000</v>
      </c>
      <c r="G38" s="64"/>
    </row>
    <row r="39" spans="1:7" ht="12.75" customHeight="1">
      <c r="A39" s="45"/>
      <c r="B39" s="55"/>
      <c r="C39" s="45"/>
      <c r="D39" s="45"/>
      <c r="E39" s="74" t="s">
        <v>97</v>
      </c>
      <c r="F39" s="73">
        <f>9252532+4664169</f>
        <v>13916701</v>
      </c>
      <c r="G39" s="64"/>
    </row>
    <row r="40" spans="1:7" ht="12.75" customHeight="1">
      <c r="A40" s="45"/>
      <c r="B40" s="55"/>
      <c r="C40" s="45" t="s">
        <v>20</v>
      </c>
      <c r="D40" s="45"/>
      <c r="E40" s="72"/>
      <c r="F40" s="60">
        <v>0</v>
      </c>
      <c r="G40" s="64"/>
    </row>
    <row r="41" spans="1:7" ht="12.75" customHeight="1">
      <c r="A41" s="45"/>
      <c r="B41" s="55"/>
      <c r="C41" s="45" t="s">
        <v>21</v>
      </c>
      <c r="D41" s="45"/>
      <c r="E41" s="72"/>
      <c r="F41" s="98">
        <f>SUM(F42:F46)</f>
        <v>177265177</v>
      </c>
      <c r="G41" s="64"/>
    </row>
    <row r="42" spans="1:7" ht="12.75" customHeight="1">
      <c r="A42" s="45"/>
      <c r="B42" s="55"/>
      <c r="D42" s="75" t="s">
        <v>22</v>
      </c>
      <c r="E42" s="76"/>
      <c r="F42" s="73">
        <f>124354290+12917373</f>
        <v>137271663</v>
      </c>
      <c r="G42" s="64"/>
    </row>
    <row r="43" spans="1:7" ht="12.75" customHeight="1">
      <c r="A43" s="45"/>
      <c r="B43" s="55"/>
      <c r="D43" s="75" t="s">
        <v>23</v>
      </c>
      <c r="E43" s="76"/>
      <c r="F43" s="73">
        <f>27057527+1307336+2973237+34497</f>
        <v>31372597</v>
      </c>
      <c r="G43" s="64"/>
    </row>
    <row r="44" spans="1:7" ht="12.75" customHeight="1">
      <c r="A44" s="45"/>
      <c r="B44" s="55"/>
      <c r="D44" s="75" t="s">
        <v>24</v>
      </c>
      <c r="E44" s="76"/>
      <c r="F44" s="73">
        <f>7045229+1348130</f>
        <v>8393359</v>
      </c>
      <c r="G44" s="64"/>
    </row>
    <row r="45" spans="1:7" ht="12.75" customHeight="1">
      <c r="A45" s="45"/>
      <c r="B45" s="55"/>
      <c r="D45" s="75" t="s">
        <v>25</v>
      </c>
      <c r="E45" s="76"/>
      <c r="F45" s="73">
        <v>0</v>
      </c>
      <c r="G45" s="64"/>
    </row>
    <row r="46" spans="1:7" ht="12.75" customHeight="1">
      <c r="A46" s="45"/>
      <c r="B46" s="55"/>
      <c r="D46" s="75" t="s">
        <v>166</v>
      </c>
      <c r="E46" s="76"/>
      <c r="F46" s="73">
        <v>227558</v>
      </c>
      <c r="G46" s="64"/>
    </row>
    <row r="47" spans="1:7" ht="12.75" customHeight="1">
      <c r="A47" s="45"/>
      <c r="B47" s="55"/>
      <c r="C47" s="45" t="s">
        <v>27</v>
      </c>
      <c r="D47" s="45"/>
      <c r="E47" s="72"/>
      <c r="F47" s="98">
        <f>SUM(F48:F52)</f>
        <v>994862</v>
      </c>
      <c r="G47" s="64"/>
    </row>
    <row r="48" spans="1:7" ht="12.75" customHeight="1">
      <c r="A48" s="45"/>
      <c r="B48" s="55"/>
      <c r="C48" s="45"/>
      <c r="D48" s="75" t="s">
        <v>28</v>
      </c>
      <c r="E48" s="76"/>
      <c r="F48" s="73">
        <v>257316</v>
      </c>
      <c r="G48" s="64"/>
    </row>
    <row r="49" spans="1:7" ht="12.75" customHeight="1">
      <c r="A49" s="45"/>
      <c r="B49" s="55"/>
      <c r="D49" s="75" t="s">
        <v>29</v>
      </c>
      <c r="E49" s="77"/>
      <c r="F49" s="73">
        <v>658434</v>
      </c>
      <c r="G49" s="64"/>
    </row>
    <row r="50" spans="1:7" ht="12.75" customHeight="1">
      <c r="A50" s="45"/>
      <c r="B50" s="55"/>
      <c r="D50" s="75" t="s">
        <v>31</v>
      </c>
      <c r="E50" s="76"/>
      <c r="F50" s="73">
        <v>0</v>
      </c>
      <c r="G50" s="64"/>
    </row>
    <row r="51" spans="1:7" ht="12.75" customHeight="1">
      <c r="A51" s="45"/>
      <c r="B51" s="55"/>
      <c r="D51" s="75" t="s">
        <v>32</v>
      </c>
      <c r="E51" s="76"/>
      <c r="F51" s="73"/>
      <c r="G51" s="64"/>
    </row>
    <row r="52" spans="1:7" ht="12.75" customHeight="1">
      <c r="A52" s="45"/>
      <c r="B52" s="55"/>
      <c r="D52" s="75"/>
      <c r="E52" s="77" t="s">
        <v>33</v>
      </c>
      <c r="F52" s="73">
        <v>79112</v>
      </c>
      <c r="G52" s="64"/>
    </row>
    <row r="53" spans="1:7" ht="12.75" customHeight="1">
      <c r="A53" s="45"/>
      <c r="B53" s="55"/>
      <c r="C53" s="45" t="s">
        <v>34</v>
      </c>
      <c r="D53" s="45"/>
      <c r="E53" s="72"/>
      <c r="F53" s="63"/>
      <c r="G53" s="64"/>
    </row>
    <row r="54" spans="1:7" ht="12.75" customHeight="1">
      <c r="A54" s="45"/>
      <c r="B54" s="55"/>
      <c r="D54" s="45"/>
      <c r="E54" s="78" t="s">
        <v>35</v>
      </c>
      <c r="F54" s="63">
        <v>0</v>
      </c>
      <c r="G54" s="64"/>
    </row>
    <row r="55" spans="1:7" ht="12.75" customHeight="1">
      <c r="A55" s="45"/>
      <c r="B55" s="55"/>
      <c r="C55" s="45" t="s">
        <v>36</v>
      </c>
      <c r="D55" s="45"/>
      <c r="E55" s="72"/>
      <c r="F55" s="63">
        <v>0</v>
      </c>
      <c r="G55" s="64"/>
    </row>
    <row r="56" spans="1:7" ht="12.75" customHeight="1">
      <c r="A56" s="45"/>
      <c r="B56" s="55"/>
      <c r="C56" s="45" t="s">
        <v>37</v>
      </c>
      <c r="D56" s="45"/>
      <c r="E56" s="72"/>
      <c r="F56" s="63">
        <v>0</v>
      </c>
      <c r="G56" s="64"/>
    </row>
    <row r="57" spans="1:7" ht="12.75" customHeight="1">
      <c r="A57" s="45"/>
      <c r="B57" s="55"/>
      <c r="C57" s="45" t="s">
        <v>38</v>
      </c>
      <c r="D57" s="45"/>
      <c r="E57" s="72"/>
      <c r="F57" s="63">
        <f>SUM(F58:F59)</f>
        <v>837378</v>
      </c>
      <c r="G57" s="64"/>
    </row>
    <row r="58" spans="1:7" ht="13.5" customHeight="1">
      <c r="A58" s="45"/>
      <c r="B58" s="55"/>
      <c r="C58" s="45"/>
      <c r="D58" s="45" t="s">
        <v>0</v>
      </c>
      <c r="E58" s="74" t="s">
        <v>163</v>
      </c>
      <c r="F58" s="73">
        <v>333500</v>
      </c>
      <c r="G58" s="64"/>
    </row>
    <row r="59" spans="1:7" ht="12.75" customHeight="1">
      <c r="A59" s="45"/>
      <c r="B59" s="55"/>
      <c r="C59" s="45"/>
      <c r="D59" s="45"/>
      <c r="E59" s="74" t="s">
        <v>97</v>
      </c>
      <c r="F59" s="100">
        <v>503878</v>
      </c>
      <c r="G59" s="64"/>
    </row>
    <row r="60" spans="1:7" ht="12.75" customHeight="1">
      <c r="A60" s="45"/>
      <c r="B60" s="55"/>
      <c r="C60" s="45"/>
      <c r="D60" s="45"/>
      <c r="E60" s="78"/>
      <c r="F60" s="63" t="s">
        <v>0</v>
      </c>
      <c r="G60" s="64"/>
    </row>
    <row r="61" spans="1:7" ht="12.75" customHeight="1">
      <c r="A61" s="80"/>
      <c r="B61" s="58" t="s">
        <v>39</v>
      </c>
      <c r="C61" s="81"/>
      <c r="D61" s="81"/>
      <c r="E61" s="74"/>
      <c r="F61" s="63" t="s">
        <v>0</v>
      </c>
      <c r="G61" s="82">
        <f>G19+G31</f>
        <v>3272462</v>
      </c>
    </row>
    <row r="62" spans="1:7" ht="12.75" customHeight="1">
      <c r="A62" s="45"/>
      <c r="B62" s="83" t="s">
        <v>40</v>
      </c>
      <c r="C62" s="45"/>
      <c r="D62" s="45"/>
      <c r="E62" s="78"/>
      <c r="F62" s="63" t="s">
        <v>0</v>
      </c>
      <c r="G62" s="84"/>
    </row>
    <row r="63" spans="2:7" ht="12" customHeight="1">
      <c r="B63" s="85"/>
      <c r="E63" s="72"/>
      <c r="F63" s="63" t="s">
        <v>0</v>
      </c>
      <c r="G63" s="84"/>
    </row>
    <row r="64" spans="2:7" ht="12" customHeight="1">
      <c r="B64" s="58" t="s">
        <v>87</v>
      </c>
      <c r="C64" s="67"/>
      <c r="D64" s="67"/>
      <c r="E64" s="86"/>
      <c r="F64" s="69"/>
      <c r="G64" s="87">
        <f>SUM(F66:F68)</f>
        <v>-985866</v>
      </c>
    </row>
    <row r="65" spans="2:7" ht="12">
      <c r="B65" s="85"/>
      <c r="E65" s="72"/>
      <c r="F65" s="63"/>
      <c r="G65" s="84"/>
    </row>
    <row r="66" spans="2:7" ht="12">
      <c r="B66" s="55"/>
      <c r="C66" s="45" t="s">
        <v>84</v>
      </c>
      <c r="D66" s="45"/>
      <c r="E66" s="72"/>
      <c r="F66" s="60">
        <v>0</v>
      </c>
      <c r="G66" s="84"/>
    </row>
    <row r="67" spans="2:7" ht="12">
      <c r="B67" s="85"/>
      <c r="C67" s="45" t="s">
        <v>85</v>
      </c>
      <c r="E67" s="72"/>
      <c r="F67" s="63">
        <v>-1056042</v>
      </c>
      <c r="G67" s="84"/>
    </row>
    <row r="68" spans="2:7" ht="12">
      <c r="B68" s="85"/>
      <c r="C68" s="45" t="s">
        <v>86</v>
      </c>
      <c r="E68" s="72"/>
      <c r="F68" s="63">
        <f>34500+35676</f>
        <v>70176</v>
      </c>
      <c r="G68" s="84"/>
    </row>
    <row r="69" spans="2:7" ht="12">
      <c r="B69" s="85"/>
      <c r="E69" s="72"/>
      <c r="F69" s="63"/>
      <c r="G69" s="84"/>
    </row>
    <row r="70" spans="2:7" ht="12">
      <c r="B70" s="58" t="s">
        <v>88</v>
      </c>
      <c r="C70" s="67"/>
      <c r="D70" s="67"/>
      <c r="E70" s="86"/>
      <c r="F70" s="69">
        <v>0</v>
      </c>
      <c r="G70" s="87">
        <v>0</v>
      </c>
    </row>
    <row r="71" spans="2:7" ht="12">
      <c r="B71" s="85"/>
      <c r="E71" s="72"/>
      <c r="F71" s="63"/>
      <c r="G71" s="84"/>
    </row>
    <row r="72" spans="2:7" ht="12">
      <c r="B72" s="58" t="s">
        <v>83</v>
      </c>
      <c r="C72" s="67"/>
      <c r="D72" s="67"/>
      <c r="E72" s="86"/>
      <c r="F72" s="69"/>
      <c r="G72" s="87">
        <f>SUM(F74:F75)</f>
        <v>-144125</v>
      </c>
    </row>
    <row r="73" spans="2:7" ht="12">
      <c r="B73" s="85"/>
      <c r="E73" s="72"/>
      <c r="F73" s="63"/>
      <c r="G73" s="84"/>
    </row>
    <row r="74" spans="2:7" ht="12">
      <c r="B74" s="85"/>
      <c r="C74" s="45" t="s">
        <v>89</v>
      </c>
      <c r="E74" s="72"/>
      <c r="F74" s="63">
        <v>-281785</v>
      </c>
      <c r="G74" s="84"/>
    </row>
    <row r="75" spans="2:7" ht="12">
      <c r="B75" s="85"/>
      <c r="C75" s="45" t="s">
        <v>90</v>
      </c>
      <c r="E75" s="72"/>
      <c r="F75" s="63">
        <v>137660</v>
      </c>
      <c r="G75" s="84"/>
    </row>
    <row r="76" spans="2:7" ht="12">
      <c r="B76" s="85"/>
      <c r="E76" s="72"/>
      <c r="F76" s="63"/>
      <c r="G76" s="84"/>
    </row>
    <row r="77" spans="2:7" ht="12">
      <c r="B77" s="88" t="s">
        <v>91</v>
      </c>
      <c r="C77" s="68"/>
      <c r="D77" s="68"/>
      <c r="E77" s="86"/>
      <c r="F77" s="63">
        <v>4402453</v>
      </c>
      <c r="G77" s="87">
        <f>F77</f>
        <v>4402453</v>
      </c>
    </row>
    <row r="78" spans="2:7" ht="12">
      <c r="B78" s="85"/>
      <c r="E78" s="72"/>
      <c r="F78" s="63"/>
      <c r="G78" s="84"/>
    </row>
    <row r="79" spans="2:7" ht="12.75">
      <c r="B79" s="58"/>
      <c r="E79" s="89" t="s">
        <v>92</v>
      </c>
      <c r="F79" s="63"/>
      <c r="G79" s="90">
        <f>G61-G64-G70-G72-G77</f>
        <v>0</v>
      </c>
    </row>
    <row r="80" spans="2:7" ht="12">
      <c r="B80" s="91"/>
      <c r="C80" s="92"/>
      <c r="D80" s="92"/>
      <c r="E80" s="93"/>
      <c r="F80" s="94"/>
      <c r="G80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69">
      <selection activeCell="F94" sqref="F94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204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458951543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437342659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147</v>
      </c>
      <c r="F21" s="62">
        <v>437342659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0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SUM(F28:F29)</f>
        <v>21608884</v>
      </c>
      <c r="G27" s="64"/>
    </row>
    <row r="28" spans="1:7" ht="12.75" customHeight="1">
      <c r="A28" s="45"/>
      <c r="B28" s="55"/>
      <c r="C28" s="45"/>
      <c r="D28" s="45" t="s">
        <v>30</v>
      </c>
      <c r="E28" s="46" t="s">
        <v>139</v>
      </c>
      <c r="F28" s="104">
        <v>21553884</v>
      </c>
      <c r="G28" s="64"/>
    </row>
    <row r="29" spans="1:7" ht="12.75" customHeight="1">
      <c r="A29" s="45"/>
      <c r="B29" s="55"/>
      <c r="C29" s="45"/>
      <c r="D29" s="65" t="s">
        <v>30</v>
      </c>
      <c r="E29" s="46" t="s">
        <v>57</v>
      </c>
      <c r="F29" s="62">
        <v>55000</v>
      </c>
      <c r="G29" s="66"/>
    </row>
    <row r="30" spans="1:7" ht="12.75" customHeight="1">
      <c r="A30" s="45"/>
      <c r="B30" s="55"/>
      <c r="C30" s="45"/>
      <c r="D30" s="45"/>
      <c r="E30" s="45"/>
      <c r="F30" s="63"/>
      <c r="G30" s="64"/>
    </row>
    <row r="31" spans="1:7" s="71" customFormat="1" ht="12.75" customHeight="1">
      <c r="A31" s="67"/>
      <c r="B31" s="58" t="s">
        <v>16</v>
      </c>
      <c r="C31" s="67"/>
      <c r="D31" s="67"/>
      <c r="E31" s="68"/>
      <c r="F31" s="69"/>
      <c r="G31" s="70">
        <f>-(F33+F38+F52+F54+F60+F67+F68+F69+F70)</f>
        <v>-501895480</v>
      </c>
    </row>
    <row r="32" spans="1:7" ht="12.75" customHeight="1">
      <c r="A32" s="45"/>
      <c r="B32" s="55"/>
      <c r="C32" s="45" t="s">
        <v>17</v>
      </c>
      <c r="D32" s="45"/>
      <c r="F32" s="63" t="s">
        <v>0</v>
      </c>
      <c r="G32" s="64"/>
    </row>
    <row r="33" spans="1:7" ht="12.75" customHeight="1">
      <c r="A33" s="45"/>
      <c r="B33" s="55"/>
      <c r="D33" s="45" t="s">
        <v>18</v>
      </c>
      <c r="E33" s="72"/>
      <c r="F33" s="98">
        <f>SUM(F34:F37)</f>
        <v>2968150</v>
      </c>
      <c r="G33" s="64"/>
    </row>
    <row r="34" spans="1:7" ht="12.75" customHeight="1">
      <c r="A34" s="45"/>
      <c r="B34" s="55"/>
      <c r="D34" s="45"/>
      <c r="E34" s="72" t="s">
        <v>195</v>
      </c>
      <c r="F34" s="73">
        <v>108506</v>
      </c>
      <c r="G34" s="64"/>
    </row>
    <row r="35" spans="1:7" ht="12.75" customHeight="1">
      <c r="A35" s="45"/>
      <c r="B35" s="55"/>
      <c r="D35" s="45"/>
      <c r="E35" s="72" t="s">
        <v>95</v>
      </c>
      <c r="F35" s="73">
        <v>1656624</v>
      </c>
      <c r="G35" s="64"/>
    </row>
    <row r="36" spans="1:7" ht="12.75" customHeight="1">
      <c r="A36" s="45"/>
      <c r="B36" s="55"/>
      <c r="D36" s="45"/>
      <c r="E36" s="72" t="s">
        <v>45</v>
      </c>
      <c r="F36" s="73">
        <v>198740</v>
      </c>
      <c r="G36" s="64"/>
    </row>
    <row r="37" spans="1:7" ht="12.75" customHeight="1">
      <c r="A37" s="45"/>
      <c r="B37" s="55"/>
      <c r="D37" s="45"/>
      <c r="E37" s="72" t="s">
        <v>96</v>
      </c>
      <c r="F37" s="99">
        <f>587847+416433</f>
        <v>1004280</v>
      </c>
      <c r="G37" s="64"/>
    </row>
    <row r="38" spans="1:7" ht="12.75" customHeight="1">
      <c r="A38" s="45"/>
      <c r="B38" s="55"/>
      <c r="C38" s="45" t="s">
        <v>19</v>
      </c>
      <c r="D38" s="45"/>
      <c r="E38" s="72"/>
      <c r="F38" s="98">
        <f>SUM(F39:F51)</f>
        <v>450664231</v>
      </c>
      <c r="G38" s="64"/>
    </row>
    <row r="39" spans="1:7" ht="12.75" customHeight="1">
      <c r="A39" s="45"/>
      <c r="B39" s="55"/>
      <c r="C39" s="45"/>
      <c r="D39" s="45"/>
      <c r="E39" s="74" t="s">
        <v>47</v>
      </c>
      <c r="F39" s="73">
        <v>4707678</v>
      </c>
      <c r="G39" s="64"/>
    </row>
    <row r="40" spans="1:7" ht="12.75" customHeight="1">
      <c r="A40" s="45"/>
      <c r="B40" s="55"/>
      <c r="C40" s="45"/>
      <c r="D40" s="45"/>
      <c r="E40" s="74" t="s">
        <v>46</v>
      </c>
      <c r="F40" s="73">
        <v>5387377</v>
      </c>
      <c r="G40" s="64"/>
    </row>
    <row r="41" spans="1:7" ht="12.75" customHeight="1">
      <c r="A41" s="45"/>
      <c r="B41" s="55"/>
      <c r="C41" s="45"/>
      <c r="D41" s="45"/>
      <c r="E41" s="74" t="s">
        <v>54</v>
      </c>
      <c r="F41" s="73">
        <v>1625800</v>
      </c>
      <c r="G41" s="64"/>
    </row>
    <row r="42" spans="1:7" ht="12.75" customHeight="1">
      <c r="A42" s="45"/>
      <c r="B42" s="55"/>
      <c r="C42" s="45"/>
      <c r="D42" s="45"/>
      <c r="E42" s="74" t="s">
        <v>53</v>
      </c>
      <c r="F42" s="73">
        <v>990000</v>
      </c>
      <c r="G42" s="64"/>
    </row>
    <row r="43" spans="1:7" ht="12.75" customHeight="1">
      <c r="A43" s="45"/>
      <c r="B43" s="55"/>
      <c r="C43" s="45"/>
      <c r="D43" s="45"/>
      <c r="E43" s="74" t="s">
        <v>49</v>
      </c>
      <c r="F43" s="73">
        <v>51775200</v>
      </c>
      <c r="G43" s="64"/>
    </row>
    <row r="44" spans="1:7" ht="12.75" customHeight="1">
      <c r="A44" s="45"/>
      <c r="B44" s="55"/>
      <c r="C44" s="45"/>
      <c r="D44" s="45"/>
      <c r="E44" s="74" t="s">
        <v>174</v>
      </c>
      <c r="F44" s="73">
        <v>45034995</v>
      </c>
      <c r="G44" s="64"/>
    </row>
    <row r="45" spans="1:7" ht="12.75" customHeight="1">
      <c r="A45" s="45"/>
      <c r="B45" s="55"/>
      <c r="C45" s="45"/>
      <c r="D45" s="45"/>
      <c r="E45" s="74" t="s">
        <v>102</v>
      </c>
      <c r="F45" s="73">
        <v>55941000</v>
      </c>
      <c r="G45" s="64"/>
    </row>
    <row r="46" spans="1:7" ht="13.5" customHeight="1">
      <c r="A46" s="45"/>
      <c r="B46" s="55"/>
      <c r="C46" s="45"/>
      <c r="D46" s="45"/>
      <c r="E46" s="74" t="s">
        <v>196</v>
      </c>
      <c r="F46" s="73">
        <v>2002000</v>
      </c>
      <c r="G46" s="64"/>
    </row>
    <row r="47" spans="1:7" ht="12.75" customHeight="1">
      <c r="A47" s="45"/>
      <c r="B47" s="55"/>
      <c r="C47" s="45"/>
      <c r="D47" s="45"/>
      <c r="E47" s="74" t="s">
        <v>140</v>
      </c>
      <c r="F47" s="73">
        <v>253764722</v>
      </c>
      <c r="G47" s="64"/>
    </row>
    <row r="48" spans="1:7" ht="12.75" customHeight="1">
      <c r="A48" s="45"/>
      <c r="B48" s="55"/>
      <c r="C48" s="45"/>
      <c r="D48" s="45"/>
      <c r="E48" s="74" t="s">
        <v>50</v>
      </c>
      <c r="F48" s="73">
        <v>2284025</v>
      </c>
      <c r="G48" s="64"/>
    </row>
    <row r="49" spans="1:7" ht="12.75" customHeight="1">
      <c r="A49" s="45"/>
      <c r="B49" s="55"/>
      <c r="C49" s="45"/>
      <c r="D49" s="45"/>
      <c r="E49" s="74" t="s">
        <v>48</v>
      </c>
      <c r="F49" s="73">
        <v>1500</v>
      </c>
      <c r="G49" s="64"/>
    </row>
    <row r="50" spans="1:7" ht="12.75" customHeight="1">
      <c r="A50" s="45"/>
      <c r="B50" s="55"/>
      <c r="C50" s="45"/>
      <c r="D50" s="45"/>
      <c r="E50" s="74" t="s">
        <v>192</v>
      </c>
      <c r="F50" s="73">
        <v>84830</v>
      </c>
      <c r="G50" s="64"/>
    </row>
    <row r="51" spans="1:7" ht="12.75" customHeight="1">
      <c r="A51" s="45"/>
      <c r="B51" s="55"/>
      <c r="C51" s="45"/>
      <c r="D51" s="45"/>
      <c r="E51" s="74" t="s">
        <v>97</v>
      </c>
      <c r="F51" s="73">
        <f>17994260+9070844</f>
        <v>27065104</v>
      </c>
      <c r="G51" s="64"/>
    </row>
    <row r="52" spans="1:7" ht="12.75" customHeight="1">
      <c r="A52" s="45"/>
      <c r="B52" s="55"/>
      <c r="C52" s="45" t="s">
        <v>20</v>
      </c>
      <c r="D52" s="45"/>
      <c r="E52" s="72"/>
      <c r="F52" s="60">
        <f>SUM(F53:F53)</f>
        <v>2472000</v>
      </c>
      <c r="G52" s="64"/>
    </row>
    <row r="53" spans="1:7" ht="12.75" customHeight="1">
      <c r="A53" s="45"/>
      <c r="B53" s="55"/>
      <c r="C53" s="45"/>
      <c r="D53" s="45"/>
      <c r="E53" s="74" t="s">
        <v>138</v>
      </c>
      <c r="F53" s="100">
        <v>2472000</v>
      </c>
      <c r="G53" s="64"/>
    </row>
    <row r="54" spans="1:7" ht="12.75" customHeight="1">
      <c r="A54" s="45"/>
      <c r="B54" s="55"/>
      <c r="C54" s="45" t="s">
        <v>21</v>
      </c>
      <c r="D54" s="45"/>
      <c r="E54" s="72"/>
      <c r="F54" s="98">
        <f>SUM(F55:F59)</f>
        <v>34035424</v>
      </c>
      <c r="G54" s="64"/>
    </row>
    <row r="55" spans="1:7" ht="12.75" customHeight="1">
      <c r="A55" s="45"/>
      <c r="B55" s="55"/>
      <c r="D55" s="75" t="s">
        <v>22</v>
      </c>
      <c r="E55" s="76"/>
      <c r="F55" s="73">
        <v>25121618</v>
      </c>
      <c r="G55" s="64"/>
    </row>
    <row r="56" spans="1:7" ht="12.75" customHeight="1">
      <c r="A56" s="45"/>
      <c r="B56" s="55"/>
      <c r="D56" s="75" t="s">
        <v>23</v>
      </c>
      <c r="E56" s="76"/>
      <c r="F56" s="73">
        <f>5782331+67090</f>
        <v>5849421</v>
      </c>
      <c r="G56" s="64"/>
    </row>
    <row r="57" spans="1:7" ht="12.75" customHeight="1">
      <c r="A57" s="45"/>
      <c r="B57" s="55"/>
      <c r="D57" s="75" t="s">
        <v>24</v>
      </c>
      <c r="E57" s="76"/>
      <c r="F57" s="73">
        <v>2621835</v>
      </c>
      <c r="G57" s="64"/>
    </row>
    <row r="58" spans="1:7" ht="12.75" customHeight="1">
      <c r="A58" s="45"/>
      <c r="B58" s="55"/>
      <c r="D58" s="75" t="s">
        <v>25</v>
      </c>
      <c r="E58" s="76"/>
      <c r="F58" s="73">
        <v>0</v>
      </c>
      <c r="G58" s="64"/>
    </row>
    <row r="59" spans="1:7" ht="12.75" customHeight="1">
      <c r="A59" s="45"/>
      <c r="B59" s="55"/>
      <c r="D59" s="75" t="s">
        <v>166</v>
      </c>
      <c r="E59" s="76"/>
      <c r="F59" s="73">
        <v>442550</v>
      </c>
      <c r="G59" s="64"/>
    </row>
    <row r="60" spans="1:7" ht="12.75" customHeight="1">
      <c r="A60" s="45"/>
      <c r="B60" s="55"/>
      <c r="C60" s="45" t="s">
        <v>27</v>
      </c>
      <c r="D60" s="45"/>
      <c r="E60" s="72"/>
      <c r="F60" s="98">
        <f>SUM(F61:F65)</f>
        <v>10446874</v>
      </c>
      <c r="G60" s="64"/>
    </row>
    <row r="61" spans="1:7" ht="12.75" customHeight="1">
      <c r="A61" s="45"/>
      <c r="B61" s="55"/>
      <c r="C61" s="45"/>
      <c r="D61" s="75" t="s">
        <v>28</v>
      </c>
      <c r="E61" s="76"/>
      <c r="F61" s="73">
        <f>336000+500427</f>
        <v>836427</v>
      </c>
      <c r="G61" s="64"/>
    </row>
    <row r="62" spans="1:7" ht="12.75" customHeight="1">
      <c r="A62" s="45"/>
      <c r="B62" s="55"/>
      <c r="D62" s="75" t="s">
        <v>29</v>
      </c>
      <c r="E62" s="77"/>
      <c r="F62" s="73">
        <f>8176073+1280518</f>
        <v>9456591</v>
      </c>
      <c r="G62" s="64"/>
    </row>
    <row r="63" spans="1:7" ht="12.75" customHeight="1">
      <c r="A63" s="45"/>
      <c r="B63" s="55"/>
      <c r="D63" s="75" t="s">
        <v>31</v>
      </c>
      <c r="E63" s="76"/>
      <c r="F63" s="73">
        <v>0</v>
      </c>
      <c r="G63" s="64"/>
    </row>
    <row r="64" spans="1:7" ht="12.75" customHeight="1">
      <c r="A64" s="45"/>
      <c r="B64" s="55"/>
      <c r="D64" s="75" t="s">
        <v>32</v>
      </c>
      <c r="E64" s="76"/>
      <c r="F64" s="73"/>
      <c r="G64" s="64"/>
    </row>
    <row r="65" spans="1:7" ht="12.75" customHeight="1">
      <c r="A65" s="45"/>
      <c r="B65" s="55"/>
      <c r="D65" s="75"/>
      <c r="E65" s="77" t="s">
        <v>33</v>
      </c>
      <c r="F65" s="73">
        <v>153856</v>
      </c>
      <c r="G65" s="64"/>
    </row>
    <row r="66" spans="1:7" ht="12.75" customHeight="1">
      <c r="A66" s="45"/>
      <c r="B66" s="55"/>
      <c r="C66" s="45" t="s">
        <v>34</v>
      </c>
      <c r="D66" s="45"/>
      <c r="E66" s="72"/>
      <c r="F66" s="63"/>
      <c r="G66" s="64"/>
    </row>
    <row r="67" spans="1:7" ht="12.75" customHeight="1">
      <c r="A67" s="45"/>
      <c r="B67" s="55"/>
      <c r="D67" s="45"/>
      <c r="E67" s="78" t="s">
        <v>35</v>
      </c>
      <c r="F67" s="63">
        <v>0</v>
      </c>
      <c r="G67" s="64"/>
    </row>
    <row r="68" spans="1:7" ht="12.75" customHeight="1">
      <c r="A68" s="45"/>
      <c r="B68" s="55"/>
      <c r="C68" s="45" t="s">
        <v>36</v>
      </c>
      <c r="D68" s="45"/>
      <c r="E68" s="72"/>
      <c r="F68" s="63">
        <v>0</v>
      </c>
      <c r="G68" s="64"/>
    </row>
    <row r="69" spans="1:7" ht="12.75" customHeight="1">
      <c r="A69" s="45"/>
      <c r="B69" s="55"/>
      <c r="C69" s="45" t="s">
        <v>37</v>
      </c>
      <c r="D69" s="45"/>
      <c r="E69" s="72"/>
      <c r="F69" s="63">
        <v>0</v>
      </c>
      <c r="G69" s="64"/>
    </row>
    <row r="70" spans="1:7" ht="12.75" customHeight="1">
      <c r="A70" s="45"/>
      <c r="B70" s="55"/>
      <c r="C70" s="45" t="s">
        <v>38</v>
      </c>
      <c r="D70" s="45"/>
      <c r="E70" s="72"/>
      <c r="F70" s="63">
        <f>SUM(F71:F73)</f>
        <v>1308801</v>
      </c>
      <c r="G70" s="64"/>
    </row>
    <row r="71" spans="1:7" ht="13.5" customHeight="1">
      <c r="A71" s="45"/>
      <c r="B71" s="55"/>
      <c r="C71" s="45"/>
      <c r="D71" s="45" t="s">
        <v>0</v>
      </c>
      <c r="E71" s="74" t="s">
        <v>65</v>
      </c>
      <c r="F71" s="73">
        <v>318240</v>
      </c>
      <c r="G71" s="64"/>
    </row>
    <row r="72" spans="1:7" ht="12.75" customHeight="1">
      <c r="A72" s="45"/>
      <c r="B72" s="55"/>
      <c r="C72" s="45"/>
      <c r="D72" s="45"/>
      <c r="E72" s="74" t="s">
        <v>162</v>
      </c>
      <c r="F72" s="73">
        <v>10623</v>
      </c>
      <c r="G72" s="64"/>
    </row>
    <row r="73" spans="1:7" ht="12.75" customHeight="1">
      <c r="A73" s="45"/>
      <c r="B73" s="55"/>
      <c r="C73" s="45"/>
      <c r="D73" s="45"/>
      <c r="E73" s="74" t="s">
        <v>97</v>
      </c>
      <c r="F73" s="100">
        <v>979938</v>
      </c>
      <c r="G73" s="64"/>
    </row>
    <row r="74" spans="1:7" ht="12.75" customHeight="1">
      <c r="A74" s="45"/>
      <c r="B74" s="55"/>
      <c r="C74" s="45"/>
      <c r="D74" s="45"/>
      <c r="E74" s="78"/>
      <c r="F74" s="63" t="s">
        <v>0</v>
      </c>
      <c r="G74" s="64"/>
    </row>
    <row r="75" spans="1:7" ht="12.75" customHeight="1">
      <c r="A75" s="80"/>
      <c r="B75" s="58" t="s">
        <v>39</v>
      </c>
      <c r="C75" s="81"/>
      <c r="D75" s="81"/>
      <c r="E75" s="74"/>
      <c r="F75" s="63" t="s">
        <v>0</v>
      </c>
      <c r="G75" s="82">
        <f>G19+G31</f>
        <v>-42943937</v>
      </c>
    </row>
    <row r="76" spans="1:7" ht="12.75" customHeight="1">
      <c r="A76" s="45"/>
      <c r="B76" s="83" t="s">
        <v>40</v>
      </c>
      <c r="C76" s="45"/>
      <c r="D76" s="45"/>
      <c r="E76" s="78"/>
      <c r="F76" s="63" t="s">
        <v>0</v>
      </c>
      <c r="G76" s="84"/>
    </row>
    <row r="77" spans="2:7" ht="12" customHeight="1">
      <c r="B77" s="85"/>
      <c r="E77" s="72"/>
      <c r="F77" s="63" t="s">
        <v>0</v>
      </c>
      <c r="G77" s="84"/>
    </row>
    <row r="78" spans="2:7" ht="12" customHeight="1">
      <c r="B78" s="58" t="s">
        <v>87</v>
      </c>
      <c r="C78" s="67"/>
      <c r="D78" s="67"/>
      <c r="E78" s="86"/>
      <c r="F78" s="69"/>
      <c r="G78" s="87">
        <f>SUM(F80:F82)</f>
        <v>-1984401</v>
      </c>
    </row>
    <row r="79" spans="2:7" ht="12">
      <c r="B79" s="85"/>
      <c r="E79" s="72"/>
      <c r="F79" s="63"/>
      <c r="G79" s="84"/>
    </row>
    <row r="80" spans="2:7" ht="12">
      <c r="B80" s="55"/>
      <c r="C80" s="45" t="s">
        <v>84</v>
      </c>
      <c r="D80" s="45"/>
      <c r="E80" s="72"/>
      <c r="F80" s="60">
        <v>0</v>
      </c>
      <c r="G80" s="84"/>
    </row>
    <row r="81" spans="2:7" ht="12">
      <c r="B81" s="85"/>
      <c r="C81" s="45" t="s">
        <v>85</v>
      </c>
      <c r="E81" s="72"/>
      <c r="F81" s="63">
        <v>-2053783</v>
      </c>
      <c r="G81" s="84"/>
    </row>
    <row r="82" spans="2:7" ht="12">
      <c r="B82" s="85"/>
      <c r="C82" s="45" t="s">
        <v>86</v>
      </c>
      <c r="E82" s="72"/>
      <c r="F82" s="63">
        <v>69382</v>
      </c>
      <c r="G82" s="84"/>
    </row>
    <row r="83" spans="2:7" ht="12">
      <c r="B83" s="85"/>
      <c r="E83" s="72"/>
      <c r="F83" s="63"/>
      <c r="G83" s="84"/>
    </row>
    <row r="84" spans="2:7" ht="12">
      <c r="B84" s="58" t="s">
        <v>88</v>
      </c>
      <c r="C84" s="67"/>
      <c r="D84" s="67"/>
      <c r="E84" s="86"/>
      <c r="F84" s="69">
        <v>0</v>
      </c>
      <c r="G84" s="87">
        <v>0</v>
      </c>
    </row>
    <row r="85" spans="2:7" ht="12">
      <c r="B85" s="85"/>
      <c r="E85" s="72"/>
      <c r="F85" s="63"/>
      <c r="G85" s="84"/>
    </row>
    <row r="86" spans="2:7" ht="12">
      <c r="B86" s="58" t="s">
        <v>83</v>
      </c>
      <c r="C86" s="67"/>
      <c r="D86" s="67"/>
      <c r="E86" s="86"/>
      <c r="F86" s="69"/>
      <c r="G86" s="87">
        <f>SUM(F88:F89)</f>
        <v>-280293</v>
      </c>
    </row>
    <row r="87" spans="2:7" ht="12">
      <c r="B87" s="85"/>
      <c r="E87" s="72"/>
      <c r="F87" s="63"/>
      <c r="G87" s="84"/>
    </row>
    <row r="88" spans="2:7" ht="12">
      <c r="B88" s="85"/>
      <c r="C88" s="45" t="s">
        <v>89</v>
      </c>
      <c r="E88" s="72"/>
      <c r="F88" s="63">
        <v>-548014</v>
      </c>
      <c r="G88" s="84"/>
    </row>
    <row r="89" spans="2:7" ht="12">
      <c r="B89" s="85"/>
      <c r="C89" s="45" t="s">
        <v>90</v>
      </c>
      <c r="E89" s="72"/>
      <c r="F89" s="63">
        <v>267721</v>
      </c>
      <c r="G89" s="84"/>
    </row>
    <row r="90" spans="2:7" ht="12">
      <c r="B90" s="85"/>
      <c r="E90" s="72"/>
      <c r="F90" s="63"/>
      <c r="G90" s="84"/>
    </row>
    <row r="91" spans="2:7" ht="12">
      <c r="B91" s="88" t="s">
        <v>91</v>
      </c>
      <c r="C91" s="68"/>
      <c r="D91" s="68"/>
      <c r="E91" s="86"/>
      <c r="F91" s="63">
        <v>8561860</v>
      </c>
      <c r="G91" s="87">
        <f>F91</f>
        <v>8561860</v>
      </c>
    </row>
    <row r="92" spans="2:7" ht="12">
      <c r="B92" s="85"/>
      <c r="E92" s="72"/>
      <c r="F92" s="63"/>
      <c r="G92" s="84"/>
    </row>
    <row r="93" spans="2:7" ht="12.75">
      <c r="B93" s="58"/>
      <c r="E93" s="89" t="s">
        <v>92</v>
      </c>
      <c r="F93" s="63"/>
      <c r="G93" s="90">
        <f>G75-G78-G84-G86-G91</f>
        <v>-49241103</v>
      </c>
    </row>
    <row r="94" spans="2:7" ht="12">
      <c r="B94" s="91"/>
      <c r="C94" s="92"/>
      <c r="D94" s="92"/>
      <c r="E94" s="93"/>
      <c r="F94" s="94"/>
      <c r="G94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 topLeftCell="A53">
      <selection activeCell="F78" sqref="F78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122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F20+F22+F23+F24+F26</f>
        <v>122182087</v>
      </c>
    </row>
    <row r="20" spans="1:7" ht="12.75" customHeight="1">
      <c r="A20" s="45"/>
      <c r="B20" s="55"/>
      <c r="C20" s="45" t="s">
        <v>6</v>
      </c>
      <c r="D20" s="45" t="s">
        <v>7</v>
      </c>
      <c r="F20" s="63">
        <v>0</v>
      </c>
      <c r="G20" s="61"/>
    </row>
    <row r="21" spans="1:7" ht="12.75" customHeight="1">
      <c r="A21" s="45"/>
      <c r="B21" s="55"/>
      <c r="C21" s="45" t="s">
        <v>8</v>
      </c>
      <c r="D21" s="45" t="s">
        <v>9</v>
      </c>
      <c r="F21" s="63"/>
      <c r="G21" s="61"/>
    </row>
    <row r="22" spans="1:7" ht="12.75" customHeight="1">
      <c r="A22" s="45"/>
      <c r="B22" s="55"/>
      <c r="C22" s="45"/>
      <c r="D22" s="45" t="s">
        <v>10</v>
      </c>
      <c r="F22" s="63">
        <v>0</v>
      </c>
      <c r="G22" s="61"/>
    </row>
    <row r="23" spans="1:7" ht="12.75" customHeight="1">
      <c r="A23" s="45"/>
      <c r="B23" s="55"/>
      <c r="C23" s="45" t="s">
        <v>11</v>
      </c>
      <c r="D23" s="45" t="s">
        <v>12</v>
      </c>
      <c r="F23" s="63">
        <v>0</v>
      </c>
      <c r="G23" s="61"/>
    </row>
    <row r="24" spans="1:7" ht="12.75" customHeight="1">
      <c r="A24" s="45"/>
      <c r="B24" s="55"/>
      <c r="C24" s="45" t="s">
        <v>13</v>
      </c>
      <c r="D24" s="45"/>
      <c r="F24" s="63">
        <v>0</v>
      </c>
      <c r="G24" s="61"/>
    </row>
    <row r="25" spans="1:7" ht="12.75" customHeight="1">
      <c r="A25" s="45"/>
      <c r="B25" s="55"/>
      <c r="C25" s="45" t="s">
        <v>14</v>
      </c>
      <c r="D25" s="45"/>
      <c r="F25" s="63" t="s">
        <v>0</v>
      </c>
      <c r="G25" s="64"/>
    </row>
    <row r="26" spans="1:7" ht="12.75" customHeight="1">
      <c r="A26" s="45"/>
      <c r="B26" s="55"/>
      <c r="C26" s="45"/>
      <c r="D26" s="45" t="s">
        <v>15</v>
      </c>
      <c r="F26" s="60">
        <f>SUM(F27:F28)</f>
        <v>122182087</v>
      </c>
      <c r="G26" s="64"/>
    </row>
    <row r="27" spans="1:7" ht="12.75" customHeight="1">
      <c r="A27" s="45"/>
      <c r="B27" s="55"/>
      <c r="C27" s="45"/>
      <c r="D27" s="65" t="s">
        <v>30</v>
      </c>
      <c r="E27" s="46" t="s">
        <v>148</v>
      </c>
      <c r="F27" s="62">
        <v>117000000</v>
      </c>
      <c r="G27" s="66"/>
    </row>
    <row r="28" spans="1:7" ht="12.75" customHeight="1">
      <c r="A28" s="45"/>
      <c r="B28" s="55"/>
      <c r="C28" s="45"/>
      <c r="D28" s="65" t="s">
        <v>30</v>
      </c>
      <c r="E28" s="46" t="s">
        <v>139</v>
      </c>
      <c r="F28" s="62">
        <v>5182087</v>
      </c>
      <c r="G28" s="66"/>
    </row>
    <row r="29" spans="1:7" ht="12.75" customHeight="1">
      <c r="A29" s="45"/>
      <c r="B29" s="55"/>
      <c r="C29" s="45"/>
      <c r="D29" s="45"/>
      <c r="E29" s="45"/>
      <c r="F29" s="63"/>
      <c r="G29" s="64"/>
    </row>
    <row r="30" spans="1:7" s="71" customFormat="1" ht="12.75" customHeight="1">
      <c r="A30" s="67"/>
      <c r="B30" s="58" t="s">
        <v>16</v>
      </c>
      <c r="C30" s="67"/>
      <c r="D30" s="67"/>
      <c r="E30" s="68"/>
      <c r="F30" s="69"/>
      <c r="G30" s="70">
        <f>-(F32+F34+F40+F41+F47+F54+F55+F56+F57)</f>
        <v>-120668091</v>
      </c>
    </row>
    <row r="31" spans="1:7" ht="12.75" customHeight="1">
      <c r="A31" s="45"/>
      <c r="B31" s="55"/>
      <c r="C31" s="45" t="s">
        <v>17</v>
      </c>
      <c r="D31" s="45"/>
      <c r="F31" s="63" t="s">
        <v>0</v>
      </c>
      <c r="G31" s="64"/>
    </row>
    <row r="32" spans="1:7" ht="12.75" customHeight="1">
      <c r="A32" s="45"/>
      <c r="B32" s="55"/>
      <c r="D32" s="45" t="s">
        <v>18</v>
      </c>
      <c r="E32" s="72"/>
      <c r="F32" s="98">
        <f>SUM(F33:F33)</f>
        <v>241454</v>
      </c>
      <c r="G32" s="64"/>
    </row>
    <row r="33" spans="1:7" ht="12.75" customHeight="1">
      <c r="A33" s="45"/>
      <c r="B33" s="55"/>
      <c r="D33" s="45"/>
      <c r="E33" s="72" t="s">
        <v>96</v>
      </c>
      <c r="F33" s="99">
        <f>141333+100121</f>
        <v>241454</v>
      </c>
      <c r="G33" s="64"/>
    </row>
    <row r="34" spans="1:7" ht="12.75" customHeight="1">
      <c r="A34" s="45"/>
      <c r="B34" s="55"/>
      <c r="C34" s="45" t="s">
        <v>19</v>
      </c>
      <c r="D34" s="45"/>
      <c r="E34" s="72"/>
      <c r="F34" s="98">
        <f>SUM(F35:F39)</f>
        <v>87376470</v>
      </c>
      <c r="G34" s="64"/>
    </row>
    <row r="35" spans="1:7" ht="12.75" customHeight="1">
      <c r="A35" s="45"/>
      <c r="B35" s="55"/>
      <c r="C35" s="45"/>
      <c r="D35" s="45"/>
      <c r="E35" s="74" t="s">
        <v>174</v>
      </c>
      <c r="F35" s="73">
        <v>11000000</v>
      </c>
      <c r="G35" s="64"/>
    </row>
    <row r="36" spans="1:7" ht="13.5" customHeight="1">
      <c r="A36" s="45"/>
      <c r="B36" s="55"/>
      <c r="C36" s="45"/>
      <c r="D36" s="45"/>
      <c r="E36" s="74" t="s">
        <v>149</v>
      </c>
      <c r="F36" s="73">
        <v>6399889</v>
      </c>
      <c r="G36" s="64"/>
    </row>
    <row r="37" spans="1:7" ht="13.5" customHeight="1">
      <c r="A37" s="45"/>
      <c r="B37" s="55"/>
      <c r="C37" s="45"/>
      <c r="D37" s="45"/>
      <c r="E37" s="74" t="s">
        <v>197</v>
      </c>
      <c r="F37" s="73">
        <v>33469461</v>
      </c>
      <c r="G37" s="64"/>
    </row>
    <row r="38" spans="1:7" ht="12.75" customHeight="1">
      <c r="A38" s="45"/>
      <c r="B38" s="55"/>
      <c r="C38" s="45"/>
      <c r="D38" s="45"/>
      <c r="E38" s="74" t="s">
        <v>198</v>
      </c>
      <c r="F38" s="73">
        <v>30000000</v>
      </c>
      <c r="G38" s="64"/>
    </row>
    <row r="39" spans="1:7" ht="12.75" customHeight="1">
      <c r="A39" s="45"/>
      <c r="B39" s="55"/>
      <c r="C39" s="45"/>
      <c r="D39" s="45"/>
      <c r="E39" s="74" t="s">
        <v>97</v>
      </c>
      <c r="F39" s="73">
        <f>4326265+2180855</f>
        <v>6507120</v>
      </c>
      <c r="G39" s="64"/>
    </row>
    <row r="40" spans="1:7" ht="12.75" customHeight="1">
      <c r="A40" s="45"/>
      <c r="B40" s="55"/>
      <c r="C40" s="45" t="s">
        <v>20</v>
      </c>
      <c r="D40" s="45"/>
      <c r="E40" s="72"/>
      <c r="F40" s="60">
        <v>0</v>
      </c>
      <c r="G40" s="64"/>
    </row>
    <row r="41" spans="1:7" ht="12.75" customHeight="1">
      <c r="A41" s="45"/>
      <c r="B41" s="55"/>
      <c r="C41" s="45" t="s">
        <v>21</v>
      </c>
      <c r="D41" s="45"/>
      <c r="E41" s="72"/>
      <c r="F41" s="98">
        <f>SUM(F42:F46)</f>
        <v>32349392</v>
      </c>
      <c r="G41" s="64"/>
    </row>
    <row r="42" spans="1:7" ht="12.75" customHeight="1">
      <c r="A42" s="45"/>
      <c r="B42" s="55"/>
      <c r="D42" s="75" t="s">
        <v>22</v>
      </c>
      <c r="E42" s="76"/>
      <c r="F42" s="73">
        <f>17399903+6039859</f>
        <v>23439762</v>
      </c>
      <c r="G42" s="64"/>
    </row>
    <row r="43" spans="1:7" ht="12.75" customHeight="1">
      <c r="A43" s="45"/>
      <c r="B43" s="55"/>
      <c r="D43" s="75" t="s">
        <v>23</v>
      </c>
      <c r="E43" s="76"/>
      <c r="F43" s="73">
        <f>6766531+1390215+16130</f>
        <v>8172876</v>
      </c>
      <c r="G43" s="64"/>
    </row>
    <row r="44" spans="1:7" ht="12.75" customHeight="1">
      <c r="A44" s="45"/>
      <c r="B44" s="55"/>
      <c r="D44" s="75" t="s">
        <v>24</v>
      </c>
      <c r="E44" s="76"/>
      <c r="F44" s="73">
        <v>630354</v>
      </c>
      <c r="G44" s="64"/>
    </row>
    <row r="45" spans="1:7" ht="12.75" customHeight="1">
      <c r="A45" s="45"/>
      <c r="B45" s="55"/>
      <c r="D45" s="75" t="s">
        <v>25</v>
      </c>
      <c r="E45" s="76"/>
      <c r="F45" s="73">
        <v>0</v>
      </c>
      <c r="G45" s="64"/>
    </row>
    <row r="46" spans="1:7" ht="12.75" customHeight="1">
      <c r="A46" s="45"/>
      <c r="B46" s="55"/>
      <c r="D46" s="75" t="s">
        <v>166</v>
      </c>
      <c r="E46" s="76"/>
      <c r="F46" s="73">
        <v>106400</v>
      </c>
      <c r="G46" s="64"/>
    </row>
    <row r="47" spans="1:7" ht="12.75" customHeight="1">
      <c r="A47" s="45"/>
      <c r="B47" s="55"/>
      <c r="C47" s="45" t="s">
        <v>27</v>
      </c>
      <c r="D47" s="45"/>
      <c r="E47" s="72"/>
      <c r="F47" s="98">
        <f>SUM(F48:F52)</f>
        <v>465174</v>
      </c>
      <c r="G47" s="64"/>
    </row>
    <row r="48" spans="1:7" ht="12.75" customHeight="1">
      <c r="A48" s="45"/>
      <c r="B48" s="55"/>
      <c r="C48" s="45"/>
      <c r="D48" s="75" t="s">
        <v>28</v>
      </c>
      <c r="E48" s="76"/>
      <c r="F48" s="73">
        <v>120315</v>
      </c>
      <c r="G48" s="64"/>
    </row>
    <row r="49" spans="1:7" ht="12.75" customHeight="1">
      <c r="A49" s="45"/>
      <c r="B49" s="55"/>
      <c r="D49" s="75" t="s">
        <v>29</v>
      </c>
      <c r="E49" s="77"/>
      <c r="F49" s="73">
        <v>307868</v>
      </c>
      <c r="G49" s="64"/>
    </row>
    <row r="50" spans="1:7" ht="12.75" customHeight="1">
      <c r="A50" s="45"/>
      <c r="B50" s="55"/>
      <c r="D50" s="75" t="s">
        <v>31</v>
      </c>
      <c r="E50" s="76"/>
      <c r="F50" s="73">
        <v>0</v>
      </c>
      <c r="G50" s="64"/>
    </row>
    <row r="51" spans="1:7" ht="12.75" customHeight="1">
      <c r="A51" s="45"/>
      <c r="B51" s="55"/>
      <c r="D51" s="75" t="s">
        <v>32</v>
      </c>
      <c r="E51" s="76"/>
      <c r="F51" s="73"/>
      <c r="G51" s="64"/>
    </row>
    <row r="52" spans="1:7" ht="12.75" customHeight="1">
      <c r="A52" s="45"/>
      <c r="B52" s="55"/>
      <c r="D52" s="75"/>
      <c r="E52" s="77" t="s">
        <v>33</v>
      </c>
      <c r="F52" s="73">
        <v>36991</v>
      </c>
      <c r="G52" s="64"/>
    </row>
    <row r="53" spans="1:7" ht="12.75" customHeight="1">
      <c r="A53" s="45"/>
      <c r="B53" s="55"/>
      <c r="C53" s="45" t="s">
        <v>34</v>
      </c>
      <c r="D53" s="45"/>
      <c r="E53" s="72"/>
      <c r="F53" s="63"/>
      <c r="G53" s="64"/>
    </row>
    <row r="54" spans="1:7" ht="12.75" customHeight="1">
      <c r="A54" s="45"/>
      <c r="B54" s="55"/>
      <c r="D54" s="45"/>
      <c r="E54" s="78" t="s">
        <v>35</v>
      </c>
      <c r="F54" s="63">
        <v>0</v>
      </c>
      <c r="G54" s="64"/>
    </row>
    <row r="55" spans="1:7" ht="12.75" customHeight="1">
      <c r="A55" s="45"/>
      <c r="B55" s="55"/>
      <c r="C55" s="45" t="s">
        <v>36</v>
      </c>
      <c r="D55" s="45"/>
      <c r="E55" s="72"/>
      <c r="F55" s="63">
        <v>0</v>
      </c>
      <c r="G55" s="64"/>
    </row>
    <row r="56" spans="1:7" ht="12.75" customHeight="1">
      <c r="A56" s="45"/>
      <c r="B56" s="55"/>
      <c r="C56" s="45" t="s">
        <v>37</v>
      </c>
      <c r="D56" s="45"/>
      <c r="E56" s="72"/>
      <c r="F56" s="63">
        <v>0</v>
      </c>
      <c r="G56" s="64"/>
    </row>
    <row r="57" spans="1:7" ht="12.75" customHeight="1">
      <c r="A57" s="45"/>
      <c r="B57" s="55"/>
      <c r="C57" s="45" t="s">
        <v>38</v>
      </c>
      <c r="D57" s="45"/>
      <c r="E57" s="72"/>
      <c r="F57" s="63">
        <f>SUM(F58:F58)</f>
        <v>235601</v>
      </c>
      <c r="G57" s="64"/>
    </row>
    <row r="58" spans="1:7" ht="12.75" customHeight="1">
      <c r="A58" s="45"/>
      <c r="B58" s="55"/>
      <c r="C58" s="45"/>
      <c r="D58" s="45"/>
      <c r="E58" s="74" t="s">
        <v>97</v>
      </c>
      <c r="F58" s="100">
        <v>235601</v>
      </c>
      <c r="G58" s="64"/>
    </row>
    <row r="59" spans="1:7" ht="12.75" customHeight="1">
      <c r="A59" s="45"/>
      <c r="B59" s="55"/>
      <c r="C59" s="45"/>
      <c r="D59" s="45"/>
      <c r="E59" s="78"/>
      <c r="F59" s="63" t="s">
        <v>0</v>
      </c>
      <c r="G59" s="64"/>
    </row>
    <row r="60" spans="1:7" ht="12.75" customHeight="1">
      <c r="A60" s="80"/>
      <c r="B60" s="58" t="s">
        <v>39</v>
      </c>
      <c r="C60" s="81"/>
      <c r="D60" s="81"/>
      <c r="E60" s="74"/>
      <c r="F60" s="63" t="s">
        <v>0</v>
      </c>
      <c r="G60" s="82">
        <f>G19+G30</f>
        <v>1513996</v>
      </c>
    </row>
    <row r="61" spans="1:7" ht="12.75" customHeight="1">
      <c r="A61" s="45"/>
      <c r="B61" s="83" t="s">
        <v>40</v>
      </c>
      <c r="C61" s="45"/>
      <c r="D61" s="45"/>
      <c r="E61" s="78"/>
      <c r="F61" s="63" t="s">
        <v>0</v>
      </c>
      <c r="G61" s="84"/>
    </row>
    <row r="62" spans="2:7" ht="12" customHeight="1">
      <c r="B62" s="85"/>
      <c r="E62" s="72"/>
      <c r="F62" s="63" t="s">
        <v>0</v>
      </c>
      <c r="G62" s="84"/>
    </row>
    <row r="63" spans="2:7" ht="12" customHeight="1">
      <c r="B63" s="58" t="s">
        <v>87</v>
      </c>
      <c r="C63" s="67"/>
      <c r="D63" s="67"/>
      <c r="E63" s="86"/>
      <c r="F63" s="69"/>
      <c r="G63" s="87">
        <f>SUM(F65:F67)</f>
        <v>-477099</v>
      </c>
    </row>
    <row r="64" spans="2:7" ht="12">
      <c r="B64" s="85"/>
      <c r="E64" s="72"/>
      <c r="F64" s="63"/>
      <c r="G64" s="84"/>
    </row>
    <row r="65" spans="2:7" ht="12">
      <c r="B65" s="55"/>
      <c r="C65" s="45" t="s">
        <v>84</v>
      </c>
      <c r="D65" s="45"/>
      <c r="E65" s="72"/>
      <c r="F65" s="60">
        <v>0</v>
      </c>
      <c r="G65" s="84"/>
    </row>
    <row r="66" spans="2:7" ht="12">
      <c r="B66" s="85"/>
      <c r="C66" s="45" t="s">
        <v>85</v>
      </c>
      <c r="E66" s="72"/>
      <c r="F66" s="63">
        <v>-493780</v>
      </c>
      <c r="G66" s="84"/>
    </row>
    <row r="67" spans="2:7" ht="12">
      <c r="B67" s="85"/>
      <c r="C67" s="45" t="s">
        <v>86</v>
      </c>
      <c r="E67" s="72"/>
      <c r="F67" s="63">
        <v>16681</v>
      </c>
      <c r="G67" s="84"/>
    </row>
    <row r="68" spans="2:7" ht="12">
      <c r="B68" s="85"/>
      <c r="E68" s="72"/>
      <c r="F68" s="63"/>
      <c r="G68" s="84"/>
    </row>
    <row r="69" spans="2:7" ht="12">
      <c r="B69" s="58" t="s">
        <v>88</v>
      </c>
      <c r="C69" s="67"/>
      <c r="D69" s="67"/>
      <c r="E69" s="86"/>
      <c r="F69" s="69">
        <v>0</v>
      </c>
      <c r="G69" s="87">
        <v>0</v>
      </c>
    </row>
    <row r="70" spans="2:7" ht="12">
      <c r="B70" s="85"/>
      <c r="E70" s="72"/>
      <c r="F70" s="63"/>
      <c r="G70" s="84"/>
    </row>
    <row r="71" spans="2:7" ht="12">
      <c r="B71" s="58" t="s">
        <v>83</v>
      </c>
      <c r="C71" s="67"/>
      <c r="D71" s="67"/>
      <c r="E71" s="86"/>
      <c r="F71" s="69"/>
      <c r="G71" s="87">
        <f>SUM(F73:F74)</f>
        <v>-67389</v>
      </c>
    </row>
    <row r="72" spans="2:7" ht="12">
      <c r="B72" s="85"/>
      <c r="E72" s="72"/>
      <c r="F72" s="63"/>
      <c r="G72" s="84"/>
    </row>
    <row r="73" spans="2:7" ht="12">
      <c r="B73" s="85"/>
      <c r="C73" s="45" t="s">
        <v>89</v>
      </c>
      <c r="E73" s="72"/>
      <c r="F73" s="63">
        <v>-131756</v>
      </c>
      <c r="G73" s="84"/>
    </row>
    <row r="74" spans="2:7" ht="12">
      <c r="B74" s="85"/>
      <c r="C74" s="45" t="s">
        <v>90</v>
      </c>
      <c r="E74" s="72"/>
      <c r="F74" s="63">
        <v>64367</v>
      </c>
      <c r="G74" s="84"/>
    </row>
    <row r="75" spans="2:7" ht="12">
      <c r="B75" s="85"/>
      <c r="E75" s="72"/>
      <c r="F75" s="63"/>
      <c r="G75" s="84"/>
    </row>
    <row r="76" spans="2:7" ht="12">
      <c r="B76" s="88" t="s">
        <v>91</v>
      </c>
      <c r="C76" s="68"/>
      <c r="D76" s="68"/>
      <c r="E76" s="86"/>
      <c r="F76" s="63">
        <v>2058483</v>
      </c>
      <c r="G76" s="87">
        <f>F76</f>
        <v>2058483</v>
      </c>
    </row>
    <row r="77" spans="2:7" ht="12">
      <c r="B77" s="85"/>
      <c r="E77" s="72"/>
      <c r="F77" s="63"/>
      <c r="G77" s="84"/>
    </row>
    <row r="78" spans="2:7" ht="12.75">
      <c r="B78" s="58"/>
      <c r="E78" s="89" t="s">
        <v>92</v>
      </c>
      <c r="F78" s="63"/>
      <c r="G78" s="90">
        <f>G60-G63-G69-G71-G76</f>
        <v>1</v>
      </c>
    </row>
    <row r="79" spans="2:7" ht="12">
      <c r="B79" s="91"/>
      <c r="C79" s="92"/>
      <c r="D79" s="92"/>
      <c r="E79" s="93"/>
      <c r="F79" s="94"/>
      <c r="G79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1"/>
  <sheetViews>
    <sheetView showGridLines="0" zoomScale="90" zoomScaleNormal="90" workbookViewId="0" topLeftCell="A1">
      <selection activeCell="F21" sqref="F21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2.00390625" style="6" customWidth="1"/>
    <col min="4" max="4" width="2.25390625" style="6" customWidth="1"/>
    <col min="5" max="5" width="35.875" style="6" customWidth="1"/>
    <col min="6" max="6" width="14.375" style="5" customWidth="1"/>
    <col min="7" max="7" width="17.75390625" style="5" customWidth="1"/>
    <col min="8" max="8" width="8.375" style="5" customWidth="1"/>
    <col min="9" max="9" width="17.875" style="5" customWidth="1"/>
    <col min="10" max="10" width="2.875" style="1" customWidth="1"/>
    <col min="11" max="12" width="9.875" style="1" customWidth="1"/>
    <col min="13" max="255" width="11.875" style="1" customWidth="1"/>
    <col min="256" max="16384" width="10.875" style="1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="4" customFormat="1" ht="12"/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7"/>
      <c r="D7" s="8"/>
      <c r="E7" s="8"/>
      <c r="F7" s="8"/>
      <c r="G7" s="8"/>
      <c r="H7" s="9"/>
      <c r="I7" s="1"/>
    </row>
    <row r="8" spans="1:9" ht="15">
      <c r="A8" s="1"/>
      <c r="B8" s="1"/>
      <c r="C8" s="10"/>
      <c r="D8" s="11"/>
      <c r="E8" s="13"/>
      <c r="F8" s="11"/>
      <c r="G8" s="11"/>
      <c r="H8" s="12"/>
      <c r="I8" s="1"/>
    </row>
    <row r="9" spans="1:9" ht="15">
      <c r="A9" s="1"/>
      <c r="B9" s="1"/>
      <c r="C9" s="10"/>
      <c r="D9" s="11"/>
      <c r="E9" s="13"/>
      <c r="F9" s="11"/>
      <c r="G9" s="11"/>
      <c r="H9" s="12"/>
      <c r="I9" s="1"/>
    </row>
    <row r="10" spans="1:9" ht="15">
      <c r="A10" s="1"/>
      <c r="B10" s="1"/>
      <c r="C10" s="10"/>
      <c r="D10" s="11"/>
      <c r="E10" s="13"/>
      <c r="F10" s="11"/>
      <c r="G10" s="11"/>
      <c r="H10" s="12"/>
      <c r="I10" s="1"/>
    </row>
    <row r="11" spans="1:9" ht="15">
      <c r="A11" s="1"/>
      <c r="B11" s="1"/>
      <c r="C11" s="10"/>
      <c r="D11" s="11"/>
      <c r="E11" s="13" t="s">
        <v>41</v>
      </c>
      <c r="F11" s="14">
        <f>RSA!G125</f>
        <v>-811587625</v>
      </c>
      <c r="G11" s="14"/>
      <c r="H11" s="12"/>
      <c r="I11" s="1"/>
    </row>
    <row r="12" spans="1:9" ht="15">
      <c r="A12" s="1"/>
      <c r="B12" s="1"/>
      <c r="C12" s="10"/>
      <c r="D12" s="11"/>
      <c r="E12" s="13" t="s">
        <v>105</v>
      </c>
      <c r="F12" s="14">
        <f>Ristorazione!G91</f>
        <v>0</v>
      </c>
      <c r="G12" s="14"/>
      <c r="H12" s="12"/>
      <c r="I12" s="1"/>
    </row>
    <row r="13" spans="1:9" ht="13.5" customHeight="1">
      <c r="A13" s="1"/>
      <c r="B13" s="1"/>
      <c r="C13" s="10"/>
      <c r="D13" s="13"/>
      <c r="E13" s="13" t="s">
        <v>42</v>
      </c>
      <c r="F13" s="14">
        <f>SAD!G100</f>
        <v>-122213064</v>
      </c>
      <c r="G13" s="14"/>
      <c r="H13" s="15"/>
      <c r="I13" s="1"/>
    </row>
    <row r="14" spans="1:9" ht="13.5" customHeight="1">
      <c r="A14" s="1"/>
      <c r="B14" s="1"/>
      <c r="C14" s="10"/>
      <c r="D14" s="13"/>
      <c r="E14" s="13" t="s">
        <v>73</v>
      </c>
      <c r="F14" s="14">
        <f>CDI!G85</f>
        <v>-54738602</v>
      </c>
      <c r="G14" s="14"/>
      <c r="H14" s="15"/>
      <c r="I14" s="1"/>
    </row>
    <row r="15" spans="1:9" ht="13.5" customHeight="1">
      <c r="A15" s="1"/>
      <c r="B15" s="1"/>
      <c r="C15" s="10"/>
      <c r="D15" s="13"/>
      <c r="E15" s="13" t="s">
        <v>106</v>
      </c>
      <c r="F15" s="14">
        <f>'ALLOGGI JUVARA'!G82</f>
        <v>0</v>
      </c>
      <c r="G15" s="14"/>
      <c r="H15" s="15"/>
      <c r="I15" s="1"/>
    </row>
    <row r="16" spans="1:9" ht="13.5" customHeight="1">
      <c r="A16" s="1"/>
      <c r="B16" s="1"/>
      <c r="C16" s="10"/>
      <c r="D16" s="13"/>
      <c r="E16" s="13" t="s">
        <v>107</v>
      </c>
      <c r="F16" s="14">
        <f>DORMITORIO!G87</f>
        <v>-73375145</v>
      </c>
      <c r="G16" s="14"/>
      <c r="H16" s="15"/>
      <c r="I16" s="1"/>
    </row>
    <row r="17" spans="1:9" ht="13.5" customHeight="1">
      <c r="A17" s="1"/>
      <c r="B17" s="1"/>
      <c r="C17" s="10"/>
      <c r="D17" s="13"/>
      <c r="E17" s="13" t="s">
        <v>66</v>
      </c>
      <c r="F17" s="14">
        <f>'DUE PINI'!G100</f>
        <v>296406863</v>
      </c>
      <c r="G17" s="14"/>
      <c r="H17" s="16"/>
      <c r="I17" s="1"/>
    </row>
    <row r="18" spans="1:9" ht="13.5" customHeight="1">
      <c r="A18" s="1"/>
      <c r="B18" s="1"/>
      <c r="C18" s="10"/>
      <c r="D18" s="13"/>
      <c r="E18" s="13" t="s">
        <v>67</v>
      </c>
      <c r="F18" s="14">
        <f>GRAMSCI!G101</f>
        <v>305867589</v>
      </c>
      <c r="G18" s="14"/>
      <c r="H18" s="16"/>
      <c r="I18" s="1"/>
    </row>
    <row r="19" spans="1:9" ht="13.5" customHeight="1">
      <c r="A19" s="1"/>
      <c r="B19" s="1"/>
      <c r="C19" s="10"/>
      <c r="D19" s="13"/>
      <c r="E19" s="13" t="s">
        <v>82</v>
      </c>
      <c r="F19" s="14">
        <f>TRASPORTI!G82</f>
        <v>0</v>
      </c>
      <c r="G19" s="14"/>
      <c r="H19" s="16"/>
      <c r="I19" s="1"/>
    </row>
    <row r="20" spans="1:9" ht="13.5" customHeight="1">
      <c r="A20" s="1"/>
      <c r="B20" s="1"/>
      <c r="C20" s="10"/>
      <c r="D20" s="13"/>
      <c r="E20" s="13" t="s">
        <v>199</v>
      </c>
      <c r="F20" s="14">
        <v>-19975666</v>
      </c>
      <c r="G20" s="14"/>
      <c r="H20" s="16"/>
      <c r="I20" s="1"/>
    </row>
    <row r="21" spans="3:8" s="3" customFormat="1" ht="15">
      <c r="C21" s="17"/>
      <c r="D21" s="13"/>
      <c r="E21" s="13" t="s">
        <v>69</v>
      </c>
      <c r="F21" s="14">
        <f>CAG!G95</f>
        <v>-51868392</v>
      </c>
      <c r="G21" s="14"/>
      <c r="H21" s="16"/>
    </row>
    <row r="22" spans="3:8" s="3" customFormat="1" ht="13.5" customHeight="1">
      <c r="C22" s="17"/>
      <c r="D22" s="13"/>
      <c r="E22" s="13" t="s">
        <v>70</v>
      </c>
      <c r="F22" s="14">
        <f>PG!G95</f>
        <v>-13207576</v>
      </c>
      <c r="G22" s="14"/>
      <c r="H22" s="16"/>
    </row>
    <row r="23" spans="3:8" s="3" customFormat="1" ht="13.5" customHeight="1">
      <c r="C23" s="17"/>
      <c r="D23" s="13"/>
      <c r="E23" s="13" t="s">
        <v>68</v>
      </c>
      <c r="F23" s="14">
        <f>SND!G79</f>
        <v>0</v>
      </c>
      <c r="G23" s="14"/>
      <c r="H23" s="16"/>
    </row>
    <row r="24" spans="3:8" s="3" customFormat="1" ht="13.5" customHeight="1">
      <c r="C24" s="17"/>
      <c r="D24" s="13"/>
      <c r="E24" s="13" t="s">
        <v>108</v>
      </c>
      <c r="F24" s="14">
        <f>'CPIH CAH'!G93</f>
        <v>-49241103</v>
      </c>
      <c r="G24" s="14"/>
      <c r="H24" s="16"/>
    </row>
    <row r="25" spans="3:8" s="3" customFormat="1" ht="13.5" customHeight="1">
      <c r="C25" s="17"/>
      <c r="D25" s="13"/>
      <c r="E25" s="13" t="s">
        <v>74</v>
      </c>
      <c r="F25" s="14">
        <f>'FORM MARK'!G78</f>
        <v>1</v>
      </c>
      <c r="G25" s="14"/>
      <c r="H25" s="16"/>
    </row>
    <row r="26" spans="1:9" ht="13.5" customHeight="1">
      <c r="A26" s="1"/>
      <c r="B26" s="1"/>
      <c r="C26" s="10"/>
      <c r="D26" s="13"/>
      <c r="E26" s="13" t="s">
        <v>71</v>
      </c>
      <c r="F26" s="14"/>
      <c r="G26" s="14">
        <f>SUM(F11:F25)</f>
        <v>-593932720</v>
      </c>
      <c r="H26" s="16"/>
      <c r="I26" s="1"/>
    </row>
    <row r="27" spans="1:9" ht="13.5" customHeight="1">
      <c r="A27" s="1"/>
      <c r="B27" s="1"/>
      <c r="C27" s="10"/>
      <c r="D27" s="13"/>
      <c r="E27" s="13"/>
      <c r="F27" s="14"/>
      <c r="G27" s="14"/>
      <c r="H27" s="16"/>
      <c r="I27" s="1"/>
    </row>
    <row r="28" spans="1:9" ht="12.75" customHeight="1">
      <c r="A28" s="1"/>
      <c r="B28" s="1"/>
      <c r="C28" s="10"/>
      <c r="D28" s="13"/>
      <c r="E28" s="13"/>
      <c r="F28" s="14"/>
      <c r="G28" s="14"/>
      <c r="H28" s="15"/>
      <c r="I28" s="1"/>
    </row>
    <row r="29" spans="1:9" ht="12.75" customHeight="1">
      <c r="A29" s="1"/>
      <c r="B29" s="1"/>
      <c r="C29" s="10"/>
      <c r="D29" s="13"/>
      <c r="E29" s="21" t="s">
        <v>72</v>
      </c>
      <c r="F29" s="14"/>
      <c r="G29" s="22">
        <f>SUM(G26:G28)</f>
        <v>-593932720</v>
      </c>
      <c r="H29" s="15"/>
      <c r="I29" s="1"/>
    </row>
    <row r="30" spans="1:9" ht="12.75" customHeight="1">
      <c r="A30" s="1"/>
      <c r="B30" s="1"/>
      <c r="C30" s="10"/>
      <c r="D30" s="13"/>
      <c r="E30" s="13"/>
      <c r="F30" s="13"/>
      <c r="G30" s="13"/>
      <c r="H30" s="15"/>
      <c r="I30" s="1"/>
    </row>
    <row r="31" spans="1:9" ht="12.75" customHeight="1">
      <c r="A31" s="1"/>
      <c r="B31" s="1"/>
      <c r="C31" s="18"/>
      <c r="D31" s="19"/>
      <c r="E31" s="19"/>
      <c r="F31" s="19"/>
      <c r="G31" s="19"/>
      <c r="H31" s="20"/>
      <c r="I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="2" customFormat="1" ht="12.75" customHeight="1"/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="2" customFormat="1" ht="12.75" customHeight="1"/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="2" customFormat="1" ht="12.75" customHeight="1"/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="2" customFormat="1" ht="12.75" customHeight="1"/>
    <row r="128" spans="1:9" ht="12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</sheetData>
  <sheetProtection password="C052"/>
  <printOptions horizontalCentered="1"/>
  <pageMargins left="0" right="0" top="0.7874015748031497" bottom="0.5905511811023623" header="0.5118110236220472" footer="0.5118110236220472"/>
  <pageSetup fitToHeight="2" fitToWidth="1" horizontalDpi="600" verticalDpi="600" orientation="portrait" paperSize="9" r:id="rId1"/>
  <rowBreaks count="1" manualBreakCount="1">
    <brk id="4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F22" sqref="F22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105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1472577940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1397466500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109</v>
      </c>
      <c r="F21" s="62">
        <v>1397466500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-4164206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SUM(F28:F30)</f>
        <v>79275646</v>
      </c>
      <c r="G27" s="64"/>
    </row>
    <row r="28" spans="1:7" ht="12.75" customHeight="1">
      <c r="A28" s="45"/>
      <c r="B28" s="55"/>
      <c r="C28" s="45"/>
      <c r="D28" s="65" t="s">
        <v>30</v>
      </c>
      <c r="E28" s="46" t="s">
        <v>110</v>
      </c>
      <c r="F28" s="62">
        <v>16819460</v>
      </c>
      <c r="G28" s="66"/>
    </row>
    <row r="29" spans="1:7" ht="12.75" customHeight="1">
      <c r="A29" s="45"/>
      <c r="B29" s="55"/>
      <c r="C29" s="45"/>
      <c r="D29" s="65" t="s">
        <v>200</v>
      </c>
      <c r="E29" s="46" t="s">
        <v>139</v>
      </c>
      <c r="F29" s="62">
        <v>62456186</v>
      </c>
      <c r="G29" s="66"/>
    </row>
    <row r="30" spans="1:7" ht="12.75" customHeight="1">
      <c r="A30" s="45"/>
      <c r="B30" s="55"/>
      <c r="C30" s="45"/>
      <c r="D30" s="65" t="s">
        <v>30</v>
      </c>
      <c r="E30" s="46" t="s">
        <v>57</v>
      </c>
      <c r="F30" s="62"/>
      <c r="G30" s="66"/>
    </row>
    <row r="31" spans="1:7" ht="12.75" customHeight="1">
      <c r="A31" s="45"/>
      <c r="B31" s="55"/>
      <c r="C31" s="45"/>
      <c r="D31" s="45"/>
      <c r="E31" s="45"/>
      <c r="F31" s="63"/>
      <c r="G31" s="64"/>
    </row>
    <row r="32" spans="1:7" s="71" customFormat="1" ht="12.75" customHeight="1">
      <c r="A32" s="67"/>
      <c r="B32" s="58" t="s">
        <v>16</v>
      </c>
      <c r="C32" s="67"/>
      <c r="D32" s="67"/>
      <c r="E32" s="68"/>
      <c r="F32" s="69"/>
      <c r="G32" s="70">
        <f>-(F34+F43+F50+F52+F58+F65+F66+F67+F68)</f>
        <v>-1454330789</v>
      </c>
    </row>
    <row r="33" spans="1:7" ht="12.75" customHeight="1">
      <c r="A33" s="45"/>
      <c r="B33" s="55"/>
      <c r="C33" s="45" t="s">
        <v>17</v>
      </c>
      <c r="D33" s="45"/>
      <c r="F33" s="63" t="s">
        <v>0</v>
      </c>
      <c r="G33" s="64"/>
    </row>
    <row r="34" spans="1:7" ht="12.75" customHeight="1">
      <c r="A34" s="45"/>
      <c r="B34" s="55"/>
      <c r="D34" s="45" t="s">
        <v>18</v>
      </c>
      <c r="E34" s="72"/>
      <c r="F34" s="98">
        <f>SUM(F35:F42)</f>
        <v>417394138</v>
      </c>
      <c r="G34" s="64"/>
    </row>
    <row r="35" spans="1:7" ht="12.75" customHeight="1">
      <c r="A35" s="45"/>
      <c r="B35" s="55"/>
      <c r="D35" s="45"/>
      <c r="E35" s="72" t="s">
        <v>111</v>
      </c>
      <c r="F35" s="73">
        <v>387043645</v>
      </c>
      <c r="G35" s="64"/>
    </row>
    <row r="36" spans="1:7" ht="12.75" customHeight="1">
      <c r="A36" s="45"/>
      <c r="B36" s="55"/>
      <c r="D36" s="45"/>
      <c r="E36" s="72" t="s">
        <v>164</v>
      </c>
      <c r="F36" s="73">
        <v>1366800</v>
      </c>
      <c r="G36" s="64"/>
    </row>
    <row r="37" spans="1:7" ht="12.75" customHeight="1">
      <c r="A37" s="45"/>
      <c r="B37" s="55"/>
      <c r="D37" s="45"/>
      <c r="E37" s="72" t="s">
        <v>95</v>
      </c>
      <c r="F37" s="73">
        <v>6950136</v>
      </c>
      <c r="G37" s="64"/>
    </row>
    <row r="38" spans="1:7" ht="12.75" customHeight="1">
      <c r="A38" s="45"/>
      <c r="B38" s="55"/>
      <c r="D38" s="45"/>
      <c r="E38" s="72" t="s">
        <v>58</v>
      </c>
      <c r="F38" s="73">
        <v>2849142</v>
      </c>
      <c r="G38" s="64"/>
    </row>
    <row r="39" spans="1:7" ht="12.75" customHeight="1">
      <c r="A39" s="45"/>
      <c r="B39" s="55"/>
      <c r="D39" s="45"/>
      <c r="E39" s="72" t="s">
        <v>45</v>
      </c>
      <c r="F39" s="73">
        <v>105500</v>
      </c>
      <c r="G39" s="64"/>
    </row>
    <row r="40" spans="1:7" ht="12.75" customHeight="1">
      <c r="A40" s="45"/>
      <c r="B40" s="55"/>
      <c r="D40" s="45"/>
      <c r="E40" s="72" t="s">
        <v>112</v>
      </c>
      <c r="F40" s="73">
        <v>3505835</v>
      </c>
      <c r="G40" s="64"/>
    </row>
    <row r="41" spans="1:7" ht="12.75" customHeight="1">
      <c r="A41" s="45"/>
      <c r="B41" s="55"/>
      <c r="C41" s="45"/>
      <c r="D41" s="45"/>
      <c r="E41" s="74" t="s">
        <v>60</v>
      </c>
      <c r="F41" s="73">
        <v>12663000</v>
      </c>
      <c r="G41" s="64"/>
    </row>
    <row r="42" spans="1:7" ht="12.75" customHeight="1">
      <c r="A42" s="45"/>
      <c r="B42" s="55"/>
      <c r="D42" s="45"/>
      <c r="E42" s="72" t="s">
        <v>96</v>
      </c>
      <c r="F42" s="99">
        <f>1703391+1206689</f>
        <v>2910080</v>
      </c>
      <c r="G42" s="64"/>
    </row>
    <row r="43" spans="1:7" ht="12.75" customHeight="1">
      <c r="A43" s="45"/>
      <c r="B43" s="55"/>
      <c r="C43" s="45" t="s">
        <v>19</v>
      </c>
      <c r="D43" s="45"/>
      <c r="E43" s="72"/>
      <c r="F43" s="98">
        <f>SUM(F44:F49)</f>
        <v>232055424</v>
      </c>
      <c r="G43" s="64"/>
    </row>
    <row r="44" spans="1:7" ht="12.75" customHeight="1">
      <c r="A44" s="45"/>
      <c r="B44" s="55"/>
      <c r="C44" s="45"/>
      <c r="D44" s="45"/>
      <c r="E44" s="74" t="s">
        <v>47</v>
      </c>
      <c r="F44" s="73">
        <v>15120743</v>
      </c>
      <c r="G44" s="64"/>
    </row>
    <row r="45" spans="1:7" ht="12.75" customHeight="1">
      <c r="A45" s="45"/>
      <c r="B45" s="55"/>
      <c r="C45" s="45"/>
      <c r="D45" s="45"/>
      <c r="E45" s="74" t="s">
        <v>46</v>
      </c>
      <c r="F45" s="73">
        <v>9663848</v>
      </c>
      <c r="G45" s="64"/>
    </row>
    <row r="46" spans="1:7" ht="12.75" customHeight="1">
      <c r="A46" s="45"/>
      <c r="B46" s="55"/>
      <c r="C46" s="45"/>
      <c r="D46" s="45"/>
      <c r="E46" s="74" t="s">
        <v>54</v>
      </c>
      <c r="F46" s="73">
        <v>15635308</v>
      </c>
      <c r="G46" s="64"/>
    </row>
    <row r="47" spans="1:7" ht="12.75" customHeight="1">
      <c r="A47" s="45"/>
      <c r="B47" s="55"/>
      <c r="C47" s="45"/>
      <c r="D47" s="45"/>
      <c r="E47" s="74" t="s">
        <v>165</v>
      </c>
      <c r="F47" s="73">
        <v>112583314</v>
      </c>
      <c r="G47" s="64"/>
    </row>
    <row r="48" spans="1:7" ht="12.75" customHeight="1">
      <c r="A48" s="45"/>
      <c r="B48" s="55"/>
      <c r="C48" s="45"/>
      <c r="D48" s="45"/>
      <c r="E48" s="74" t="s">
        <v>143</v>
      </c>
      <c r="F48" s="73">
        <v>626293</v>
      </c>
      <c r="G48" s="64"/>
    </row>
    <row r="49" spans="1:7" ht="12.75" customHeight="1">
      <c r="A49" s="45"/>
      <c r="B49" s="55"/>
      <c r="C49" s="45"/>
      <c r="D49" s="45"/>
      <c r="E49" s="74" t="s">
        <v>97</v>
      </c>
      <c r="F49" s="73">
        <f>52141546+26284372</f>
        <v>78425918</v>
      </c>
      <c r="G49" s="64"/>
    </row>
    <row r="50" spans="1:7" ht="12.75" customHeight="1">
      <c r="A50" s="45"/>
      <c r="B50" s="55"/>
      <c r="C50" s="45" t="s">
        <v>20</v>
      </c>
      <c r="D50" s="45"/>
      <c r="E50" s="72"/>
      <c r="F50" s="60">
        <f>SUM(F51:F51)</f>
        <v>900000</v>
      </c>
      <c r="G50" s="64"/>
    </row>
    <row r="51" spans="1:7" ht="12.75" customHeight="1">
      <c r="A51" s="45"/>
      <c r="B51" s="55"/>
      <c r="C51" s="45"/>
      <c r="D51" s="45"/>
      <c r="E51" s="74" t="s">
        <v>144</v>
      </c>
      <c r="F51" s="100">
        <v>900000</v>
      </c>
      <c r="G51" s="64"/>
    </row>
    <row r="52" spans="1:7" ht="12.75" customHeight="1">
      <c r="A52" s="45"/>
      <c r="B52" s="55"/>
      <c r="C52" s="45" t="s">
        <v>21</v>
      </c>
      <c r="D52" s="45"/>
      <c r="E52" s="72"/>
      <c r="F52" s="98">
        <f>SUM(F53:F57)</f>
        <v>783891593</v>
      </c>
      <c r="G52" s="64"/>
    </row>
    <row r="53" spans="1:7" ht="12.75" customHeight="1">
      <c r="A53" s="45"/>
      <c r="B53" s="55"/>
      <c r="D53" s="75" t="s">
        <v>22</v>
      </c>
      <c r="E53" s="76"/>
      <c r="F53" s="73">
        <f>529582938+72794326</f>
        <v>602377264</v>
      </c>
      <c r="G53" s="64"/>
    </row>
    <row r="54" spans="1:7" ht="12.75" customHeight="1">
      <c r="A54" s="45"/>
      <c r="B54" s="55"/>
      <c r="D54" s="75" t="s">
        <v>23</v>
      </c>
      <c r="E54" s="76"/>
      <c r="F54" s="73">
        <f>117953413+7424587+16755326+194404</f>
        <v>142327730</v>
      </c>
      <c r="G54" s="64"/>
    </row>
    <row r="55" spans="1:7" ht="12.75" customHeight="1">
      <c r="A55" s="45"/>
      <c r="B55" s="55"/>
      <c r="D55" s="75" t="s">
        <v>24</v>
      </c>
      <c r="E55" s="76"/>
      <c r="F55" s="73">
        <f>29755402+7597229</f>
        <v>37352631</v>
      </c>
      <c r="G55" s="64"/>
    </row>
    <row r="56" spans="1:7" ht="12.75" customHeight="1">
      <c r="A56" s="45"/>
      <c r="B56" s="55"/>
      <c r="D56" s="75" t="s">
        <v>25</v>
      </c>
      <c r="E56" s="76"/>
      <c r="F56" s="73">
        <v>0</v>
      </c>
      <c r="G56" s="64"/>
    </row>
    <row r="57" spans="1:7" ht="12.75" customHeight="1">
      <c r="A57" s="45"/>
      <c r="B57" s="55"/>
      <c r="D57" s="75" t="s">
        <v>166</v>
      </c>
      <c r="E57" s="76"/>
      <c r="F57" s="73">
        <f>551600+1282368</f>
        <v>1833968</v>
      </c>
      <c r="G57" s="64"/>
    </row>
    <row r="58" spans="1:7" ht="12.75" customHeight="1">
      <c r="A58" s="45"/>
      <c r="B58" s="55"/>
      <c r="C58" s="45" t="s">
        <v>27</v>
      </c>
      <c r="D58" s="45"/>
      <c r="E58" s="72"/>
      <c r="F58" s="98">
        <f>SUM(F59:F63)</f>
        <v>11044080</v>
      </c>
      <c r="G58" s="64"/>
    </row>
    <row r="59" spans="1:7" ht="12.75" customHeight="1">
      <c r="A59" s="45"/>
      <c r="B59" s="55"/>
      <c r="C59" s="45"/>
      <c r="D59" s="75" t="s">
        <v>28</v>
      </c>
      <c r="E59" s="76"/>
      <c r="F59" s="73">
        <v>1450075</v>
      </c>
      <c r="G59" s="64"/>
    </row>
    <row r="60" spans="1:7" ht="12.75" customHeight="1">
      <c r="A60" s="45"/>
      <c r="B60" s="55"/>
      <c r="D60" s="75" t="s">
        <v>29</v>
      </c>
      <c r="E60" s="77"/>
      <c r="F60" s="73">
        <f>5437652+3710528</f>
        <v>9148180</v>
      </c>
      <c r="G60" s="64"/>
    </row>
    <row r="61" spans="1:7" ht="12.75" customHeight="1">
      <c r="A61" s="45"/>
      <c r="B61" s="55"/>
      <c r="D61" s="75" t="s">
        <v>31</v>
      </c>
      <c r="E61" s="76"/>
      <c r="F61" s="73">
        <v>0</v>
      </c>
      <c r="G61" s="64"/>
    </row>
    <row r="62" spans="1:7" ht="12.75" customHeight="1">
      <c r="A62" s="45"/>
      <c r="B62" s="55"/>
      <c r="D62" s="75" t="s">
        <v>32</v>
      </c>
      <c r="E62" s="76"/>
      <c r="F62" s="73"/>
      <c r="G62" s="64"/>
    </row>
    <row r="63" spans="1:7" ht="12.75" customHeight="1">
      <c r="A63" s="45"/>
      <c r="B63" s="55"/>
      <c r="D63" s="75"/>
      <c r="E63" s="77" t="s">
        <v>33</v>
      </c>
      <c r="F63" s="73">
        <v>445825</v>
      </c>
      <c r="G63" s="64"/>
    </row>
    <row r="64" spans="1:7" ht="12.75" customHeight="1">
      <c r="A64" s="45"/>
      <c r="B64" s="55"/>
      <c r="C64" s="45" t="s">
        <v>34</v>
      </c>
      <c r="D64" s="45"/>
      <c r="E64" s="72"/>
      <c r="F64" s="63"/>
      <c r="G64" s="64"/>
    </row>
    <row r="65" spans="1:7" ht="12.75" customHeight="1">
      <c r="A65" s="45"/>
      <c r="B65" s="55"/>
      <c r="D65" s="45"/>
      <c r="E65" s="78" t="s">
        <v>35</v>
      </c>
      <c r="F65" s="63">
        <v>0</v>
      </c>
      <c r="G65" s="64"/>
    </row>
    <row r="66" spans="1:7" ht="12.75" customHeight="1">
      <c r="A66" s="45"/>
      <c r="B66" s="55"/>
      <c r="C66" s="45" t="s">
        <v>36</v>
      </c>
      <c r="D66" s="45"/>
      <c r="E66" s="72"/>
      <c r="F66" s="63">
        <v>0</v>
      </c>
      <c r="G66" s="64"/>
    </row>
    <row r="67" spans="1:7" ht="12.75" customHeight="1">
      <c r="A67" s="45"/>
      <c r="B67" s="55"/>
      <c r="C67" s="45" t="s">
        <v>37</v>
      </c>
      <c r="D67" s="45"/>
      <c r="E67" s="72"/>
      <c r="F67" s="63">
        <v>0</v>
      </c>
      <c r="G67" s="64"/>
    </row>
    <row r="68" spans="1:7" ht="12.75" customHeight="1">
      <c r="A68" s="45"/>
      <c r="B68" s="55"/>
      <c r="C68" s="45" t="s">
        <v>38</v>
      </c>
      <c r="D68" s="45"/>
      <c r="E68" s="72"/>
      <c r="F68" s="63">
        <f>SUM(F69:F71)</f>
        <v>9045554</v>
      </c>
      <c r="G68" s="64"/>
    </row>
    <row r="69" spans="1:7" ht="12.75" customHeight="1">
      <c r="A69" s="45"/>
      <c r="B69" s="55"/>
      <c r="C69" s="45"/>
      <c r="D69" s="45"/>
      <c r="E69" s="72" t="s">
        <v>159</v>
      </c>
      <c r="F69" s="96">
        <v>125000</v>
      </c>
      <c r="G69" s="64"/>
    </row>
    <row r="70" spans="1:7" ht="13.5" customHeight="1">
      <c r="A70" s="45"/>
      <c r="B70" s="55"/>
      <c r="C70" s="45"/>
      <c r="D70" s="45" t="s">
        <v>0</v>
      </c>
      <c r="E70" s="74" t="s">
        <v>59</v>
      </c>
      <c r="F70" s="73">
        <v>6081013</v>
      </c>
      <c r="G70" s="64"/>
    </row>
    <row r="71" spans="1:7" ht="12.75" customHeight="1">
      <c r="A71" s="45"/>
      <c r="B71" s="55"/>
      <c r="C71" s="45"/>
      <c r="D71" s="45"/>
      <c r="E71" s="74" t="s">
        <v>97</v>
      </c>
      <c r="F71" s="100">
        <v>2839541</v>
      </c>
      <c r="G71" s="64"/>
    </row>
    <row r="72" spans="1:7" ht="12.75" customHeight="1">
      <c r="A72" s="45"/>
      <c r="B72" s="55"/>
      <c r="C72" s="45"/>
      <c r="D72" s="45"/>
      <c r="E72" s="78"/>
      <c r="F72" s="63" t="s">
        <v>0</v>
      </c>
      <c r="G72" s="64"/>
    </row>
    <row r="73" spans="1:7" ht="12.75" customHeight="1">
      <c r="A73" s="80"/>
      <c r="B73" s="58" t="s">
        <v>39</v>
      </c>
      <c r="C73" s="81"/>
      <c r="D73" s="81"/>
      <c r="E73" s="74"/>
      <c r="F73" s="63" t="s">
        <v>0</v>
      </c>
      <c r="G73" s="82">
        <f>G19+G32</f>
        <v>18247151</v>
      </c>
    </row>
    <row r="74" spans="1:7" ht="12.75" customHeight="1">
      <c r="A74" s="45"/>
      <c r="B74" s="83" t="s">
        <v>40</v>
      </c>
      <c r="C74" s="45"/>
      <c r="D74" s="45"/>
      <c r="E74" s="78"/>
      <c r="F74" s="63" t="s">
        <v>0</v>
      </c>
      <c r="G74" s="84"/>
    </row>
    <row r="75" spans="2:7" ht="12" customHeight="1">
      <c r="B75" s="85"/>
      <c r="E75" s="72"/>
      <c r="F75" s="63" t="s">
        <v>0</v>
      </c>
      <c r="G75" s="84"/>
    </row>
    <row r="76" spans="2:7" ht="12" customHeight="1">
      <c r="B76" s="58" t="s">
        <v>87</v>
      </c>
      <c r="C76" s="67"/>
      <c r="D76" s="67"/>
      <c r="E76" s="86"/>
      <c r="F76" s="69"/>
      <c r="G76" s="87">
        <f>SUM(F78:F80)</f>
        <v>-5750153</v>
      </c>
    </row>
    <row r="77" spans="2:7" ht="12">
      <c r="B77" s="85"/>
      <c r="E77" s="72"/>
      <c r="F77" s="63"/>
      <c r="G77" s="84"/>
    </row>
    <row r="78" spans="2:7" ht="12">
      <c r="B78" s="55"/>
      <c r="C78" s="45" t="s">
        <v>84</v>
      </c>
      <c r="D78" s="45"/>
      <c r="E78" s="72"/>
      <c r="F78" s="60">
        <v>0</v>
      </c>
      <c r="G78" s="84"/>
    </row>
    <row r="79" spans="2:7" ht="12">
      <c r="B79" s="85"/>
      <c r="C79" s="45" t="s">
        <v>85</v>
      </c>
      <c r="E79" s="72"/>
      <c r="F79" s="63">
        <v>-5951200</v>
      </c>
      <c r="G79" s="84"/>
    </row>
    <row r="80" spans="2:7" ht="12">
      <c r="B80" s="85"/>
      <c r="C80" s="45" t="s">
        <v>86</v>
      </c>
      <c r="E80" s="72"/>
      <c r="F80" s="63">
        <v>201047</v>
      </c>
      <c r="G80" s="84"/>
    </row>
    <row r="81" spans="2:7" ht="12">
      <c r="B81" s="85"/>
      <c r="E81" s="72"/>
      <c r="F81" s="63"/>
      <c r="G81" s="84"/>
    </row>
    <row r="82" spans="2:7" ht="12">
      <c r="B82" s="58" t="s">
        <v>88</v>
      </c>
      <c r="C82" s="67"/>
      <c r="D82" s="67"/>
      <c r="E82" s="86"/>
      <c r="F82" s="69">
        <v>0</v>
      </c>
      <c r="G82" s="87">
        <v>0</v>
      </c>
    </row>
    <row r="83" spans="2:7" ht="12">
      <c r="B83" s="85"/>
      <c r="E83" s="72"/>
      <c r="F83" s="63"/>
      <c r="G83" s="84"/>
    </row>
    <row r="84" spans="2:7" ht="12">
      <c r="B84" s="58" t="s">
        <v>83</v>
      </c>
      <c r="C84" s="67"/>
      <c r="D84" s="67"/>
      <c r="E84" s="86"/>
      <c r="F84" s="69"/>
      <c r="G84" s="87">
        <f>SUM(F86:F87)</f>
        <v>-812199</v>
      </c>
    </row>
    <row r="85" spans="2:7" ht="12">
      <c r="B85" s="85"/>
      <c r="E85" s="72"/>
      <c r="F85" s="63"/>
      <c r="G85" s="84"/>
    </row>
    <row r="86" spans="2:7" ht="12">
      <c r="B86" s="85"/>
      <c r="C86" s="45" t="s">
        <v>89</v>
      </c>
      <c r="E86" s="72"/>
      <c r="F86" s="63">
        <v>-1587968</v>
      </c>
      <c r="G86" s="84"/>
    </row>
    <row r="87" spans="2:7" ht="12">
      <c r="B87" s="85"/>
      <c r="C87" s="45" t="s">
        <v>90</v>
      </c>
      <c r="E87" s="72"/>
      <c r="F87" s="63">
        <v>775769</v>
      </c>
      <c r="G87" s="84"/>
    </row>
    <row r="88" spans="2:7" ht="12">
      <c r="B88" s="85"/>
      <c r="E88" s="72"/>
      <c r="F88" s="63"/>
      <c r="G88" s="84"/>
    </row>
    <row r="89" spans="2:7" ht="12">
      <c r="B89" s="88" t="s">
        <v>91</v>
      </c>
      <c r="C89" s="68"/>
      <c r="D89" s="68"/>
      <c r="E89" s="86"/>
      <c r="F89" s="63">
        <v>24809503</v>
      </c>
      <c r="G89" s="87">
        <f>F89</f>
        <v>24809503</v>
      </c>
    </row>
    <row r="90" spans="2:7" ht="12">
      <c r="B90" s="85"/>
      <c r="E90" s="72"/>
      <c r="F90" s="63"/>
      <c r="G90" s="84"/>
    </row>
    <row r="91" spans="2:7" ht="12.75">
      <c r="B91" s="58"/>
      <c r="E91" s="89" t="s">
        <v>92</v>
      </c>
      <c r="F91" s="63"/>
      <c r="G91" s="90">
        <f>G73-G76-G82-G84-G89</f>
        <v>0</v>
      </c>
    </row>
    <row r="92" spans="2:7" ht="12">
      <c r="B92" s="91"/>
      <c r="C92" s="92"/>
      <c r="D92" s="92"/>
      <c r="E92" s="93"/>
      <c r="F92" s="94"/>
      <c r="G92" s="95"/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7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workbookViewId="0" topLeftCell="A1">
      <selection activeCell="F12" sqref="F12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102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42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F20+F27+F28+F29+F31</f>
        <v>931016110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SUM(F21:F25)</f>
        <v>439837966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123</v>
      </c>
      <c r="F21" s="62">
        <v>197603579</v>
      </c>
      <c r="G21" s="61"/>
    </row>
    <row r="22" spans="1:7" ht="12.75" customHeight="1">
      <c r="A22" s="45"/>
      <c r="B22" s="55"/>
      <c r="C22" s="45"/>
      <c r="D22" s="45" t="s">
        <v>30</v>
      </c>
      <c r="E22" s="46" t="s">
        <v>124</v>
      </c>
      <c r="F22" s="62">
        <v>12087360</v>
      </c>
      <c r="G22" s="61"/>
    </row>
    <row r="23" spans="1:7" ht="12.75" customHeight="1">
      <c r="A23" s="45"/>
      <c r="B23" s="55"/>
      <c r="C23" s="45"/>
      <c r="D23" s="45" t="s">
        <v>30</v>
      </c>
      <c r="E23" s="46" t="s">
        <v>125</v>
      </c>
      <c r="F23" s="62">
        <v>153442593</v>
      </c>
      <c r="G23" s="61"/>
    </row>
    <row r="24" spans="1:7" ht="12.75" customHeight="1">
      <c r="A24" s="45"/>
      <c r="B24" s="55"/>
      <c r="C24" s="45"/>
      <c r="D24" s="45" t="s">
        <v>30</v>
      </c>
      <c r="E24" s="46" t="s">
        <v>167</v>
      </c>
      <c r="F24" s="62">
        <v>2697600</v>
      </c>
      <c r="G24" s="61"/>
    </row>
    <row r="25" spans="1:7" ht="12.75" customHeight="1">
      <c r="A25" s="45"/>
      <c r="B25" s="55"/>
      <c r="C25" s="45"/>
      <c r="D25" s="45" t="s">
        <v>30</v>
      </c>
      <c r="E25" s="46" t="s">
        <v>126</v>
      </c>
      <c r="F25" s="62">
        <v>74006834</v>
      </c>
      <c r="G25" s="61"/>
    </row>
    <row r="26" spans="1:7" ht="12.75" customHeight="1">
      <c r="A26" s="45"/>
      <c r="B26" s="55"/>
      <c r="C26" s="45" t="s">
        <v>8</v>
      </c>
      <c r="D26" s="45" t="s">
        <v>9</v>
      </c>
      <c r="F26" s="63"/>
      <c r="G26" s="61"/>
    </row>
    <row r="27" spans="1:7" ht="12.75" customHeight="1">
      <c r="A27" s="45"/>
      <c r="B27" s="55"/>
      <c r="C27" s="45"/>
      <c r="D27" s="45" t="s">
        <v>10</v>
      </c>
      <c r="F27" s="63">
        <v>0</v>
      </c>
      <c r="G27" s="61"/>
    </row>
    <row r="28" spans="1:7" ht="12.75" customHeight="1">
      <c r="A28" s="45"/>
      <c r="B28" s="55"/>
      <c r="C28" s="45" t="s">
        <v>11</v>
      </c>
      <c r="D28" s="45" t="s">
        <v>12</v>
      </c>
      <c r="F28" s="63">
        <v>0</v>
      </c>
      <c r="G28" s="61"/>
    </row>
    <row r="29" spans="1:7" ht="12.75" customHeight="1">
      <c r="A29" s="45"/>
      <c r="B29" s="55"/>
      <c r="C29" s="45" t="s">
        <v>13</v>
      </c>
      <c r="D29" s="45"/>
      <c r="F29" s="63">
        <v>0</v>
      </c>
      <c r="G29" s="61"/>
    </row>
    <row r="30" spans="1:7" ht="12.75" customHeight="1">
      <c r="A30" s="45"/>
      <c r="B30" s="55"/>
      <c r="C30" s="45" t="s">
        <v>14</v>
      </c>
      <c r="D30" s="45"/>
      <c r="F30" s="63" t="s">
        <v>0</v>
      </c>
      <c r="G30" s="64"/>
    </row>
    <row r="31" spans="1:7" ht="12.75" customHeight="1">
      <c r="A31" s="45"/>
      <c r="B31" s="55"/>
      <c r="C31" s="45"/>
      <c r="D31" s="45" t="s">
        <v>15</v>
      </c>
      <c r="F31" s="60">
        <f>SUM(F32:F34)</f>
        <v>491178144</v>
      </c>
      <c r="G31" s="64"/>
    </row>
    <row r="32" spans="1:7" ht="12.75" customHeight="1">
      <c r="A32" s="45"/>
      <c r="B32" s="55"/>
      <c r="C32" s="45"/>
      <c r="D32" s="65" t="s">
        <v>30</v>
      </c>
      <c r="E32" s="46" t="s">
        <v>56</v>
      </c>
      <c r="F32" s="62">
        <v>440121000</v>
      </c>
      <c r="G32" s="66"/>
    </row>
    <row r="33" spans="1:7" ht="12.75" customHeight="1">
      <c r="A33" s="45"/>
      <c r="B33" s="55"/>
      <c r="C33" s="45"/>
      <c r="D33" s="65" t="s">
        <v>30</v>
      </c>
      <c r="E33" s="46" t="s">
        <v>139</v>
      </c>
      <c r="F33" s="62">
        <f>4485000+44719644</f>
        <v>49204644</v>
      </c>
      <c r="G33" s="66"/>
    </row>
    <row r="34" spans="1:7" ht="12.75" customHeight="1">
      <c r="A34" s="45"/>
      <c r="B34" s="55"/>
      <c r="C34" s="45"/>
      <c r="D34" s="65" t="s">
        <v>30</v>
      </c>
      <c r="E34" s="46" t="s">
        <v>57</v>
      </c>
      <c r="F34" s="62">
        <v>1852500</v>
      </c>
      <c r="G34" s="66"/>
    </row>
    <row r="35" spans="1:7" ht="12.75" customHeight="1">
      <c r="A35" s="45"/>
      <c r="B35" s="55"/>
      <c r="C35" s="45"/>
      <c r="D35" s="45"/>
      <c r="E35" s="45"/>
      <c r="F35" s="63"/>
      <c r="G35" s="64"/>
    </row>
    <row r="36" spans="1:7" s="71" customFormat="1" ht="12.75" customHeight="1">
      <c r="A36" s="67"/>
      <c r="B36" s="58" t="s">
        <v>16</v>
      </c>
      <c r="C36" s="67"/>
      <c r="D36" s="67"/>
      <c r="E36" s="68"/>
      <c r="F36" s="69"/>
      <c r="G36" s="70">
        <f>-(F38+F44+F58+F60+F66+F73+F74+F75+F76)</f>
        <v>-1041324472</v>
      </c>
    </row>
    <row r="37" spans="1:7" ht="12.75" customHeight="1">
      <c r="A37" s="45"/>
      <c r="B37" s="55"/>
      <c r="C37" s="45" t="s">
        <v>17</v>
      </c>
      <c r="D37" s="45"/>
      <c r="F37" s="63" t="s">
        <v>0</v>
      </c>
      <c r="G37" s="64"/>
    </row>
    <row r="38" spans="1:7" ht="12.75" customHeight="1">
      <c r="A38" s="45"/>
      <c r="B38" s="55"/>
      <c r="D38" s="45" t="s">
        <v>18</v>
      </c>
      <c r="E38" s="72"/>
      <c r="F38" s="98">
        <f>SUM(F39:F43)</f>
        <v>13318314</v>
      </c>
      <c r="G38" s="64"/>
    </row>
    <row r="39" spans="1:7" ht="12.75" customHeight="1">
      <c r="A39" s="45"/>
      <c r="B39" s="55"/>
      <c r="D39" s="45"/>
      <c r="E39" s="72" t="s">
        <v>94</v>
      </c>
      <c r="F39" s="73">
        <v>1800000</v>
      </c>
      <c r="G39" s="64"/>
    </row>
    <row r="40" spans="1:7" ht="12.75" customHeight="1">
      <c r="A40" s="45"/>
      <c r="B40" s="55"/>
      <c r="D40" s="45"/>
      <c r="E40" s="72" t="s">
        <v>95</v>
      </c>
      <c r="F40" s="73">
        <v>3312000</v>
      </c>
      <c r="G40" s="64"/>
    </row>
    <row r="41" spans="1:7" ht="12.75" customHeight="1">
      <c r="A41" s="45"/>
      <c r="B41" s="55"/>
      <c r="C41" s="45"/>
      <c r="D41" s="45"/>
      <c r="E41" s="74" t="s">
        <v>80</v>
      </c>
      <c r="F41" s="73">
        <v>6103149</v>
      </c>
      <c r="G41" s="64"/>
    </row>
    <row r="42" spans="1:7" ht="12.75" customHeight="1">
      <c r="A42" s="45"/>
      <c r="B42" s="55"/>
      <c r="C42" s="45"/>
      <c r="D42" s="45"/>
      <c r="E42" s="74" t="s">
        <v>45</v>
      </c>
      <c r="F42" s="73">
        <v>19500</v>
      </c>
      <c r="G42" s="64"/>
    </row>
    <row r="43" spans="1:7" ht="12.75" customHeight="1">
      <c r="A43" s="45"/>
      <c r="B43" s="55"/>
      <c r="D43" s="45"/>
      <c r="E43" s="72" t="s">
        <v>96</v>
      </c>
      <c r="F43" s="99">
        <f>1219656+864009</f>
        <v>2083665</v>
      </c>
      <c r="G43" s="64"/>
    </row>
    <row r="44" spans="1:7" ht="12.75" customHeight="1">
      <c r="A44" s="45"/>
      <c r="B44" s="55"/>
      <c r="C44" s="45" t="s">
        <v>19</v>
      </c>
      <c r="D44" s="45"/>
      <c r="E44" s="72"/>
      <c r="F44" s="98">
        <f>SUM(F45:F57)</f>
        <v>523117942</v>
      </c>
      <c r="G44" s="64"/>
    </row>
    <row r="45" spans="1:7" ht="12.75" customHeight="1">
      <c r="A45" s="45"/>
      <c r="B45" s="55"/>
      <c r="C45" s="45"/>
      <c r="D45" s="45"/>
      <c r="E45" s="72" t="s">
        <v>51</v>
      </c>
      <c r="F45" s="98">
        <v>18064819</v>
      </c>
      <c r="G45" s="64"/>
    </row>
    <row r="46" spans="1:7" ht="12.75" customHeight="1">
      <c r="A46" s="45"/>
      <c r="B46" s="55"/>
      <c r="C46" s="45"/>
      <c r="D46" s="45"/>
      <c r="E46" s="74" t="s">
        <v>46</v>
      </c>
      <c r="F46" s="73">
        <v>644257</v>
      </c>
      <c r="G46" s="64"/>
    </row>
    <row r="47" spans="1:7" ht="12.75" customHeight="1">
      <c r="A47" s="45"/>
      <c r="B47" s="55"/>
      <c r="C47" s="45"/>
      <c r="D47" s="45"/>
      <c r="E47" s="74" t="s">
        <v>127</v>
      </c>
      <c r="F47" s="73">
        <v>2060000</v>
      </c>
      <c r="G47" s="64"/>
    </row>
    <row r="48" spans="1:7" ht="12.75" customHeight="1">
      <c r="A48" s="45"/>
      <c r="B48" s="55"/>
      <c r="C48" s="45"/>
      <c r="D48" s="45"/>
      <c r="E48" s="74" t="s">
        <v>201</v>
      </c>
      <c r="F48" s="73">
        <f>13200000+1330692</f>
        <v>14530692</v>
      </c>
      <c r="G48" s="64"/>
    </row>
    <row r="49" spans="1:7" ht="12.75" customHeight="1">
      <c r="A49" s="45"/>
      <c r="B49" s="55"/>
      <c r="C49" s="45"/>
      <c r="D49" s="45"/>
      <c r="E49" s="74" t="s">
        <v>102</v>
      </c>
      <c r="F49" s="73">
        <v>148378500</v>
      </c>
      <c r="G49" s="64"/>
    </row>
    <row r="50" spans="1:7" ht="12.75" customHeight="1">
      <c r="A50" s="45"/>
      <c r="B50" s="55"/>
      <c r="C50" s="45"/>
      <c r="D50" s="45"/>
      <c r="E50" s="74" t="s">
        <v>168</v>
      </c>
      <c r="F50" s="73">
        <v>97417447</v>
      </c>
      <c r="G50" s="64"/>
    </row>
    <row r="51" spans="1:7" ht="12.75" customHeight="1">
      <c r="A51" s="45"/>
      <c r="B51" s="55"/>
      <c r="C51" s="45"/>
      <c r="D51" s="45"/>
      <c r="E51" s="74" t="s">
        <v>100</v>
      </c>
      <c r="F51" s="73">
        <v>160429417</v>
      </c>
      <c r="G51" s="64"/>
    </row>
    <row r="52" spans="1:7" ht="12.75" customHeight="1">
      <c r="A52" s="45"/>
      <c r="B52" s="55"/>
      <c r="C52" s="45"/>
      <c r="D52" s="45"/>
      <c r="E52" s="74" t="s">
        <v>169</v>
      </c>
      <c r="F52" s="73">
        <v>7516293</v>
      </c>
      <c r="G52" s="64"/>
    </row>
    <row r="53" spans="1:7" ht="12.75" customHeight="1">
      <c r="A53" s="45"/>
      <c r="B53" s="55"/>
      <c r="C53" s="45"/>
      <c r="D53" s="45"/>
      <c r="E53" s="74" t="s">
        <v>170</v>
      </c>
      <c r="F53" s="73">
        <v>4799549</v>
      </c>
      <c r="G53" s="64"/>
    </row>
    <row r="54" spans="1:7" ht="12.75" customHeight="1">
      <c r="A54" s="45"/>
      <c r="B54" s="55"/>
      <c r="C54" s="45"/>
      <c r="D54" s="45"/>
      <c r="E54" s="74" t="s">
        <v>154</v>
      </c>
      <c r="F54" s="73">
        <v>709000</v>
      </c>
      <c r="G54" s="64"/>
    </row>
    <row r="55" spans="1:7" ht="12.75" customHeight="1">
      <c r="A55" s="45"/>
      <c r="B55" s="55"/>
      <c r="C55" s="45"/>
      <c r="D55" s="45"/>
      <c r="E55" s="74" t="s">
        <v>48</v>
      </c>
      <c r="F55" s="73">
        <v>80000</v>
      </c>
      <c r="G55" s="64"/>
    </row>
    <row r="56" spans="1:7" ht="12.75" customHeight="1">
      <c r="A56" s="45"/>
      <c r="B56" s="55"/>
      <c r="C56" s="45"/>
      <c r="D56" s="45"/>
      <c r="E56" s="74" t="s">
        <v>50</v>
      </c>
      <c r="F56" s="73">
        <v>12333736</v>
      </c>
      <c r="G56" s="64"/>
    </row>
    <row r="57" spans="1:7" ht="12.75" customHeight="1">
      <c r="A57" s="45"/>
      <c r="B57" s="55"/>
      <c r="C57" s="45"/>
      <c r="D57" s="45"/>
      <c r="E57" s="74" t="s">
        <v>97</v>
      </c>
      <c r="F57" s="73">
        <f>37334194+18820038</f>
        <v>56154232</v>
      </c>
      <c r="G57" s="64"/>
    </row>
    <row r="58" spans="1:7" ht="12.75" customHeight="1">
      <c r="A58" s="45"/>
      <c r="B58" s="55"/>
      <c r="C58" s="45" t="s">
        <v>20</v>
      </c>
      <c r="D58" s="45"/>
      <c r="E58" s="72"/>
      <c r="F58" s="60">
        <f>SUM(F59:F59)</f>
        <v>13824720</v>
      </c>
      <c r="G58" s="64"/>
    </row>
    <row r="59" spans="1:7" ht="12.75" customHeight="1">
      <c r="A59" s="45"/>
      <c r="B59" s="55"/>
      <c r="C59" s="45"/>
      <c r="D59" s="45"/>
      <c r="E59" s="74" t="s">
        <v>103</v>
      </c>
      <c r="F59" s="73">
        <v>13824720</v>
      </c>
      <c r="G59" s="64"/>
    </row>
    <row r="60" spans="1:7" ht="12.75" customHeight="1">
      <c r="A60" s="45"/>
      <c r="B60" s="55"/>
      <c r="C60" s="45" t="s">
        <v>21</v>
      </c>
      <c r="D60" s="45"/>
      <c r="E60" s="72"/>
      <c r="F60" s="98">
        <f>SUM(F61:F65)</f>
        <v>458771842</v>
      </c>
      <c r="G60" s="64"/>
    </row>
    <row r="61" spans="1:7" ht="12.75" customHeight="1">
      <c r="A61" s="45"/>
      <c r="B61" s="55"/>
      <c r="D61" s="75" t="s">
        <v>22</v>
      </c>
      <c r="E61" s="76"/>
      <c r="F61" s="73">
        <f>294717254+52121921</f>
        <v>346839175</v>
      </c>
      <c r="G61" s="64"/>
    </row>
    <row r="62" spans="1:7" ht="12.75" customHeight="1">
      <c r="A62" s="45"/>
      <c r="B62" s="55"/>
      <c r="D62" s="75" t="s">
        <v>23</v>
      </c>
      <c r="E62" s="76"/>
      <c r="F62" s="73">
        <f>69998447+3955448+11997085+139196</f>
        <v>86090176</v>
      </c>
      <c r="G62" s="64"/>
    </row>
    <row r="63" spans="1:7" ht="12.75" customHeight="1">
      <c r="A63" s="45"/>
      <c r="B63" s="55"/>
      <c r="D63" s="75" t="s">
        <v>24</v>
      </c>
      <c r="E63" s="76"/>
      <c r="F63" s="73">
        <f>19484556+5439739</f>
        <v>24924295</v>
      </c>
      <c r="G63" s="64"/>
    </row>
    <row r="64" spans="1:7" ht="12.75" customHeight="1">
      <c r="A64" s="45"/>
      <c r="B64" s="55"/>
      <c r="D64" s="75" t="s">
        <v>25</v>
      </c>
      <c r="E64" s="76"/>
      <c r="F64" s="73">
        <v>0</v>
      </c>
      <c r="G64" s="64"/>
    </row>
    <row r="65" spans="1:7" ht="12.75" customHeight="1">
      <c r="A65" s="45"/>
      <c r="B65" s="55"/>
      <c r="D65" s="75" t="s">
        <v>166</v>
      </c>
      <c r="E65" s="76"/>
      <c r="F65" s="73">
        <v>918196</v>
      </c>
      <c r="G65" s="64"/>
    </row>
    <row r="66" spans="1:7" ht="12.75" customHeight="1">
      <c r="A66" s="45"/>
      <c r="B66" s="55"/>
      <c r="C66" s="45" t="s">
        <v>27</v>
      </c>
      <c r="D66" s="45"/>
      <c r="E66" s="72"/>
      <c r="F66" s="98">
        <f>SUM(F67:F71)</f>
        <v>12995660</v>
      </c>
      <c r="G66" s="64"/>
    </row>
    <row r="67" spans="1:7" ht="12.75" customHeight="1">
      <c r="A67" s="45"/>
      <c r="B67" s="55"/>
      <c r="C67" s="45"/>
      <c r="D67" s="75" t="s">
        <v>28</v>
      </c>
      <c r="E67" s="76"/>
      <c r="F67" s="73">
        <v>1038277</v>
      </c>
      <c r="G67" s="64"/>
    </row>
    <row r="68" spans="1:7" ht="12.75" customHeight="1">
      <c r="A68" s="45"/>
      <c r="B68" s="55"/>
      <c r="D68" s="75" t="s">
        <v>29</v>
      </c>
      <c r="E68" s="77"/>
      <c r="F68" s="73">
        <f>8981367+2656798</f>
        <v>11638165</v>
      </c>
      <c r="G68" s="64"/>
    </row>
    <row r="69" spans="1:7" ht="12.75" customHeight="1">
      <c r="A69" s="45"/>
      <c r="B69" s="55"/>
      <c r="D69" s="75" t="s">
        <v>31</v>
      </c>
      <c r="E69" s="76"/>
      <c r="F69" s="73">
        <v>0</v>
      </c>
      <c r="G69" s="64"/>
    </row>
    <row r="70" spans="1:7" ht="12.75" customHeight="1">
      <c r="A70" s="45"/>
      <c r="B70" s="55"/>
      <c r="D70" s="75" t="s">
        <v>32</v>
      </c>
      <c r="E70" s="76"/>
      <c r="F70" s="73"/>
      <c r="G70" s="64"/>
    </row>
    <row r="71" spans="1:7" ht="12.75" customHeight="1">
      <c r="A71" s="45"/>
      <c r="B71" s="55"/>
      <c r="D71" s="75"/>
      <c r="E71" s="77" t="s">
        <v>33</v>
      </c>
      <c r="F71" s="73">
        <v>319218</v>
      </c>
      <c r="G71" s="64"/>
    </row>
    <row r="72" spans="1:7" ht="12.75" customHeight="1">
      <c r="A72" s="45"/>
      <c r="B72" s="55"/>
      <c r="C72" s="45" t="s">
        <v>34</v>
      </c>
      <c r="D72" s="45"/>
      <c r="E72" s="72"/>
      <c r="F72" s="63"/>
      <c r="G72" s="64"/>
    </row>
    <row r="73" spans="1:7" ht="12.75" customHeight="1">
      <c r="A73" s="45"/>
      <c r="B73" s="55"/>
      <c r="D73" s="45"/>
      <c r="E73" s="78" t="s">
        <v>35</v>
      </c>
      <c r="F73" s="63">
        <v>0</v>
      </c>
      <c r="G73" s="64"/>
    </row>
    <row r="74" spans="1:7" ht="12.75" customHeight="1">
      <c r="A74" s="45"/>
      <c r="B74" s="55"/>
      <c r="C74" s="45" t="s">
        <v>36</v>
      </c>
      <c r="D74" s="45"/>
      <c r="E74" s="72"/>
      <c r="F74" s="63">
        <v>0</v>
      </c>
      <c r="G74" s="64"/>
    </row>
    <row r="75" spans="1:7" ht="12.75" customHeight="1">
      <c r="A75" s="45"/>
      <c r="B75" s="55"/>
      <c r="C75" s="45" t="s">
        <v>37</v>
      </c>
      <c r="D75" s="45"/>
      <c r="E75" s="72"/>
      <c r="F75" s="63">
        <v>0</v>
      </c>
      <c r="G75" s="64"/>
    </row>
    <row r="76" spans="1:7" ht="12.75" customHeight="1">
      <c r="A76" s="45"/>
      <c r="B76" s="55"/>
      <c r="C76" s="45" t="s">
        <v>38</v>
      </c>
      <c r="D76" s="45"/>
      <c r="E76" s="72"/>
      <c r="F76" s="63">
        <f>SUM(F77:F80)</f>
        <v>19295994</v>
      </c>
      <c r="G76" s="64"/>
    </row>
    <row r="77" spans="1:7" ht="12.75" customHeight="1">
      <c r="A77" s="45"/>
      <c r="B77" s="55"/>
      <c r="C77" s="45"/>
      <c r="D77" s="45"/>
      <c r="E77" s="79" t="s">
        <v>171</v>
      </c>
      <c r="F77" s="96">
        <v>2352500</v>
      </c>
      <c r="G77" s="64"/>
    </row>
    <row r="78" spans="1:7" ht="12.75" customHeight="1">
      <c r="A78" s="45"/>
      <c r="B78" s="55"/>
      <c r="C78" s="45"/>
      <c r="D78" s="45"/>
      <c r="E78" s="74" t="s">
        <v>104</v>
      </c>
      <c r="F78" s="73">
        <v>735000</v>
      </c>
      <c r="G78" s="64"/>
    </row>
    <row r="79" spans="1:7" ht="12.75" customHeight="1">
      <c r="A79" s="45"/>
      <c r="B79" s="55"/>
      <c r="C79" s="45"/>
      <c r="D79" s="45"/>
      <c r="E79" s="74" t="s">
        <v>163</v>
      </c>
      <c r="F79" s="101">
        <v>14175335</v>
      </c>
      <c r="G79" s="64"/>
    </row>
    <row r="80" spans="1:7" ht="12.75" customHeight="1">
      <c r="A80" s="45"/>
      <c r="B80" s="55"/>
      <c r="C80" s="45"/>
      <c r="D80" s="45"/>
      <c r="E80" s="74" t="s">
        <v>97</v>
      </c>
      <c r="F80" s="100">
        <v>2033159</v>
      </c>
      <c r="G80" s="64"/>
    </row>
    <row r="81" spans="1:7" ht="12.75" customHeight="1">
      <c r="A81" s="45"/>
      <c r="B81" s="55"/>
      <c r="C81" s="45"/>
      <c r="D81" s="45"/>
      <c r="E81" s="78"/>
      <c r="F81" s="63" t="s">
        <v>0</v>
      </c>
      <c r="G81" s="64"/>
    </row>
    <row r="82" spans="1:7" ht="12.75" customHeight="1">
      <c r="A82" s="80"/>
      <c r="B82" s="58" t="s">
        <v>39</v>
      </c>
      <c r="C82" s="81"/>
      <c r="D82" s="81"/>
      <c r="E82" s="74"/>
      <c r="F82" s="63" t="s">
        <v>0</v>
      </c>
      <c r="G82" s="82">
        <f>G19+G36</f>
        <v>-110308362</v>
      </c>
    </row>
    <row r="83" spans="1:7" ht="12.75" customHeight="1">
      <c r="A83" s="45"/>
      <c r="B83" s="83" t="s">
        <v>40</v>
      </c>
      <c r="C83" s="45"/>
      <c r="D83" s="45"/>
      <c r="E83" s="78"/>
      <c r="F83" s="63" t="s">
        <v>0</v>
      </c>
      <c r="G83" s="84"/>
    </row>
    <row r="84" spans="2:7" ht="12" customHeight="1">
      <c r="B84" s="85"/>
      <c r="E84" s="72"/>
      <c r="F84" s="63" t="s">
        <v>0</v>
      </c>
      <c r="G84" s="84"/>
    </row>
    <row r="85" spans="2:7" ht="12" customHeight="1">
      <c r="B85" s="58" t="s">
        <v>87</v>
      </c>
      <c r="C85" s="67"/>
      <c r="D85" s="67"/>
      <c r="E85" s="86"/>
      <c r="F85" s="69"/>
      <c r="G85" s="87">
        <f>SUM(F87:F89)</f>
        <v>-4102703</v>
      </c>
    </row>
    <row r="86" spans="2:7" ht="12">
      <c r="B86" s="85"/>
      <c r="E86" s="72"/>
      <c r="F86" s="63"/>
      <c r="G86" s="84"/>
    </row>
    <row r="87" spans="2:7" ht="12">
      <c r="B87" s="55"/>
      <c r="C87" s="45" t="s">
        <v>84</v>
      </c>
      <c r="D87" s="45"/>
      <c r="E87" s="72"/>
      <c r="F87" s="60">
        <v>0</v>
      </c>
      <c r="G87" s="84"/>
    </row>
    <row r="88" spans="2:7" ht="12">
      <c r="B88" s="85"/>
      <c r="C88" s="45" t="s">
        <v>85</v>
      </c>
      <c r="E88" s="72"/>
      <c r="F88" s="63">
        <v>-4261156</v>
      </c>
      <c r="G88" s="84"/>
    </row>
    <row r="89" spans="2:7" ht="12">
      <c r="B89" s="85"/>
      <c r="C89" s="45" t="s">
        <v>86</v>
      </c>
      <c r="E89" s="72"/>
      <c r="F89" s="63">
        <f>14500+143953</f>
        <v>158453</v>
      </c>
      <c r="G89" s="84"/>
    </row>
    <row r="90" spans="2:7" ht="12">
      <c r="B90" s="85"/>
      <c r="E90" s="72"/>
      <c r="F90" s="63"/>
      <c r="G90" s="84"/>
    </row>
    <row r="91" spans="2:7" ht="12">
      <c r="B91" s="58" t="s">
        <v>88</v>
      </c>
      <c r="C91" s="67"/>
      <c r="D91" s="67"/>
      <c r="E91" s="86"/>
      <c r="F91" s="69">
        <v>0</v>
      </c>
      <c r="G91" s="87">
        <v>0</v>
      </c>
    </row>
    <row r="92" spans="2:7" ht="12">
      <c r="B92" s="85"/>
      <c r="E92" s="72"/>
      <c r="F92" s="63"/>
      <c r="G92" s="84"/>
    </row>
    <row r="93" spans="2:7" ht="12">
      <c r="B93" s="58" t="s">
        <v>83</v>
      </c>
      <c r="C93" s="67"/>
      <c r="D93" s="67"/>
      <c r="E93" s="86"/>
      <c r="F93" s="69"/>
      <c r="G93" s="87">
        <f>SUM(F95:F96)</f>
        <v>-1756602</v>
      </c>
    </row>
    <row r="94" spans="2:7" ht="12">
      <c r="B94" s="85"/>
      <c r="E94" s="72"/>
      <c r="F94" s="63"/>
      <c r="G94" s="84"/>
    </row>
    <row r="95" spans="2:7" ht="12">
      <c r="B95" s="85"/>
      <c r="C95" s="45" t="s">
        <v>89</v>
      </c>
      <c r="E95" s="72"/>
      <c r="F95" s="63">
        <f>-1873554-1137011</f>
        <v>-3010565</v>
      </c>
      <c r="G95" s="84"/>
    </row>
    <row r="96" spans="2:7" ht="12">
      <c r="B96" s="85"/>
      <c r="C96" s="45" t="s">
        <v>90</v>
      </c>
      <c r="E96" s="72"/>
      <c r="F96" s="63">
        <f>698500+555463</f>
        <v>1253963</v>
      </c>
      <c r="G96" s="84"/>
    </row>
    <row r="97" spans="2:7" ht="12">
      <c r="B97" s="85"/>
      <c r="E97" s="72"/>
      <c r="F97" s="63"/>
      <c r="G97" s="84"/>
    </row>
    <row r="98" spans="2:7" ht="12">
      <c r="B98" s="88" t="s">
        <v>91</v>
      </c>
      <c r="C98" s="68"/>
      <c r="D98" s="68"/>
      <c r="E98" s="86"/>
      <c r="F98" s="63">
        <v>17764007</v>
      </c>
      <c r="G98" s="87">
        <f>F98</f>
        <v>17764007</v>
      </c>
    </row>
    <row r="99" spans="2:7" ht="12">
      <c r="B99" s="85"/>
      <c r="E99" s="72"/>
      <c r="F99" s="63"/>
      <c r="G99" s="84"/>
    </row>
    <row r="100" spans="2:7" ht="12.75">
      <c r="B100" s="58"/>
      <c r="E100" s="89" t="s">
        <v>92</v>
      </c>
      <c r="F100" s="63"/>
      <c r="G100" s="90">
        <f>G82-G85-G91-G93-G98</f>
        <v>-122213064</v>
      </c>
    </row>
    <row r="101" spans="2:7" ht="12">
      <c r="B101" s="91"/>
      <c r="C101" s="92"/>
      <c r="D101" s="92"/>
      <c r="E101" s="93"/>
      <c r="F101" s="94"/>
      <c r="G101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60">
      <selection activeCell="F66" sqref="F66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113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295833872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149988189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128</v>
      </c>
      <c r="F21" s="62">
        <v>149988189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0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SUM(F28:F30)</f>
        <v>145845683</v>
      </c>
      <c r="G27" s="64"/>
    </row>
    <row r="28" spans="1:7" ht="12.75" customHeight="1">
      <c r="A28" s="45"/>
      <c r="B28" s="55"/>
      <c r="C28" s="45"/>
      <c r="D28" s="65" t="s">
        <v>30</v>
      </c>
      <c r="E28" s="46" t="s">
        <v>56</v>
      </c>
      <c r="F28" s="62">
        <v>129967000</v>
      </c>
      <c r="G28" s="66"/>
    </row>
    <row r="29" spans="1:7" ht="12.75" customHeight="1">
      <c r="A29" s="45"/>
      <c r="B29" s="55"/>
      <c r="C29" s="45"/>
      <c r="D29" s="65" t="s">
        <v>30</v>
      </c>
      <c r="E29" s="46" t="s">
        <v>139</v>
      </c>
      <c r="F29" s="62">
        <f>700000+14868683</f>
        <v>15568683</v>
      </c>
      <c r="G29" s="66"/>
    </row>
    <row r="30" spans="1:7" ht="12.75" customHeight="1">
      <c r="A30" s="45"/>
      <c r="B30" s="55"/>
      <c r="C30" s="45"/>
      <c r="D30" s="65" t="s">
        <v>30</v>
      </c>
      <c r="E30" s="46" t="s">
        <v>57</v>
      </c>
      <c r="F30" s="62">
        <v>310000</v>
      </c>
      <c r="G30" s="66"/>
    </row>
    <row r="31" spans="1:7" ht="12.75" customHeight="1">
      <c r="A31" s="45"/>
      <c r="B31" s="55"/>
      <c r="C31" s="45"/>
      <c r="D31" s="45"/>
      <c r="E31" s="45"/>
      <c r="F31" s="63"/>
      <c r="G31" s="64"/>
    </row>
    <row r="32" spans="1:7" s="71" customFormat="1" ht="12.75" customHeight="1">
      <c r="A32" s="67"/>
      <c r="B32" s="58" t="s">
        <v>16</v>
      </c>
      <c r="C32" s="67"/>
      <c r="D32" s="67"/>
      <c r="E32" s="68"/>
      <c r="F32" s="69"/>
      <c r="G32" s="70">
        <f>-(F34+F38+F47+F48+F54+F61+F62+F63+F64)</f>
        <v>-346226451</v>
      </c>
    </row>
    <row r="33" spans="1:7" ht="12.75" customHeight="1">
      <c r="A33" s="45"/>
      <c r="B33" s="55"/>
      <c r="C33" s="45" t="s">
        <v>17</v>
      </c>
      <c r="D33" s="45"/>
      <c r="F33" s="63" t="s">
        <v>0</v>
      </c>
      <c r="G33" s="64"/>
    </row>
    <row r="34" spans="1:7" ht="12.75" customHeight="1">
      <c r="A34" s="45"/>
      <c r="B34" s="55"/>
      <c r="D34" s="45" t="s">
        <v>18</v>
      </c>
      <c r="E34" s="72"/>
      <c r="F34" s="98">
        <f>SUM(F35:F37)</f>
        <v>4637375</v>
      </c>
      <c r="G34" s="64"/>
    </row>
    <row r="35" spans="1:7" ht="12.75" customHeight="1">
      <c r="A35" s="45"/>
      <c r="B35" s="55"/>
      <c r="D35" s="45"/>
      <c r="E35" s="72" t="s">
        <v>45</v>
      </c>
      <c r="F35" s="73">
        <v>103000</v>
      </c>
      <c r="G35" s="64"/>
    </row>
    <row r="36" spans="1:7" ht="12.75" customHeight="1">
      <c r="A36" s="45"/>
      <c r="B36" s="55"/>
      <c r="C36" s="45"/>
      <c r="D36" s="45"/>
      <c r="E36" s="74" t="s">
        <v>60</v>
      </c>
      <c r="F36" s="73">
        <v>3841584</v>
      </c>
      <c r="G36" s="64"/>
    </row>
    <row r="37" spans="1:7" ht="12.75" customHeight="1">
      <c r="A37" s="45"/>
      <c r="B37" s="55"/>
      <c r="D37" s="45"/>
      <c r="E37" s="72" t="s">
        <v>96</v>
      </c>
      <c r="F37" s="99">
        <f>405519+287272</f>
        <v>692791</v>
      </c>
      <c r="G37" s="64"/>
    </row>
    <row r="38" spans="1:7" ht="12.75" customHeight="1">
      <c r="A38" s="45"/>
      <c r="B38" s="55"/>
      <c r="C38" s="45" t="s">
        <v>19</v>
      </c>
      <c r="D38" s="45"/>
      <c r="E38" s="72"/>
      <c r="F38" s="98">
        <f>SUM(F39:F46)</f>
        <v>108042345</v>
      </c>
      <c r="G38" s="64"/>
    </row>
    <row r="39" spans="1:7" ht="12.75" customHeight="1">
      <c r="A39" s="45"/>
      <c r="B39" s="55"/>
      <c r="C39" s="45"/>
      <c r="D39" s="45"/>
      <c r="E39" s="74" t="s">
        <v>46</v>
      </c>
      <c r="F39" s="73">
        <v>3221283</v>
      </c>
      <c r="G39" s="64"/>
    </row>
    <row r="40" spans="1:7" ht="12.75" customHeight="1">
      <c r="A40" s="45"/>
      <c r="B40" s="55"/>
      <c r="C40" s="45"/>
      <c r="D40" s="45"/>
      <c r="E40" s="74" t="s">
        <v>49</v>
      </c>
      <c r="F40" s="73">
        <v>18999903</v>
      </c>
      <c r="G40" s="64"/>
    </row>
    <row r="41" spans="1:7" ht="13.5" customHeight="1">
      <c r="A41" s="45"/>
      <c r="B41" s="55"/>
      <c r="C41" s="45"/>
      <c r="D41" s="45"/>
      <c r="E41" s="74" t="s">
        <v>172</v>
      </c>
      <c r="F41" s="73">
        <v>3620450</v>
      </c>
      <c r="G41" s="64"/>
    </row>
    <row r="42" spans="1:7" ht="13.5" customHeight="1">
      <c r="A42" s="45"/>
      <c r="B42" s="55"/>
      <c r="C42" s="45"/>
      <c r="D42" s="45"/>
      <c r="E42" s="74" t="s">
        <v>202</v>
      </c>
      <c r="F42" s="73">
        <f>5883904+643581</f>
        <v>6527485</v>
      </c>
      <c r="G42" s="64"/>
    </row>
    <row r="43" spans="1:7" ht="13.5" customHeight="1">
      <c r="A43" s="45"/>
      <c r="B43" s="55"/>
      <c r="C43" s="45"/>
      <c r="D43" s="45"/>
      <c r="E43" s="74" t="s">
        <v>102</v>
      </c>
      <c r="F43" s="73">
        <v>42441500</v>
      </c>
      <c r="G43" s="64"/>
    </row>
    <row r="44" spans="1:7" ht="13.5" customHeight="1">
      <c r="A44" s="45"/>
      <c r="B44" s="55"/>
      <c r="C44" s="45"/>
      <c r="D44" s="45"/>
      <c r="E44" s="74" t="s">
        <v>100</v>
      </c>
      <c r="F44" s="73">
        <v>12277168</v>
      </c>
      <c r="G44" s="64"/>
    </row>
    <row r="45" spans="1:7" ht="12.75" customHeight="1">
      <c r="A45" s="45"/>
      <c r="B45" s="55"/>
      <c r="C45" s="45"/>
      <c r="D45" s="45"/>
      <c r="E45" s="74" t="s">
        <v>50</v>
      </c>
      <c r="F45" s="73">
        <v>2284025</v>
      </c>
      <c r="G45" s="64"/>
    </row>
    <row r="46" spans="1:7" ht="12.75" customHeight="1">
      <c r="A46" s="45"/>
      <c r="B46" s="55"/>
      <c r="C46" s="45"/>
      <c r="D46" s="45"/>
      <c r="E46" s="74" t="s">
        <v>97</v>
      </c>
      <c r="F46" s="73">
        <f>12413120+6257411</f>
        <v>18670531</v>
      </c>
      <c r="G46" s="64"/>
    </row>
    <row r="47" spans="1:7" ht="12.75" customHeight="1">
      <c r="A47" s="45"/>
      <c r="B47" s="55"/>
      <c r="C47" s="45" t="s">
        <v>20</v>
      </c>
      <c r="D47" s="45"/>
      <c r="E47" s="72"/>
      <c r="F47" s="60">
        <v>0</v>
      </c>
      <c r="G47" s="64"/>
    </row>
    <row r="48" spans="1:7" ht="12.75" customHeight="1">
      <c r="A48" s="45"/>
      <c r="B48" s="55"/>
      <c r="C48" s="45" t="s">
        <v>21</v>
      </c>
      <c r="D48" s="45"/>
      <c r="E48" s="72"/>
      <c r="F48" s="98">
        <f>SUM(F49:F53)</f>
        <v>230374083</v>
      </c>
      <c r="G48" s="64"/>
    </row>
    <row r="49" spans="1:7" ht="12.75" customHeight="1">
      <c r="A49" s="45"/>
      <c r="B49" s="55"/>
      <c r="D49" s="75" t="s">
        <v>22</v>
      </c>
      <c r="E49" s="76"/>
      <c r="F49" s="73">
        <f>155519343+17329841</f>
        <v>172849184</v>
      </c>
      <c r="G49" s="64"/>
    </row>
    <row r="50" spans="1:7" ht="12.75" customHeight="1">
      <c r="A50" s="45"/>
      <c r="B50" s="55"/>
      <c r="D50" s="75" t="s">
        <v>23</v>
      </c>
      <c r="E50" s="76"/>
      <c r="F50" s="73">
        <f>43567588+1743951+3988870+46281</f>
        <v>49346690</v>
      </c>
      <c r="G50" s="64"/>
    </row>
    <row r="51" spans="1:7" ht="12.75" customHeight="1">
      <c r="A51" s="45"/>
      <c r="B51" s="55"/>
      <c r="D51" s="75" t="s">
        <v>24</v>
      </c>
      <c r="E51" s="76"/>
      <c r="F51" s="73">
        <f>6064280+1808641</f>
        <v>7872921</v>
      </c>
      <c r="G51" s="64"/>
    </row>
    <row r="52" spans="1:7" ht="12.75" customHeight="1">
      <c r="A52" s="45"/>
      <c r="B52" s="55"/>
      <c r="D52" s="75" t="s">
        <v>25</v>
      </c>
      <c r="E52" s="76"/>
      <c r="F52" s="73">
        <v>0</v>
      </c>
      <c r="G52" s="64"/>
    </row>
    <row r="53" spans="1:7" ht="12.75" customHeight="1">
      <c r="A53" s="45"/>
      <c r="B53" s="55"/>
      <c r="D53" s="75" t="s">
        <v>173</v>
      </c>
      <c r="E53" s="76"/>
      <c r="F53" s="73">
        <v>305288</v>
      </c>
      <c r="G53" s="64"/>
    </row>
    <row r="54" spans="1:7" ht="12.75" customHeight="1">
      <c r="A54" s="45"/>
      <c r="B54" s="55"/>
      <c r="C54" s="45" t="s">
        <v>27</v>
      </c>
      <c r="D54" s="45"/>
      <c r="E54" s="72"/>
      <c r="F54" s="98">
        <f>SUM(F55:F59)</f>
        <v>2496652</v>
      </c>
      <c r="G54" s="64"/>
    </row>
    <row r="55" spans="1:7" ht="12.75" customHeight="1">
      <c r="A55" s="45"/>
      <c r="B55" s="55"/>
      <c r="C55" s="45"/>
      <c r="D55" s="75" t="s">
        <v>28</v>
      </c>
      <c r="E55" s="76"/>
      <c r="F55" s="73">
        <v>345213</v>
      </c>
      <c r="G55" s="64"/>
    </row>
    <row r="56" spans="1:7" ht="12.75" customHeight="1">
      <c r="A56" s="45"/>
      <c r="B56" s="55"/>
      <c r="D56" s="75" t="s">
        <v>29</v>
      </c>
      <c r="E56" s="77"/>
      <c r="F56" s="73">
        <f>1161953+883350</f>
        <v>2045303</v>
      </c>
      <c r="G56" s="64"/>
    </row>
    <row r="57" spans="1:7" ht="12.75" customHeight="1">
      <c r="A57" s="45"/>
      <c r="B57" s="55"/>
      <c r="D57" s="75" t="s">
        <v>31</v>
      </c>
      <c r="E57" s="76"/>
      <c r="F57" s="73">
        <v>0</v>
      </c>
      <c r="G57" s="64"/>
    </row>
    <row r="58" spans="1:7" ht="12.75" customHeight="1">
      <c r="A58" s="45"/>
      <c r="B58" s="55"/>
      <c r="D58" s="75" t="s">
        <v>32</v>
      </c>
      <c r="E58" s="76"/>
      <c r="F58" s="73"/>
      <c r="G58" s="64"/>
    </row>
    <row r="59" spans="1:7" ht="12.75" customHeight="1">
      <c r="A59" s="45"/>
      <c r="B59" s="55"/>
      <c r="D59" s="75"/>
      <c r="E59" s="77" t="s">
        <v>33</v>
      </c>
      <c r="F59" s="73">
        <v>106136</v>
      </c>
      <c r="G59" s="64"/>
    </row>
    <row r="60" spans="1:7" ht="12.75" customHeight="1">
      <c r="A60" s="45"/>
      <c r="B60" s="55"/>
      <c r="C60" s="45" t="s">
        <v>34</v>
      </c>
      <c r="D60" s="45"/>
      <c r="E60" s="72"/>
      <c r="F60" s="63"/>
      <c r="G60" s="64"/>
    </row>
    <row r="61" spans="1:7" ht="12.75" customHeight="1">
      <c r="A61" s="45"/>
      <c r="B61" s="55"/>
      <c r="D61" s="45"/>
      <c r="E61" s="78" t="s">
        <v>35</v>
      </c>
      <c r="F61" s="63">
        <v>0</v>
      </c>
      <c r="G61" s="64"/>
    </row>
    <row r="62" spans="1:7" ht="12.75" customHeight="1">
      <c r="A62" s="45"/>
      <c r="B62" s="55"/>
      <c r="C62" s="45" t="s">
        <v>36</v>
      </c>
      <c r="D62" s="45"/>
      <c r="E62" s="72"/>
      <c r="F62" s="63">
        <v>0</v>
      </c>
      <c r="G62" s="64"/>
    </row>
    <row r="63" spans="1:7" ht="12.75" customHeight="1">
      <c r="A63" s="45"/>
      <c r="B63" s="55"/>
      <c r="C63" s="45" t="s">
        <v>37</v>
      </c>
      <c r="D63" s="45"/>
      <c r="E63" s="72"/>
      <c r="F63" s="63">
        <v>0</v>
      </c>
      <c r="G63" s="64"/>
    </row>
    <row r="64" spans="1:7" ht="12.75" customHeight="1">
      <c r="A64" s="45"/>
      <c r="B64" s="55"/>
      <c r="C64" s="45" t="s">
        <v>38</v>
      </c>
      <c r="D64" s="45"/>
      <c r="E64" s="72"/>
      <c r="F64" s="63">
        <f>SUM(F65:F65)</f>
        <v>675996</v>
      </c>
      <c r="G64" s="64"/>
    </row>
    <row r="65" spans="1:7" ht="12.75" customHeight="1">
      <c r="A65" s="45"/>
      <c r="B65" s="55"/>
      <c r="C65" s="45"/>
      <c r="D65" s="45"/>
      <c r="E65" s="74" t="s">
        <v>97</v>
      </c>
      <c r="F65" s="100">
        <v>675996</v>
      </c>
      <c r="G65" s="64"/>
    </row>
    <row r="66" spans="1:7" ht="12.75" customHeight="1">
      <c r="A66" s="45"/>
      <c r="B66" s="55"/>
      <c r="C66" s="45"/>
      <c r="D66" s="45"/>
      <c r="E66" s="78"/>
      <c r="F66" s="63" t="s">
        <v>0</v>
      </c>
      <c r="G66" s="64"/>
    </row>
    <row r="67" spans="1:7" ht="12.75" customHeight="1">
      <c r="A67" s="80"/>
      <c r="B67" s="58" t="s">
        <v>39</v>
      </c>
      <c r="C67" s="81"/>
      <c r="D67" s="81"/>
      <c r="E67" s="74"/>
      <c r="F67" s="63" t="s">
        <v>0</v>
      </c>
      <c r="G67" s="82">
        <f>G19+G32</f>
        <v>-50392579</v>
      </c>
    </row>
    <row r="68" spans="1:7" ht="12.75" customHeight="1">
      <c r="A68" s="45"/>
      <c r="B68" s="83" t="s">
        <v>40</v>
      </c>
      <c r="C68" s="45"/>
      <c r="D68" s="45"/>
      <c r="E68" s="78"/>
      <c r="F68" s="63" t="s">
        <v>0</v>
      </c>
      <c r="G68" s="84"/>
    </row>
    <row r="69" spans="2:7" ht="12" customHeight="1">
      <c r="B69" s="85"/>
      <c r="E69" s="72"/>
      <c r="F69" s="63" t="s">
        <v>0</v>
      </c>
      <c r="G69" s="84"/>
    </row>
    <row r="70" spans="2:7" ht="12" customHeight="1">
      <c r="B70" s="58" t="s">
        <v>87</v>
      </c>
      <c r="C70" s="67"/>
      <c r="D70" s="67"/>
      <c r="E70" s="86"/>
      <c r="F70" s="69"/>
      <c r="G70" s="87">
        <f>SUM(F72:F74)</f>
        <v>-1366915</v>
      </c>
    </row>
    <row r="71" spans="2:7" ht="12">
      <c r="B71" s="85"/>
      <c r="E71" s="72"/>
      <c r="F71" s="63"/>
      <c r="G71" s="84"/>
    </row>
    <row r="72" spans="2:7" ht="12">
      <c r="B72" s="55"/>
      <c r="C72" s="45" t="s">
        <v>84</v>
      </c>
      <c r="D72" s="45"/>
      <c r="E72" s="72"/>
      <c r="F72" s="60">
        <v>0</v>
      </c>
      <c r="G72" s="84"/>
    </row>
    <row r="73" spans="2:7" ht="12">
      <c r="B73" s="85"/>
      <c r="C73" s="45" t="s">
        <v>85</v>
      </c>
      <c r="E73" s="72"/>
      <c r="F73" s="63">
        <v>-1416777</v>
      </c>
      <c r="G73" s="84"/>
    </row>
    <row r="74" spans="2:7" ht="12">
      <c r="B74" s="85"/>
      <c r="C74" s="45" t="s">
        <v>86</v>
      </c>
      <c r="E74" s="72"/>
      <c r="F74" s="63">
        <f>2000+47862</f>
        <v>49862</v>
      </c>
      <c r="G74" s="84"/>
    </row>
    <row r="75" spans="2:7" ht="12">
      <c r="B75" s="85"/>
      <c r="E75" s="72"/>
      <c r="F75" s="63"/>
      <c r="G75" s="84"/>
    </row>
    <row r="76" spans="2:7" ht="12">
      <c r="B76" s="58" t="s">
        <v>88</v>
      </c>
      <c r="C76" s="67"/>
      <c r="D76" s="67"/>
      <c r="E76" s="86"/>
      <c r="F76" s="69">
        <v>0</v>
      </c>
      <c r="G76" s="87">
        <v>0</v>
      </c>
    </row>
    <row r="77" spans="2:7" ht="12">
      <c r="B77" s="85"/>
      <c r="E77" s="72"/>
      <c r="F77" s="63"/>
      <c r="G77" s="84"/>
    </row>
    <row r="78" spans="2:7" ht="12">
      <c r="B78" s="58" t="s">
        <v>83</v>
      </c>
      <c r="C78" s="67"/>
      <c r="D78" s="67"/>
      <c r="E78" s="86"/>
      <c r="F78" s="69"/>
      <c r="G78" s="87">
        <f>SUM(F80:F81)</f>
        <v>-193357</v>
      </c>
    </row>
    <row r="79" spans="2:7" ht="12">
      <c r="B79" s="85"/>
      <c r="E79" s="72"/>
      <c r="F79" s="63"/>
      <c r="G79" s="84"/>
    </row>
    <row r="80" spans="2:7" ht="12">
      <c r="B80" s="85"/>
      <c r="C80" s="45" t="s">
        <v>89</v>
      </c>
      <c r="E80" s="72"/>
      <c r="F80" s="63">
        <v>-378041</v>
      </c>
      <c r="G80" s="84"/>
    </row>
    <row r="81" spans="2:7" ht="12">
      <c r="B81" s="85"/>
      <c r="C81" s="45" t="s">
        <v>90</v>
      </c>
      <c r="E81" s="72"/>
      <c r="F81" s="63">
        <v>184684</v>
      </c>
      <c r="G81" s="84"/>
    </row>
    <row r="82" spans="2:7" ht="12">
      <c r="B82" s="85"/>
      <c r="E82" s="72"/>
      <c r="F82" s="63"/>
      <c r="G82" s="84"/>
    </row>
    <row r="83" spans="2:7" ht="12">
      <c r="B83" s="88" t="s">
        <v>91</v>
      </c>
      <c r="C83" s="68"/>
      <c r="D83" s="68"/>
      <c r="E83" s="86"/>
      <c r="F83" s="63">
        <v>5906295</v>
      </c>
      <c r="G83" s="87">
        <f>F83</f>
        <v>5906295</v>
      </c>
    </row>
    <row r="84" spans="2:7" ht="12">
      <c r="B84" s="85"/>
      <c r="E84" s="72"/>
      <c r="F84" s="63"/>
      <c r="G84" s="84"/>
    </row>
    <row r="85" spans="2:7" ht="12.75">
      <c r="B85" s="58"/>
      <c r="E85" s="89" t="s">
        <v>92</v>
      </c>
      <c r="F85" s="63"/>
      <c r="G85" s="90">
        <f>G67-G70-G76-G78-G83</f>
        <v>-54738602</v>
      </c>
    </row>
    <row r="86" spans="2:7" ht="12">
      <c r="B86" s="91"/>
      <c r="C86" s="92"/>
      <c r="D86" s="92"/>
      <c r="E86" s="93"/>
      <c r="F86" s="94"/>
      <c r="G86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8">
      <selection activeCell="F33" sqref="F33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114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24214447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23162500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129</v>
      </c>
      <c r="F21" s="62">
        <v>23162500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0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SUM(F28:F29)</f>
        <v>1051947</v>
      </c>
      <c r="G27" s="64"/>
    </row>
    <row r="28" spans="1:7" ht="12.75" customHeight="1">
      <c r="A28" s="45"/>
      <c r="B28" s="55"/>
      <c r="C28" s="45"/>
      <c r="D28" s="45" t="s">
        <v>30</v>
      </c>
      <c r="E28" s="46" t="s">
        <v>139</v>
      </c>
      <c r="F28" s="104">
        <v>1024447</v>
      </c>
      <c r="G28" s="64"/>
    </row>
    <row r="29" spans="1:7" ht="12.75" customHeight="1">
      <c r="A29" s="45"/>
      <c r="B29" s="55"/>
      <c r="C29" s="45"/>
      <c r="D29" s="65" t="s">
        <v>30</v>
      </c>
      <c r="E29" s="46" t="s">
        <v>57</v>
      </c>
      <c r="F29" s="62">
        <v>27500</v>
      </c>
      <c r="G29" s="66"/>
    </row>
    <row r="30" spans="1:7" ht="12.75" customHeight="1">
      <c r="A30" s="45"/>
      <c r="B30" s="55"/>
      <c r="C30" s="45"/>
      <c r="D30" s="45"/>
      <c r="E30" s="45"/>
      <c r="F30" s="63"/>
      <c r="G30" s="64"/>
    </row>
    <row r="31" spans="1:7" s="71" customFormat="1" ht="12.75" customHeight="1">
      <c r="A31" s="67"/>
      <c r="B31" s="58" t="s">
        <v>16</v>
      </c>
      <c r="C31" s="67"/>
      <c r="D31" s="67"/>
      <c r="E31" s="68"/>
      <c r="F31" s="69"/>
      <c r="G31" s="70">
        <f>-(F33+F35+F42+F43+F49+F56+F57+F58+F59)</f>
        <v>-23854876</v>
      </c>
    </row>
    <row r="32" spans="1:7" ht="12.75" customHeight="1">
      <c r="A32" s="45"/>
      <c r="B32" s="55"/>
      <c r="C32" s="45" t="s">
        <v>17</v>
      </c>
      <c r="D32" s="45"/>
      <c r="F32" s="63" t="s">
        <v>0</v>
      </c>
      <c r="G32" s="64"/>
    </row>
    <row r="33" spans="1:7" ht="12.75" customHeight="1">
      <c r="A33" s="45"/>
      <c r="B33" s="55"/>
      <c r="D33" s="45" t="s">
        <v>18</v>
      </c>
      <c r="E33" s="72"/>
      <c r="F33" s="98">
        <f>SUM(F34:F34)</f>
        <v>47733</v>
      </c>
      <c r="G33" s="64"/>
    </row>
    <row r="34" spans="1:7" ht="12.75" customHeight="1">
      <c r="A34" s="45"/>
      <c r="B34" s="55"/>
      <c r="D34" s="45"/>
      <c r="E34" s="72" t="s">
        <v>96</v>
      </c>
      <c r="F34" s="99">
        <f>27940+19793</f>
        <v>47733</v>
      </c>
      <c r="G34" s="64"/>
    </row>
    <row r="35" spans="1:7" ht="12.75" customHeight="1">
      <c r="A35" s="45"/>
      <c r="B35" s="55"/>
      <c r="C35" s="45" t="s">
        <v>19</v>
      </c>
      <c r="D35" s="45"/>
      <c r="E35" s="72"/>
      <c r="F35" s="98">
        <f>SUM(F36:F41)</f>
        <v>20812524</v>
      </c>
      <c r="G35" s="64"/>
    </row>
    <row r="36" spans="1:7" ht="12.75" customHeight="1">
      <c r="A36" s="45"/>
      <c r="B36" s="55"/>
      <c r="C36" s="45"/>
      <c r="D36" s="45"/>
      <c r="E36" s="74" t="s">
        <v>47</v>
      </c>
      <c r="F36" s="73">
        <v>3221936</v>
      </c>
      <c r="G36" s="64"/>
    </row>
    <row r="37" spans="1:7" ht="12.75" customHeight="1">
      <c r="A37" s="45"/>
      <c r="B37" s="55"/>
      <c r="C37" s="45"/>
      <c r="D37" s="45"/>
      <c r="E37" s="74" t="s">
        <v>46</v>
      </c>
      <c r="F37" s="73">
        <v>586826</v>
      </c>
      <c r="G37" s="64"/>
    </row>
    <row r="38" spans="1:7" ht="12.75" customHeight="1">
      <c r="A38" s="45"/>
      <c r="B38" s="55"/>
      <c r="C38" s="45"/>
      <c r="D38" s="45"/>
      <c r="E38" s="74" t="s">
        <v>49</v>
      </c>
      <c r="F38" s="73">
        <v>3582909</v>
      </c>
      <c r="G38" s="64"/>
    </row>
    <row r="39" spans="1:7" ht="12.75" customHeight="1">
      <c r="A39" s="45"/>
      <c r="B39" s="55"/>
      <c r="C39" s="45"/>
      <c r="D39" s="45"/>
      <c r="E39" s="74" t="s">
        <v>202</v>
      </c>
      <c r="F39" s="73">
        <f>9947858+2185103</f>
        <v>12132961</v>
      </c>
      <c r="G39" s="64"/>
    </row>
    <row r="40" spans="1:7" ht="12.75" customHeight="1">
      <c r="A40" s="45"/>
      <c r="B40" s="55"/>
      <c r="C40" s="45"/>
      <c r="D40" s="45"/>
      <c r="E40" s="74" t="s">
        <v>48</v>
      </c>
      <c r="F40" s="73">
        <v>1500</v>
      </c>
      <c r="G40" s="64"/>
    </row>
    <row r="41" spans="1:7" ht="12.75" customHeight="1">
      <c r="A41" s="45"/>
      <c r="B41" s="55"/>
      <c r="C41" s="45"/>
      <c r="D41" s="45"/>
      <c r="E41" s="74" t="s">
        <v>97</v>
      </c>
      <c r="F41" s="73">
        <f>855259+431133</f>
        <v>1286392</v>
      </c>
      <c r="G41" s="64"/>
    </row>
    <row r="42" spans="1:7" ht="12.75" customHeight="1">
      <c r="A42" s="45"/>
      <c r="B42" s="55"/>
      <c r="C42" s="45" t="s">
        <v>20</v>
      </c>
      <c r="D42" s="45"/>
      <c r="E42" s="72"/>
      <c r="F42" s="60">
        <v>0</v>
      </c>
      <c r="G42" s="64"/>
    </row>
    <row r="43" spans="1:7" ht="12.75" customHeight="1">
      <c r="A43" s="45"/>
      <c r="B43" s="55"/>
      <c r="C43" s="45" t="s">
        <v>21</v>
      </c>
      <c r="D43" s="45"/>
      <c r="E43" s="72"/>
      <c r="F43" s="98">
        <f>SUM(F44:F48)</f>
        <v>1617689</v>
      </c>
      <c r="G43" s="64"/>
    </row>
    <row r="44" spans="1:7" ht="12.75" customHeight="1">
      <c r="A44" s="45"/>
      <c r="B44" s="55"/>
      <c r="D44" s="75" t="s">
        <v>22</v>
      </c>
      <c r="E44" s="76"/>
      <c r="F44" s="73">
        <f>1194020</f>
        <v>1194020</v>
      </c>
      <c r="G44" s="64"/>
    </row>
    <row r="45" spans="1:7" ht="12.75" customHeight="1">
      <c r="A45" s="45"/>
      <c r="B45" s="55"/>
      <c r="D45" s="75" t="s">
        <v>23</v>
      </c>
      <c r="E45" s="76"/>
      <c r="F45" s="73">
        <f>274832+3189</f>
        <v>278021</v>
      </c>
      <c r="G45" s="64"/>
    </row>
    <row r="46" spans="1:7" ht="12.75" customHeight="1">
      <c r="A46" s="45"/>
      <c r="B46" s="55"/>
      <c r="D46" s="75" t="s">
        <v>24</v>
      </c>
      <c r="E46" s="76"/>
      <c r="F46" s="73">
        <v>124615</v>
      </c>
      <c r="G46" s="64"/>
    </row>
    <row r="47" spans="1:7" ht="12.75" customHeight="1">
      <c r="A47" s="45"/>
      <c r="B47" s="55"/>
      <c r="D47" s="75" t="s">
        <v>25</v>
      </c>
      <c r="E47" s="76"/>
      <c r="F47" s="73">
        <v>0</v>
      </c>
      <c r="G47" s="64"/>
    </row>
    <row r="48" spans="1:7" ht="12.75" customHeight="1">
      <c r="A48" s="45"/>
      <c r="B48" s="55"/>
      <c r="D48" s="75" t="s">
        <v>173</v>
      </c>
      <c r="E48" s="76"/>
      <c r="F48" s="73">
        <v>21033</v>
      </c>
      <c r="G48" s="64"/>
    </row>
    <row r="49" spans="1:7" ht="12.75" customHeight="1">
      <c r="A49" s="45"/>
      <c r="B49" s="55"/>
      <c r="C49" s="45" t="s">
        <v>27</v>
      </c>
      <c r="D49" s="45"/>
      <c r="E49" s="72"/>
      <c r="F49" s="98">
        <f>SUM(F50:F54)</f>
        <v>1008610</v>
      </c>
      <c r="G49" s="64"/>
    </row>
    <row r="50" spans="1:7" ht="12.75" customHeight="1">
      <c r="A50" s="45"/>
      <c r="B50" s="55"/>
      <c r="C50" s="45"/>
      <c r="D50" s="75" t="s">
        <v>28</v>
      </c>
      <c r="E50" s="76"/>
      <c r="F50" s="73">
        <v>23785</v>
      </c>
      <c r="G50" s="64"/>
    </row>
    <row r="51" spans="1:7" ht="12.75" customHeight="1">
      <c r="A51" s="45"/>
      <c r="B51" s="55"/>
      <c r="D51" s="75" t="s">
        <v>29</v>
      </c>
      <c r="E51" s="77"/>
      <c r="F51" s="73">
        <f>916650+60862</f>
        <v>977512</v>
      </c>
      <c r="G51" s="64"/>
    </row>
    <row r="52" spans="1:7" ht="12.75" customHeight="1">
      <c r="A52" s="45"/>
      <c r="B52" s="55"/>
      <c r="D52" s="75" t="s">
        <v>31</v>
      </c>
      <c r="E52" s="76"/>
      <c r="F52" s="73">
        <v>0</v>
      </c>
      <c r="G52" s="64"/>
    </row>
    <row r="53" spans="1:7" ht="12.75" customHeight="1">
      <c r="A53" s="45"/>
      <c r="B53" s="55"/>
      <c r="D53" s="75" t="s">
        <v>32</v>
      </c>
      <c r="E53" s="76"/>
      <c r="F53" s="73"/>
      <c r="G53" s="64"/>
    </row>
    <row r="54" spans="1:7" ht="12.75" customHeight="1">
      <c r="A54" s="45"/>
      <c r="B54" s="55"/>
      <c r="D54" s="75"/>
      <c r="E54" s="77" t="s">
        <v>33</v>
      </c>
      <c r="F54" s="73">
        <v>7313</v>
      </c>
      <c r="G54" s="64"/>
    </row>
    <row r="55" spans="1:7" ht="12.75" customHeight="1">
      <c r="A55" s="45"/>
      <c r="B55" s="55"/>
      <c r="C55" s="45" t="s">
        <v>34</v>
      </c>
      <c r="D55" s="45"/>
      <c r="E55" s="72"/>
      <c r="F55" s="63"/>
      <c r="G55" s="64"/>
    </row>
    <row r="56" spans="1:7" ht="12.75" customHeight="1">
      <c r="A56" s="45"/>
      <c r="B56" s="55"/>
      <c r="D56" s="45"/>
      <c r="E56" s="78" t="s">
        <v>35</v>
      </c>
      <c r="F56" s="63">
        <v>0</v>
      </c>
      <c r="G56" s="64"/>
    </row>
    <row r="57" spans="1:7" ht="12.75" customHeight="1">
      <c r="A57" s="45"/>
      <c r="B57" s="55"/>
      <c r="C57" s="45" t="s">
        <v>36</v>
      </c>
      <c r="D57" s="45"/>
      <c r="E57" s="72"/>
      <c r="F57" s="63">
        <v>0</v>
      </c>
      <c r="G57" s="64"/>
    </row>
    <row r="58" spans="1:7" ht="12.75" customHeight="1">
      <c r="A58" s="45"/>
      <c r="B58" s="55"/>
      <c r="C58" s="45" t="s">
        <v>37</v>
      </c>
      <c r="D58" s="45"/>
      <c r="E58" s="72"/>
      <c r="F58" s="63">
        <v>0</v>
      </c>
      <c r="G58" s="64"/>
    </row>
    <row r="59" spans="1:7" ht="12.75" customHeight="1">
      <c r="A59" s="45"/>
      <c r="B59" s="55"/>
      <c r="C59" s="45" t="s">
        <v>38</v>
      </c>
      <c r="D59" s="45"/>
      <c r="E59" s="72"/>
      <c r="F59" s="63">
        <f>SUM(F60:F62)</f>
        <v>368320</v>
      </c>
      <c r="G59" s="64"/>
    </row>
    <row r="60" spans="1:7" ht="12.75" customHeight="1">
      <c r="A60" s="45"/>
      <c r="B60" s="55"/>
      <c r="C60" s="45"/>
      <c r="D60" s="45"/>
      <c r="E60" s="74" t="s">
        <v>65</v>
      </c>
      <c r="F60" s="73">
        <v>318240</v>
      </c>
      <c r="G60" s="64"/>
    </row>
    <row r="61" spans="1:7" ht="12.75" customHeight="1">
      <c r="A61" s="45"/>
      <c r="B61" s="55"/>
      <c r="C61" s="45"/>
      <c r="D61" s="45"/>
      <c r="E61" s="74" t="s">
        <v>162</v>
      </c>
      <c r="F61" s="101">
        <v>3504</v>
      </c>
      <c r="G61" s="64"/>
    </row>
    <row r="62" spans="1:7" ht="12.75" customHeight="1">
      <c r="A62" s="45"/>
      <c r="B62" s="55"/>
      <c r="C62" s="45"/>
      <c r="D62" s="45"/>
      <c r="E62" s="74" t="s">
        <v>97</v>
      </c>
      <c r="F62" s="100">
        <v>46576</v>
      </c>
      <c r="G62" s="64"/>
    </row>
    <row r="63" spans="1:7" ht="12.75" customHeight="1">
      <c r="A63" s="45"/>
      <c r="B63" s="55"/>
      <c r="C63" s="45"/>
      <c r="D63" s="45"/>
      <c r="E63" s="78"/>
      <c r="F63" s="63" t="s">
        <v>0</v>
      </c>
      <c r="G63" s="64"/>
    </row>
    <row r="64" spans="1:7" ht="12.75" customHeight="1">
      <c r="A64" s="80"/>
      <c r="B64" s="58" t="s">
        <v>39</v>
      </c>
      <c r="C64" s="81"/>
      <c r="D64" s="81"/>
      <c r="E64" s="74"/>
      <c r="F64" s="63" t="s">
        <v>0</v>
      </c>
      <c r="G64" s="82">
        <f>G19+G31</f>
        <v>359571</v>
      </c>
    </row>
    <row r="65" spans="1:7" ht="12.75" customHeight="1">
      <c r="A65" s="45"/>
      <c r="B65" s="83" t="s">
        <v>40</v>
      </c>
      <c r="C65" s="45"/>
      <c r="D65" s="45"/>
      <c r="E65" s="78"/>
      <c r="F65" s="63" t="s">
        <v>0</v>
      </c>
      <c r="G65" s="84"/>
    </row>
    <row r="66" spans="2:7" ht="12" customHeight="1">
      <c r="B66" s="85"/>
      <c r="E66" s="72"/>
      <c r="F66" s="63" t="s">
        <v>0</v>
      </c>
      <c r="G66" s="84"/>
    </row>
    <row r="67" spans="2:7" ht="12" customHeight="1">
      <c r="B67" s="58" t="s">
        <v>87</v>
      </c>
      <c r="C67" s="67"/>
      <c r="D67" s="67"/>
      <c r="E67" s="86"/>
      <c r="F67" s="69"/>
      <c r="G67" s="87">
        <f>SUM(F69:F71)</f>
        <v>-90317</v>
      </c>
    </row>
    <row r="68" spans="2:7" ht="12">
      <c r="B68" s="85"/>
      <c r="E68" s="72"/>
      <c r="F68" s="63"/>
      <c r="G68" s="84"/>
    </row>
    <row r="69" spans="2:7" ht="12">
      <c r="B69" s="55"/>
      <c r="C69" s="45" t="s">
        <v>84</v>
      </c>
      <c r="D69" s="45"/>
      <c r="E69" s="72"/>
      <c r="F69" s="60">
        <v>0</v>
      </c>
      <c r="G69" s="84"/>
    </row>
    <row r="70" spans="2:7" ht="12">
      <c r="B70" s="85"/>
      <c r="C70" s="45" t="s">
        <v>85</v>
      </c>
      <c r="E70" s="72"/>
      <c r="F70" s="63">
        <v>-97615</v>
      </c>
      <c r="G70" s="84"/>
    </row>
    <row r="71" spans="2:7" ht="12">
      <c r="B71" s="85"/>
      <c r="C71" s="45" t="s">
        <v>86</v>
      </c>
      <c r="E71" s="72"/>
      <c r="F71" s="63">
        <f>4000+3298</f>
        <v>7298</v>
      </c>
      <c r="G71" s="84"/>
    </row>
    <row r="72" spans="2:7" ht="12">
      <c r="B72" s="85"/>
      <c r="E72" s="72"/>
      <c r="F72" s="63"/>
      <c r="G72" s="84"/>
    </row>
    <row r="73" spans="2:7" ht="12">
      <c r="B73" s="58" t="s">
        <v>88</v>
      </c>
      <c r="C73" s="67"/>
      <c r="D73" s="67"/>
      <c r="E73" s="86"/>
      <c r="F73" s="69">
        <v>0</v>
      </c>
      <c r="G73" s="87">
        <v>0</v>
      </c>
    </row>
    <row r="74" spans="2:7" ht="12">
      <c r="B74" s="85"/>
      <c r="E74" s="72"/>
      <c r="F74" s="63"/>
      <c r="G74" s="84"/>
    </row>
    <row r="75" spans="2:7" ht="12">
      <c r="B75" s="58" t="s">
        <v>83</v>
      </c>
      <c r="C75" s="67"/>
      <c r="D75" s="67"/>
      <c r="E75" s="86"/>
      <c r="F75" s="69"/>
      <c r="G75" s="87">
        <f>SUM(F77:F78)</f>
        <v>42946</v>
      </c>
    </row>
    <row r="76" spans="2:7" ht="12">
      <c r="B76" s="85"/>
      <c r="E76" s="72"/>
      <c r="F76" s="63"/>
      <c r="G76" s="84"/>
    </row>
    <row r="77" spans="2:7" ht="12">
      <c r="B77" s="85"/>
      <c r="C77" s="45" t="s">
        <v>89</v>
      </c>
      <c r="E77" s="72"/>
      <c r="F77" s="63">
        <v>-26047</v>
      </c>
      <c r="G77" s="84"/>
    </row>
    <row r="78" spans="2:7" ht="12">
      <c r="B78" s="85"/>
      <c r="C78" s="45" t="s">
        <v>90</v>
      </c>
      <c r="E78" s="72"/>
      <c r="F78" s="63">
        <f>56268+12725</f>
        <v>68993</v>
      </c>
      <c r="G78" s="84"/>
    </row>
    <row r="79" spans="2:7" ht="12">
      <c r="B79" s="85"/>
      <c r="E79" s="72"/>
      <c r="F79" s="63"/>
      <c r="G79" s="84"/>
    </row>
    <row r="80" spans="2:7" ht="12">
      <c r="B80" s="88" t="s">
        <v>91</v>
      </c>
      <c r="C80" s="68"/>
      <c r="D80" s="68"/>
      <c r="E80" s="86"/>
      <c r="F80" s="63">
        <v>406942</v>
      </c>
      <c r="G80" s="87">
        <f>F80</f>
        <v>406942</v>
      </c>
    </row>
    <row r="81" spans="2:7" ht="12">
      <c r="B81" s="85"/>
      <c r="E81" s="72"/>
      <c r="F81" s="63"/>
      <c r="G81" s="84"/>
    </row>
    <row r="82" spans="2:7" ht="12.75">
      <c r="B82" s="58"/>
      <c r="E82" s="89" t="s">
        <v>92</v>
      </c>
      <c r="F82" s="63"/>
      <c r="G82" s="90">
        <f>G64-G67-G73-G75-G80</f>
        <v>0</v>
      </c>
    </row>
    <row r="83" spans="2:7" ht="12">
      <c r="B83" s="91"/>
      <c r="C83" s="92"/>
      <c r="D83" s="92"/>
      <c r="E83" s="93"/>
      <c r="F83" s="94"/>
      <c r="G83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62">
      <selection activeCell="F87" sqref="F87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115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132890803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124166666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130</v>
      </c>
      <c r="F21" s="62">
        <v>124166666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0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SUM(F28)</f>
        <v>8724137</v>
      </c>
      <c r="G27" s="64"/>
    </row>
    <row r="28" spans="1:7" ht="12.75" customHeight="1">
      <c r="A28" s="45"/>
      <c r="B28" s="55"/>
      <c r="C28" s="45"/>
      <c r="D28" s="45"/>
      <c r="E28" s="46" t="s">
        <v>203</v>
      </c>
      <c r="F28" s="110">
        <v>8724137</v>
      </c>
      <c r="G28" s="64"/>
    </row>
    <row r="29" spans="1:7" ht="12.75" customHeight="1">
      <c r="A29" s="45"/>
      <c r="B29" s="55"/>
      <c r="C29" s="45"/>
      <c r="D29" s="45"/>
      <c r="E29" s="45"/>
      <c r="F29" s="63"/>
      <c r="G29" s="64"/>
    </row>
    <row r="30" spans="1:7" s="71" customFormat="1" ht="12.75" customHeight="1">
      <c r="A30" s="67"/>
      <c r="B30" s="58" t="s">
        <v>16</v>
      </c>
      <c r="C30" s="67"/>
      <c r="D30" s="67"/>
      <c r="E30" s="68"/>
      <c r="F30" s="69"/>
      <c r="G30" s="70">
        <f>-(F32+F37+F47+F48+F54+F61+F62+F63+F64)</f>
        <v>-203146907</v>
      </c>
    </row>
    <row r="31" spans="1:7" ht="12.75" customHeight="1">
      <c r="A31" s="45"/>
      <c r="B31" s="55"/>
      <c r="C31" s="45" t="s">
        <v>17</v>
      </c>
      <c r="D31" s="45"/>
      <c r="F31" s="63" t="s">
        <v>0</v>
      </c>
      <c r="G31" s="64"/>
    </row>
    <row r="32" spans="1:7" ht="12.75" customHeight="1">
      <c r="A32" s="45"/>
      <c r="B32" s="55"/>
      <c r="D32" s="45" t="s">
        <v>18</v>
      </c>
      <c r="E32" s="72"/>
      <c r="F32" s="98">
        <f>SUM(F33:F36)</f>
        <v>23528476</v>
      </c>
      <c r="G32" s="64"/>
    </row>
    <row r="33" spans="1:7" ht="12.75" customHeight="1">
      <c r="A33" s="45"/>
      <c r="B33" s="55"/>
      <c r="D33" s="45"/>
      <c r="E33" s="72" t="s">
        <v>95</v>
      </c>
      <c r="F33" s="73">
        <v>791272</v>
      </c>
      <c r="G33" s="64"/>
    </row>
    <row r="34" spans="1:7" ht="12.75" customHeight="1">
      <c r="A34" s="45"/>
      <c r="B34" s="55"/>
      <c r="D34" s="45"/>
      <c r="E34" s="74" t="s">
        <v>45</v>
      </c>
      <c r="F34" s="73">
        <v>42166</v>
      </c>
      <c r="G34" s="64"/>
    </row>
    <row r="35" spans="1:7" ht="12.75" customHeight="1">
      <c r="A35" s="45"/>
      <c r="B35" s="55"/>
      <c r="C35" s="45"/>
      <c r="D35" s="45"/>
      <c r="E35" s="74" t="s">
        <v>60</v>
      </c>
      <c r="F35" s="73">
        <v>22288546</v>
      </c>
      <c r="G35" s="64"/>
    </row>
    <row r="36" spans="1:7" ht="12.75" customHeight="1">
      <c r="A36" s="45"/>
      <c r="B36" s="55"/>
      <c r="D36" s="45"/>
      <c r="E36" s="72" t="s">
        <v>96</v>
      </c>
      <c r="F36" s="99">
        <f>237937+168555</f>
        <v>406492</v>
      </c>
      <c r="G36" s="64"/>
    </row>
    <row r="37" spans="1:7" ht="12.75" customHeight="1">
      <c r="A37" s="45"/>
      <c r="B37" s="55"/>
      <c r="C37" s="45" t="s">
        <v>19</v>
      </c>
      <c r="D37" s="45"/>
      <c r="E37" s="72"/>
      <c r="F37" s="98">
        <f>SUM(F38:F46)</f>
        <v>136356107</v>
      </c>
      <c r="G37" s="64"/>
    </row>
    <row r="38" spans="1:7" ht="12.75" customHeight="1">
      <c r="A38" s="45"/>
      <c r="B38" s="55"/>
      <c r="C38" s="45"/>
      <c r="D38" s="45"/>
      <c r="E38" s="74" t="s">
        <v>47</v>
      </c>
      <c r="F38" s="73">
        <v>2541736</v>
      </c>
      <c r="G38" s="64"/>
    </row>
    <row r="39" spans="1:7" ht="12.75" customHeight="1">
      <c r="A39" s="45"/>
      <c r="B39" s="55"/>
      <c r="C39" s="45"/>
      <c r="D39" s="45"/>
      <c r="E39" s="74" t="s">
        <v>46</v>
      </c>
      <c r="F39" s="73">
        <v>1269203</v>
      </c>
      <c r="G39" s="64"/>
    </row>
    <row r="40" spans="1:7" ht="12.75" customHeight="1">
      <c r="A40" s="45"/>
      <c r="B40" s="55"/>
      <c r="C40" s="45"/>
      <c r="D40" s="45"/>
      <c r="E40" s="74" t="s">
        <v>54</v>
      </c>
      <c r="F40" s="73">
        <v>116400</v>
      </c>
      <c r="G40" s="64"/>
    </row>
    <row r="41" spans="1:7" ht="13.5" customHeight="1">
      <c r="A41" s="45"/>
      <c r="B41" s="55"/>
      <c r="C41" s="45"/>
      <c r="D41" s="45"/>
      <c r="E41" s="74" t="s">
        <v>53</v>
      </c>
      <c r="F41" s="73">
        <v>870000</v>
      </c>
      <c r="G41" s="64"/>
    </row>
    <row r="42" spans="1:7" ht="12.75" customHeight="1">
      <c r="A42" s="45"/>
      <c r="B42" s="55"/>
      <c r="C42" s="45"/>
      <c r="D42" s="45"/>
      <c r="E42" s="74" t="s">
        <v>98</v>
      </c>
      <c r="F42" s="73">
        <v>2261800</v>
      </c>
      <c r="G42" s="64"/>
    </row>
    <row r="43" spans="1:7" ht="12.75" customHeight="1">
      <c r="A43" s="45"/>
      <c r="B43" s="55"/>
      <c r="C43" s="45"/>
      <c r="D43" s="45"/>
      <c r="E43" s="74" t="s">
        <v>49</v>
      </c>
      <c r="F43" s="73">
        <v>14749008</v>
      </c>
      <c r="G43" s="64"/>
    </row>
    <row r="44" spans="1:7" ht="12.75" customHeight="1">
      <c r="A44" s="45"/>
      <c r="B44" s="55"/>
      <c r="C44" s="45"/>
      <c r="D44" s="45"/>
      <c r="E44" s="74" t="s">
        <v>202</v>
      </c>
      <c r="F44" s="73">
        <f>5383784+92927142+5242179</f>
        <v>103553105</v>
      </c>
      <c r="G44" s="64"/>
    </row>
    <row r="45" spans="1:7" ht="12.75" customHeight="1">
      <c r="A45" s="45"/>
      <c r="B45" s="55"/>
      <c r="C45" s="45"/>
      <c r="D45" s="45"/>
      <c r="E45" s="74" t="s">
        <v>175</v>
      </c>
      <c r="F45" s="73">
        <v>40000</v>
      </c>
      <c r="G45" s="64"/>
    </row>
    <row r="46" spans="1:7" ht="12.75" customHeight="1">
      <c r="A46" s="45"/>
      <c r="B46" s="55"/>
      <c r="C46" s="45"/>
      <c r="D46" s="45"/>
      <c r="E46" s="74" t="s">
        <v>97</v>
      </c>
      <c r="F46" s="73">
        <f>7283346+3671509</f>
        <v>10954855</v>
      </c>
      <c r="G46" s="64"/>
    </row>
    <row r="47" spans="1:7" ht="12.75" customHeight="1">
      <c r="A47" s="45"/>
      <c r="B47" s="55"/>
      <c r="C47" s="45" t="s">
        <v>20</v>
      </c>
      <c r="D47" s="45"/>
      <c r="E47" s="72"/>
      <c r="F47" s="60"/>
      <c r="G47" s="64"/>
    </row>
    <row r="48" spans="1:7" ht="12.75" customHeight="1">
      <c r="A48" s="45"/>
      <c r="B48" s="55"/>
      <c r="C48" s="45" t="s">
        <v>21</v>
      </c>
      <c r="D48" s="45"/>
      <c r="E48" s="72"/>
      <c r="F48" s="98">
        <f>SUM(F49:F53)</f>
        <v>13776157</v>
      </c>
      <c r="G48" s="64"/>
    </row>
    <row r="49" spans="1:7" ht="12.75" customHeight="1">
      <c r="A49" s="45"/>
      <c r="B49" s="55"/>
      <c r="D49" s="75" t="s">
        <v>22</v>
      </c>
      <c r="E49" s="76"/>
      <c r="F49" s="73">
        <v>10168211</v>
      </c>
      <c r="G49" s="64"/>
    </row>
    <row r="50" spans="1:7" ht="12.75" customHeight="1">
      <c r="A50" s="45"/>
      <c r="B50" s="55"/>
      <c r="D50" s="75" t="s">
        <v>23</v>
      </c>
      <c r="E50" s="76"/>
      <c r="F50" s="73">
        <f>2340453+27155</f>
        <v>2367608</v>
      </c>
      <c r="G50" s="64"/>
    </row>
    <row r="51" spans="1:7" ht="12.75" customHeight="1">
      <c r="A51" s="45"/>
      <c r="B51" s="55"/>
      <c r="D51" s="75" t="s">
        <v>24</v>
      </c>
      <c r="E51" s="76"/>
      <c r="F51" s="73">
        <v>1061212</v>
      </c>
      <c r="G51" s="64"/>
    </row>
    <row r="52" spans="1:7" ht="12.75" customHeight="1">
      <c r="A52" s="45"/>
      <c r="B52" s="55"/>
      <c r="D52" s="75" t="s">
        <v>25</v>
      </c>
      <c r="E52" s="76"/>
      <c r="F52" s="73">
        <v>0</v>
      </c>
      <c r="G52" s="64"/>
    </row>
    <row r="53" spans="1:7" ht="12.75" customHeight="1">
      <c r="A53" s="45"/>
      <c r="B53" s="55"/>
      <c r="D53" s="75" t="s">
        <v>166</v>
      </c>
      <c r="E53" s="76"/>
      <c r="F53" s="73">
        <v>179126</v>
      </c>
      <c r="G53" s="64"/>
    </row>
    <row r="54" spans="1:7" ht="12.75" customHeight="1">
      <c r="A54" s="45"/>
      <c r="B54" s="55"/>
      <c r="C54" s="45" t="s">
        <v>27</v>
      </c>
      <c r="D54" s="45"/>
      <c r="E54" s="72"/>
      <c r="F54" s="98">
        <f>SUM(F55:F59)</f>
        <v>28923205</v>
      </c>
      <c r="G54" s="64"/>
    </row>
    <row r="55" spans="1:7" ht="12.75" customHeight="1">
      <c r="A55" s="45"/>
      <c r="B55" s="55"/>
      <c r="C55" s="45"/>
      <c r="D55" s="75" t="s">
        <v>28</v>
      </c>
      <c r="E55" s="76"/>
      <c r="F55" s="73">
        <v>202552</v>
      </c>
      <c r="G55" s="64"/>
    </row>
    <row r="56" spans="1:7" ht="12.75" customHeight="1">
      <c r="A56" s="45"/>
      <c r="B56" s="55"/>
      <c r="D56" s="75" t="s">
        <v>29</v>
      </c>
      <c r="E56" s="77"/>
      <c r="F56" s="73">
        <f>28140076+518302</f>
        <v>28658378</v>
      </c>
      <c r="G56" s="64"/>
    </row>
    <row r="57" spans="1:7" ht="12.75" customHeight="1">
      <c r="A57" s="45"/>
      <c r="B57" s="55"/>
      <c r="D57" s="75" t="s">
        <v>31</v>
      </c>
      <c r="E57" s="76"/>
      <c r="F57" s="73">
        <v>0</v>
      </c>
      <c r="G57" s="64"/>
    </row>
    <row r="58" spans="1:7" ht="12.75" customHeight="1">
      <c r="A58" s="45"/>
      <c r="B58" s="55"/>
      <c r="D58" s="75" t="s">
        <v>32</v>
      </c>
      <c r="E58" s="76"/>
      <c r="F58" s="73"/>
      <c r="G58" s="64"/>
    </row>
    <row r="59" spans="1:7" ht="12.75" customHeight="1">
      <c r="A59" s="45"/>
      <c r="B59" s="55"/>
      <c r="D59" s="75"/>
      <c r="E59" s="77" t="s">
        <v>33</v>
      </c>
      <c r="F59" s="73">
        <v>62275</v>
      </c>
      <c r="G59" s="64"/>
    </row>
    <row r="60" spans="1:7" ht="12.75" customHeight="1">
      <c r="A60" s="45"/>
      <c r="B60" s="55"/>
      <c r="C60" s="45" t="s">
        <v>34</v>
      </c>
      <c r="D60" s="45"/>
      <c r="E60" s="72"/>
      <c r="F60" s="63"/>
      <c r="G60" s="64"/>
    </row>
    <row r="61" spans="1:7" ht="12.75" customHeight="1">
      <c r="A61" s="45"/>
      <c r="B61" s="55"/>
      <c r="D61" s="45"/>
      <c r="E61" s="78" t="s">
        <v>35</v>
      </c>
      <c r="F61" s="63">
        <v>0</v>
      </c>
      <c r="G61" s="64"/>
    </row>
    <row r="62" spans="1:7" ht="12.75" customHeight="1">
      <c r="A62" s="45"/>
      <c r="B62" s="55"/>
      <c r="C62" s="45" t="s">
        <v>36</v>
      </c>
      <c r="D62" s="45"/>
      <c r="E62" s="72"/>
      <c r="F62" s="63">
        <v>0</v>
      </c>
      <c r="G62" s="64"/>
    </row>
    <row r="63" spans="1:7" ht="12.75" customHeight="1">
      <c r="A63" s="45"/>
      <c r="B63" s="55"/>
      <c r="C63" s="45" t="s">
        <v>37</v>
      </c>
      <c r="D63" s="45"/>
      <c r="E63" s="72"/>
      <c r="F63" s="63">
        <v>0</v>
      </c>
      <c r="G63" s="64"/>
    </row>
    <row r="64" spans="1:7" ht="12.75" customHeight="1">
      <c r="A64" s="45"/>
      <c r="B64" s="55"/>
      <c r="C64" s="45" t="s">
        <v>38</v>
      </c>
      <c r="D64" s="45"/>
      <c r="E64" s="72"/>
      <c r="F64" s="63">
        <f>SUM(F65:F67)</f>
        <v>562962</v>
      </c>
      <c r="G64" s="64"/>
    </row>
    <row r="65" spans="1:7" ht="12.75" customHeight="1">
      <c r="A65" s="45"/>
      <c r="B65" s="55"/>
      <c r="C65" s="45"/>
      <c r="D65" s="45"/>
      <c r="E65" s="79" t="s">
        <v>176</v>
      </c>
      <c r="F65" s="73">
        <v>55200</v>
      </c>
      <c r="G65" s="64"/>
    </row>
    <row r="66" spans="1:7" ht="12.75" customHeight="1">
      <c r="A66" s="45"/>
      <c r="B66" s="55"/>
      <c r="C66" s="45"/>
      <c r="D66" s="45"/>
      <c r="E66" s="74" t="s">
        <v>162</v>
      </c>
      <c r="F66" s="73">
        <v>111123</v>
      </c>
      <c r="G66" s="64"/>
    </row>
    <row r="67" spans="1:7" ht="12.75" customHeight="1">
      <c r="A67" s="45"/>
      <c r="B67" s="55"/>
      <c r="C67" s="45"/>
      <c r="D67" s="45"/>
      <c r="E67" s="74" t="s">
        <v>97</v>
      </c>
      <c r="F67" s="100">
        <v>396639</v>
      </c>
      <c r="G67" s="64"/>
    </row>
    <row r="68" spans="1:7" ht="12.75" customHeight="1">
      <c r="A68" s="45"/>
      <c r="B68" s="55"/>
      <c r="C68" s="45"/>
      <c r="D68" s="45"/>
      <c r="E68" s="78"/>
      <c r="F68" s="63" t="s">
        <v>0</v>
      </c>
      <c r="G68" s="64"/>
    </row>
    <row r="69" spans="1:7" ht="12.75" customHeight="1">
      <c r="A69" s="80"/>
      <c r="B69" s="58" t="s">
        <v>39</v>
      </c>
      <c r="C69" s="81"/>
      <c r="D69" s="81"/>
      <c r="E69" s="74"/>
      <c r="F69" s="63" t="s">
        <v>0</v>
      </c>
      <c r="G69" s="82">
        <f>G19+G30</f>
        <v>-70256104</v>
      </c>
    </row>
    <row r="70" spans="1:7" ht="12.75" customHeight="1">
      <c r="A70" s="45"/>
      <c r="B70" s="83" t="s">
        <v>40</v>
      </c>
      <c r="C70" s="45"/>
      <c r="D70" s="45"/>
      <c r="E70" s="78"/>
      <c r="F70" s="63" t="s">
        <v>0</v>
      </c>
      <c r="G70" s="84"/>
    </row>
    <row r="71" spans="2:7" ht="12" customHeight="1">
      <c r="B71" s="85"/>
      <c r="E71" s="72"/>
      <c r="F71" s="63" t="s">
        <v>0</v>
      </c>
      <c r="G71" s="84"/>
    </row>
    <row r="72" spans="2:7" ht="12" customHeight="1">
      <c r="B72" s="58" t="s">
        <v>87</v>
      </c>
      <c r="C72" s="67"/>
      <c r="D72" s="67"/>
      <c r="E72" s="86"/>
      <c r="F72" s="69"/>
      <c r="G72" s="87">
        <f>SUM(F74:F76)</f>
        <v>-799205</v>
      </c>
    </row>
    <row r="73" spans="2:7" ht="12">
      <c r="B73" s="85"/>
      <c r="E73" s="72"/>
      <c r="F73" s="63"/>
      <c r="G73" s="84"/>
    </row>
    <row r="74" spans="2:7" ht="12">
      <c r="B74" s="55"/>
      <c r="C74" s="45" t="s">
        <v>84</v>
      </c>
      <c r="D74" s="45"/>
      <c r="E74" s="72"/>
      <c r="F74" s="60">
        <v>0</v>
      </c>
      <c r="G74" s="84"/>
    </row>
    <row r="75" spans="2:7" ht="12">
      <c r="B75" s="85"/>
      <c r="C75" s="45" t="s">
        <v>85</v>
      </c>
      <c r="E75" s="72"/>
      <c r="F75" s="63">
        <v>-831288</v>
      </c>
      <c r="G75" s="84"/>
    </row>
    <row r="76" spans="2:7" ht="12">
      <c r="B76" s="85"/>
      <c r="C76" s="45" t="s">
        <v>86</v>
      </c>
      <c r="E76" s="72"/>
      <c r="F76" s="63">
        <f>4000+28083</f>
        <v>32083</v>
      </c>
      <c r="G76" s="84"/>
    </row>
    <row r="77" spans="2:7" ht="12">
      <c r="B77" s="85"/>
      <c r="E77" s="72"/>
      <c r="F77" s="63"/>
      <c r="G77" s="84"/>
    </row>
    <row r="78" spans="2:7" ht="12">
      <c r="B78" s="58" t="s">
        <v>88</v>
      </c>
      <c r="C78" s="67"/>
      <c r="D78" s="67"/>
      <c r="E78" s="86"/>
      <c r="F78" s="69">
        <v>0</v>
      </c>
      <c r="G78" s="87">
        <v>0</v>
      </c>
    </row>
    <row r="79" spans="2:7" ht="12">
      <c r="B79" s="85"/>
      <c r="E79" s="72"/>
      <c r="F79" s="63"/>
      <c r="G79" s="84"/>
    </row>
    <row r="80" spans="2:7" ht="12">
      <c r="B80" s="58" t="s">
        <v>83</v>
      </c>
      <c r="C80" s="67"/>
      <c r="D80" s="67"/>
      <c r="E80" s="86"/>
      <c r="F80" s="69"/>
      <c r="G80" s="87">
        <f>SUM(F82:F83)</f>
        <v>452753</v>
      </c>
    </row>
    <row r="81" spans="2:7" ht="12">
      <c r="B81" s="85"/>
      <c r="E81" s="72"/>
      <c r="F81" s="63"/>
      <c r="G81" s="84"/>
    </row>
    <row r="82" spans="2:7" ht="12">
      <c r="B82" s="85"/>
      <c r="C82" s="45" t="s">
        <v>89</v>
      </c>
      <c r="E82" s="72"/>
      <c r="F82" s="63">
        <v>-221814</v>
      </c>
      <c r="G82" s="84"/>
    </row>
    <row r="83" spans="2:7" ht="12">
      <c r="B83" s="85"/>
      <c r="C83" s="45" t="s">
        <v>90</v>
      </c>
      <c r="E83" s="72"/>
      <c r="F83" s="63">
        <f>566204+108363</f>
        <v>674567</v>
      </c>
      <c r="G83" s="84"/>
    </row>
    <row r="84" spans="2:7" ht="12">
      <c r="B84" s="85"/>
      <c r="E84" s="72"/>
      <c r="F84" s="63"/>
      <c r="G84" s="84"/>
    </row>
    <row r="85" spans="2:7" ht="12">
      <c r="B85" s="88" t="s">
        <v>91</v>
      </c>
      <c r="C85" s="68"/>
      <c r="D85" s="68"/>
      <c r="E85" s="86"/>
      <c r="F85" s="63">
        <v>3465493</v>
      </c>
      <c r="G85" s="87">
        <f>F85</f>
        <v>3465493</v>
      </c>
    </row>
    <row r="86" spans="2:7" ht="12">
      <c r="B86" s="85"/>
      <c r="E86" s="72"/>
      <c r="F86" s="63"/>
      <c r="G86" s="84"/>
    </row>
    <row r="87" spans="2:7" ht="12.75">
      <c r="B87" s="58"/>
      <c r="E87" s="89" t="s">
        <v>92</v>
      </c>
      <c r="F87" s="63"/>
      <c r="G87" s="90">
        <f>G69-G72-G78-G80-G85</f>
        <v>-73375145</v>
      </c>
    </row>
    <row r="88" spans="2:7" ht="12">
      <c r="B88" s="91"/>
      <c r="C88" s="92"/>
      <c r="D88" s="92"/>
      <c r="E88" s="93"/>
      <c r="F88" s="94"/>
      <c r="G88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97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71">
      <selection activeCell="G81" sqref="G81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177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F20+F23+F24+F25+F27</f>
        <v>10966279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SUM(F21:F21)</f>
        <v>9662000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178</v>
      </c>
      <c r="F21" s="62">
        <v>9662000</v>
      </c>
      <c r="G21" s="61"/>
    </row>
    <row r="22" spans="1:7" ht="12.75" customHeight="1">
      <c r="A22" s="45"/>
      <c r="B22" s="55"/>
      <c r="C22" s="45" t="s">
        <v>8</v>
      </c>
      <c r="D22" s="45" t="s">
        <v>9</v>
      </c>
      <c r="F22" s="63"/>
      <c r="G22" s="61"/>
    </row>
    <row r="23" spans="1:7" ht="12.75" customHeight="1">
      <c r="A23" s="45"/>
      <c r="B23" s="55"/>
      <c r="C23" s="45"/>
      <c r="D23" s="45" t="s">
        <v>10</v>
      </c>
      <c r="F23" s="63">
        <v>0</v>
      </c>
      <c r="G23" s="61"/>
    </row>
    <row r="24" spans="1:7" ht="12.75" customHeight="1">
      <c r="A24" s="45"/>
      <c r="B24" s="55"/>
      <c r="C24" s="45" t="s">
        <v>11</v>
      </c>
      <c r="D24" s="45" t="s">
        <v>12</v>
      </c>
      <c r="F24" s="63">
        <v>0</v>
      </c>
      <c r="G24" s="61"/>
    </row>
    <row r="25" spans="1:7" ht="12.75" customHeight="1">
      <c r="A25" s="45"/>
      <c r="B25" s="55"/>
      <c r="C25" s="45" t="s">
        <v>13</v>
      </c>
      <c r="D25" s="45"/>
      <c r="F25" s="63">
        <v>0</v>
      </c>
      <c r="G25" s="61"/>
    </row>
    <row r="26" spans="1:7" ht="12.75" customHeight="1">
      <c r="A26" s="45"/>
      <c r="B26" s="55"/>
      <c r="C26" s="45" t="s">
        <v>14</v>
      </c>
      <c r="D26" s="45"/>
      <c r="F26" s="63" t="s">
        <v>0</v>
      </c>
      <c r="G26" s="64"/>
    </row>
    <row r="27" spans="1:7" ht="12.75" customHeight="1">
      <c r="A27" s="45"/>
      <c r="B27" s="55"/>
      <c r="C27" s="45"/>
      <c r="D27" s="45" t="s">
        <v>15</v>
      </c>
      <c r="F27" s="60">
        <f>SUM(F28)</f>
        <v>1304279</v>
      </c>
      <c r="G27" s="64"/>
    </row>
    <row r="28" spans="1:7" ht="12.75" customHeight="1">
      <c r="A28" s="45"/>
      <c r="B28" s="55"/>
      <c r="C28" s="45"/>
      <c r="D28" s="45"/>
      <c r="E28" s="46" t="s">
        <v>203</v>
      </c>
      <c r="F28" s="60">
        <v>1304279</v>
      </c>
      <c r="G28" s="64"/>
    </row>
    <row r="29" spans="1:7" ht="12.75" customHeight="1">
      <c r="A29" s="45"/>
      <c r="B29" s="55"/>
      <c r="C29" s="45"/>
      <c r="D29" s="45"/>
      <c r="E29" s="45"/>
      <c r="F29" s="63"/>
      <c r="G29" s="64"/>
    </row>
    <row r="30" spans="1:7" s="71" customFormat="1" ht="12.75" customHeight="1">
      <c r="A30" s="67"/>
      <c r="B30" s="58" t="s">
        <v>16</v>
      </c>
      <c r="C30" s="67"/>
      <c r="D30" s="67"/>
      <c r="E30" s="68"/>
      <c r="F30" s="69"/>
      <c r="G30" s="70">
        <f>-(F32+F35+F41+F42+F48+F55+F56+F57+F58)</f>
        <v>-30370934</v>
      </c>
    </row>
    <row r="31" spans="1:7" ht="12.75" customHeight="1">
      <c r="A31" s="45"/>
      <c r="B31" s="55"/>
      <c r="C31" s="45" t="s">
        <v>17</v>
      </c>
      <c r="D31" s="45"/>
      <c r="F31" s="63" t="s">
        <v>0</v>
      </c>
      <c r="G31" s="64"/>
    </row>
    <row r="32" spans="1:7" ht="12.75" customHeight="1">
      <c r="A32" s="45"/>
      <c r="B32" s="55"/>
      <c r="D32" s="45" t="s">
        <v>18</v>
      </c>
      <c r="E32" s="72"/>
      <c r="F32" s="98">
        <f>SUM(F33:F34)</f>
        <v>703358</v>
      </c>
      <c r="G32" s="64"/>
    </row>
    <row r="33" spans="1:7" ht="12.75" customHeight="1">
      <c r="A33" s="45"/>
      <c r="B33" s="55"/>
      <c r="D33" s="45"/>
      <c r="E33" s="72" t="s">
        <v>95</v>
      </c>
      <c r="F33" s="73">
        <v>642587</v>
      </c>
      <c r="G33" s="64"/>
    </row>
    <row r="34" spans="1:7" ht="12.75" customHeight="1">
      <c r="A34" s="45"/>
      <c r="B34" s="55"/>
      <c r="D34" s="45"/>
      <c r="E34" s="72" t="s">
        <v>96</v>
      </c>
      <c r="F34" s="99">
        <f>35572+25199</f>
        <v>60771</v>
      </c>
      <c r="G34" s="64"/>
    </row>
    <row r="35" spans="1:7" ht="12.75" customHeight="1">
      <c r="A35" s="45"/>
      <c r="B35" s="55"/>
      <c r="C35" s="45" t="s">
        <v>19</v>
      </c>
      <c r="D35" s="45"/>
      <c r="E35" s="72"/>
      <c r="F35" s="98">
        <f>SUM(F36:F40)</f>
        <v>20241766</v>
      </c>
      <c r="G35" s="64"/>
    </row>
    <row r="36" spans="1:7" ht="12.75" customHeight="1">
      <c r="A36" s="45"/>
      <c r="B36" s="55"/>
      <c r="C36" s="45"/>
      <c r="D36" s="45"/>
      <c r="E36" s="74" t="s">
        <v>47</v>
      </c>
      <c r="F36" s="73">
        <v>1110994</v>
      </c>
      <c r="G36" s="64"/>
    </row>
    <row r="37" spans="1:7" ht="12.75" customHeight="1">
      <c r="A37" s="45"/>
      <c r="B37" s="55"/>
      <c r="C37" s="45"/>
      <c r="D37" s="45"/>
      <c r="E37" s="74" t="s">
        <v>49</v>
      </c>
      <c r="F37" s="73">
        <v>749917</v>
      </c>
      <c r="G37" s="64"/>
    </row>
    <row r="38" spans="1:7" ht="12.75" customHeight="1">
      <c r="A38" s="45"/>
      <c r="B38" s="55"/>
      <c r="C38" s="45"/>
      <c r="D38" s="45"/>
      <c r="E38" s="74" t="s">
        <v>202</v>
      </c>
      <c r="F38" s="73">
        <f>12906280+3199799</f>
        <v>16106079</v>
      </c>
      <c r="G38" s="64"/>
    </row>
    <row r="39" spans="1:7" ht="12.75" customHeight="1">
      <c r="A39" s="45"/>
      <c r="B39" s="55"/>
      <c r="C39" s="45"/>
      <c r="D39" s="45"/>
      <c r="E39" s="74" t="s">
        <v>179</v>
      </c>
      <c r="F39" s="73">
        <v>637000</v>
      </c>
      <c r="G39" s="64"/>
    </row>
    <row r="40" spans="1:7" ht="12.75" customHeight="1">
      <c r="A40" s="45"/>
      <c r="B40" s="55"/>
      <c r="C40" s="45"/>
      <c r="D40" s="45"/>
      <c r="E40" s="74" t="s">
        <v>97</v>
      </c>
      <c r="F40" s="73">
        <f>1088877+548899</f>
        <v>1637776</v>
      </c>
      <c r="G40" s="64"/>
    </row>
    <row r="41" spans="1:7" ht="12.75" customHeight="1">
      <c r="A41" s="45"/>
      <c r="B41" s="55"/>
      <c r="C41" s="45" t="s">
        <v>20</v>
      </c>
      <c r="D41" s="45"/>
      <c r="E41" s="72"/>
      <c r="F41" s="60">
        <v>0</v>
      </c>
      <c r="G41" s="64"/>
    </row>
    <row r="42" spans="1:7" ht="12.75" customHeight="1">
      <c r="A42" s="45"/>
      <c r="B42" s="55"/>
      <c r="C42" s="45" t="s">
        <v>21</v>
      </c>
      <c r="D42" s="45"/>
      <c r="E42" s="72"/>
      <c r="F42" s="98">
        <f>SUM(F43:F47)</f>
        <v>2059567</v>
      </c>
      <c r="G42" s="64"/>
    </row>
    <row r="43" spans="1:7" ht="12.75" customHeight="1">
      <c r="A43" s="45"/>
      <c r="B43" s="55"/>
      <c r="D43" s="75" t="s">
        <v>22</v>
      </c>
      <c r="E43" s="76"/>
      <c r="F43" s="73">
        <v>1520170</v>
      </c>
      <c r="G43" s="64"/>
    </row>
    <row r="44" spans="1:7" ht="12.75" customHeight="1">
      <c r="A44" s="45"/>
      <c r="B44" s="55"/>
      <c r="D44" s="75" t="s">
        <v>23</v>
      </c>
      <c r="E44" s="76"/>
      <c r="F44" s="73">
        <f>349903+4060</f>
        <v>353963</v>
      </c>
      <c r="G44" s="64"/>
    </row>
    <row r="45" spans="1:7" ht="12.75" customHeight="1">
      <c r="A45" s="45"/>
      <c r="B45" s="55"/>
      <c r="D45" s="75" t="s">
        <v>24</v>
      </c>
      <c r="E45" s="76"/>
      <c r="F45" s="73">
        <v>158654</v>
      </c>
      <c r="G45" s="64"/>
    </row>
    <row r="46" spans="1:7" ht="12.75" customHeight="1">
      <c r="A46" s="45"/>
      <c r="B46" s="55"/>
      <c r="D46" s="75" t="s">
        <v>25</v>
      </c>
      <c r="E46" s="76"/>
      <c r="F46" s="73">
        <v>0</v>
      </c>
      <c r="G46" s="64"/>
    </row>
    <row r="47" spans="1:7" ht="12.75" customHeight="1">
      <c r="A47" s="45"/>
      <c r="B47" s="55"/>
      <c r="D47" s="75" t="s">
        <v>166</v>
      </c>
      <c r="E47" s="76"/>
      <c r="F47" s="73">
        <v>26780</v>
      </c>
      <c r="G47" s="64"/>
    </row>
    <row r="48" spans="1:7" ht="12.75" customHeight="1">
      <c r="A48" s="45"/>
      <c r="B48" s="55"/>
      <c r="C48" s="45" t="s">
        <v>27</v>
      </c>
      <c r="D48" s="45"/>
      <c r="E48" s="72"/>
      <c r="F48" s="98">
        <f>SUM(F49:F53)</f>
        <v>7236945</v>
      </c>
      <c r="G48" s="64"/>
    </row>
    <row r="49" spans="1:7" ht="12.75" customHeight="1">
      <c r="A49" s="45"/>
      <c r="B49" s="55"/>
      <c r="C49" s="45"/>
      <c r="D49" s="75" t="s">
        <v>28</v>
      </c>
      <c r="E49" s="76"/>
      <c r="F49" s="73">
        <v>30282</v>
      </c>
      <c r="G49" s="64"/>
    </row>
    <row r="50" spans="1:7" ht="12.75" customHeight="1">
      <c r="A50" s="45"/>
      <c r="B50" s="55"/>
      <c r="D50" s="75" t="s">
        <v>29</v>
      </c>
      <c r="E50" s="77"/>
      <c r="F50" s="73">
        <f>7119864+77489</f>
        <v>7197353</v>
      </c>
      <c r="G50" s="64"/>
    </row>
    <row r="51" spans="1:7" ht="12.75" customHeight="1">
      <c r="A51" s="45"/>
      <c r="B51" s="55"/>
      <c r="D51" s="75" t="s">
        <v>31</v>
      </c>
      <c r="E51" s="76"/>
      <c r="F51" s="73">
        <v>0</v>
      </c>
      <c r="G51" s="64"/>
    </row>
    <row r="52" spans="1:7" ht="12.75" customHeight="1">
      <c r="A52" s="45"/>
      <c r="B52" s="55"/>
      <c r="D52" s="75" t="s">
        <v>32</v>
      </c>
      <c r="E52" s="76"/>
      <c r="F52" s="73"/>
      <c r="G52" s="64"/>
    </row>
    <row r="53" spans="1:7" ht="12.75" customHeight="1">
      <c r="A53" s="45"/>
      <c r="B53" s="55"/>
      <c r="D53" s="75"/>
      <c r="E53" s="77" t="s">
        <v>33</v>
      </c>
      <c r="F53" s="73">
        <v>9310</v>
      </c>
      <c r="G53" s="64"/>
    </row>
    <row r="54" spans="1:7" ht="12.75" customHeight="1">
      <c r="A54" s="45"/>
      <c r="B54" s="55"/>
      <c r="C54" s="45" t="s">
        <v>34</v>
      </c>
      <c r="D54" s="45"/>
      <c r="E54" s="72"/>
      <c r="F54" s="63"/>
      <c r="G54" s="64"/>
    </row>
    <row r="55" spans="1:7" ht="12.75" customHeight="1">
      <c r="A55" s="45"/>
      <c r="B55" s="55"/>
      <c r="D55" s="45"/>
      <c r="E55" s="78" t="s">
        <v>35</v>
      </c>
      <c r="F55" s="63">
        <v>0</v>
      </c>
      <c r="G55" s="64"/>
    </row>
    <row r="56" spans="1:7" ht="12.75" customHeight="1">
      <c r="A56" s="45"/>
      <c r="B56" s="55"/>
      <c r="C56" s="45" t="s">
        <v>36</v>
      </c>
      <c r="D56" s="45"/>
      <c r="E56" s="72"/>
      <c r="F56" s="63">
        <v>0</v>
      </c>
      <c r="G56" s="64"/>
    </row>
    <row r="57" spans="1:7" ht="12.75" customHeight="1">
      <c r="A57" s="45"/>
      <c r="B57" s="55"/>
      <c r="C57" s="45" t="s">
        <v>37</v>
      </c>
      <c r="D57" s="45"/>
      <c r="E57" s="72"/>
      <c r="F57" s="63">
        <v>0</v>
      </c>
      <c r="G57" s="64"/>
    </row>
    <row r="58" spans="1:7" ht="12.75" customHeight="1">
      <c r="A58" s="45"/>
      <c r="B58" s="55"/>
      <c r="C58" s="45" t="s">
        <v>38</v>
      </c>
      <c r="D58" s="45"/>
      <c r="E58" s="72"/>
      <c r="F58" s="63">
        <f>SUM(F59:F61)</f>
        <v>129298</v>
      </c>
      <c r="G58" s="64"/>
    </row>
    <row r="59" spans="1:7" ht="12.75" customHeight="1">
      <c r="A59" s="45"/>
      <c r="B59" s="55"/>
      <c r="C59" s="45"/>
      <c r="D59" s="45"/>
      <c r="E59" s="79" t="s">
        <v>159</v>
      </c>
      <c r="F59" s="73">
        <v>20000</v>
      </c>
      <c r="G59" s="64"/>
    </row>
    <row r="60" spans="1:7" ht="12.75" customHeight="1">
      <c r="A60" s="45"/>
      <c r="B60" s="55"/>
      <c r="C60" s="45"/>
      <c r="D60" s="45"/>
      <c r="E60" s="74" t="s">
        <v>160</v>
      </c>
      <c r="F60" s="73">
        <v>50000</v>
      </c>
      <c r="G60" s="64"/>
    </row>
    <row r="61" spans="1:7" ht="12.75" customHeight="1">
      <c r="A61" s="45"/>
      <c r="B61" s="55"/>
      <c r="C61" s="45"/>
      <c r="D61" s="45"/>
      <c r="E61" s="74" t="s">
        <v>97</v>
      </c>
      <c r="F61" s="100">
        <v>59298</v>
      </c>
      <c r="G61" s="64"/>
    </row>
    <row r="62" spans="1:7" ht="12.75" customHeight="1">
      <c r="A62" s="45"/>
      <c r="B62" s="55"/>
      <c r="C62" s="45"/>
      <c r="D62" s="45"/>
      <c r="E62" s="78"/>
      <c r="F62" s="63" t="s">
        <v>0</v>
      </c>
      <c r="G62" s="64"/>
    </row>
    <row r="63" spans="1:7" ht="12.75" customHeight="1">
      <c r="A63" s="80"/>
      <c r="B63" s="58" t="s">
        <v>39</v>
      </c>
      <c r="C63" s="81"/>
      <c r="D63" s="81"/>
      <c r="E63" s="74"/>
      <c r="F63" s="63" t="s">
        <v>0</v>
      </c>
      <c r="G63" s="82">
        <f>G19+G30</f>
        <v>-19404655</v>
      </c>
    </row>
    <row r="64" spans="1:7" ht="12.75" customHeight="1">
      <c r="A64" s="45"/>
      <c r="B64" s="83" t="s">
        <v>40</v>
      </c>
      <c r="C64" s="45"/>
      <c r="D64" s="45"/>
      <c r="E64" s="78"/>
      <c r="F64" s="63" t="s">
        <v>0</v>
      </c>
      <c r="G64" s="84"/>
    </row>
    <row r="65" spans="2:7" ht="12" customHeight="1">
      <c r="B65" s="85"/>
      <c r="E65" s="72"/>
      <c r="F65" s="63" t="s">
        <v>0</v>
      </c>
      <c r="G65" s="84"/>
    </row>
    <row r="66" spans="2:7" ht="12" customHeight="1">
      <c r="B66" s="58" t="s">
        <v>87</v>
      </c>
      <c r="C66" s="67"/>
      <c r="D66" s="67"/>
      <c r="E66" s="86"/>
      <c r="F66" s="69"/>
      <c r="G66" s="87">
        <f>SUM(F68:F70)</f>
        <v>-118081</v>
      </c>
    </row>
    <row r="67" spans="2:7" ht="12">
      <c r="B67" s="85"/>
      <c r="E67" s="72"/>
      <c r="F67" s="63"/>
      <c r="G67" s="84"/>
    </row>
    <row r="68" spans="2:7" ht="12">
      <c r="B68" s="55"/>
      <c r="C68" s="45" t="s">
        <v>84</v>
      </c>
      <c r="D68" s="45"/>
      <c r="E68" s="72"/>
      <c r="F68" s="60">
        <v>0</v>
      </c>
      <c r="G68" s="84"/>
    </row>
    <row r="69" spans="2:7" ht="12">
      <c r="B69" s="85"/>
      <c r="C69" s="45" t="s">
        <v>85</v>
      </c>
      <c r="E69" s="72"/>
      <c r="F69" s="63">
        <v>-124279</v>
      </c>
      <c r="G69" s="84"/>
    </row>
    <row r="70" spans="2:7" ht="12">
      <c r="B70" s="85"/>
      <c r="C70" s="45" t="s">
        <v>86</v>
      </c>
      <c r="E70" s="72"/>
      <c r="F70" s="63">
        <f>2000+4198</f>
        <v>6198</v>
      </c>
      <c r="G70" s="84"/>
    </row>
    <row r="71" spans="2:7" ht="12">
      <c r="B71" s="85"/>
      <c r="E71" s="72"/>
      <c r="F71" s="63"/>
      <c r="G71" s="84"/>
    </row>
    <row r="72" spans="2:7" ht="12">
      <c r="B72" s="58" t="s">
        <v>88</v>
      </c>
      <c r="C72" s="67"/>
      <c r="D72" s="67"/>
      <c r="E72" s="86"/>
      <c r="F72" s="69">
        <v>0</v>
      </c>
      <c r="G72" s="87">
        <v>0</v>
      </c>
    </row>
    <row r="73" spans="2:7" ht="12">
      <c r="B73" s="85"/>
      <c r="E73" s="72"/>
      <c r="F73" s="63"/>
      <c r="G73" s="84"/>
    </row>
    <row r="74" spans="2:7" ht="12">
      <c r="B74" s="58" t="s">
        <v>83</v>
      </c>
      <c r="C74" s="67"/>
      <c r="D74" s="67"/>
      <c r="E74" s="86"/>
      <c r="F74" s="69"/>
      <c r="G74" s="87">
        <f>SUM(F76:F77)</f>
        <v>170993</v>
      </c>
    </row>
    <row r="75" spans="2:7" ht="12">
      <c r="B75" s="85"/>
      <c r="E75" s="72"/>
      <c r="F75" s="63"/>
      <c r="G75" s="84"/>
    </row>
    <row r="76" spans="2:7" ht="12">
      <c r="B76" s="85"/>
      <c r="C76" s="45" t="s">
        <v>89</v>
      </c>
      <c r="E76" s="72"/>
      <c r="F76" s="63">
        <v>-33162</v>
      </c>
      <c r="G76" s="84"/>
    </row>
    <row r="77" spans="2:7" ht="12">
      <c r="B77" s="85"/>
      <c r="C77" s="45" t="s">
        <v>90</v>
      </c>
      <c r="E77" s="72"/>
      <c r="F77" s="63">
        <f>187955+16200</f>
        <v>204155</v>
      </c>
      <c r="G77" s="84"/>
    </row>
    <row r="78" spans="2:7" ht="12">
      <c r="B78" s="85"/>
      <c r="E78" s="72"/>
      <c r="F78" s="63"/>
      <c r="G78" s="84"/>
    </row>
    <row r="79" spans="2:7" ht="12">
      <c r="B79" s="88" t="s">
        <v>91</v>
      </c>
      <c r="C79" s="68"/>
      <c r="D79" s="68"/>
      <c r="E79" s="86"/>
      <c r="F79" s="63">
        <v>518099</v>
      </c>
      <c r="G79" s="87">
        <f>F79</f>
        <v>518099</v>
      </c>
    </row>
    <row r="80" spans="2:7" ht="12">
      <c r="B80" s="85"/>
      <c r="E80" s="72"/>
      <c r="F80" s="63"/>
      <c r="G80" s="84"/>
    </row>
    <row r="81" spans="2:7" ht="12.75">
      <c r="B81" s="58"/>
      <c r="E81" s="89" t="s">
        <v>92</v>
      </c>
      <c r="F81" s="63"/>
      <c r="G81" s="90">
        <f>G63-G66-G72-G74-G79</f>
        <v>-19975666</v>
      </c>
    </row>
    <row r="82" spans="2:7" ht="12">
      <c r="B82" s="91"/>
      <c r="C82" s="92"/>
      <c r="D82" s="92"/>
      <c r="E82" s="93"/>
      <c r="F82" s="94"/>
      <c r="G82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F24" sqref="F24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116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F20+F24+F25+F26+F28</f>
        <v>2176627265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SUM(F21:F22)</f>
        <v>2146234454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132</v>
      </c>
      <c r="F21" s="62">
        <v>2122329594</v>
      </c>
      <c r="G21" s="61"/>
    </row>
    <row r="22" spans="1:7" ht="12.75" customHeight="1">
      <c r="A22" s="45"/>
      <c r="B22" s="55"/>
      <c r="C22" s="45"/>
      <c r="D22" s="45" t="s">
        <v>30</v>
      </c>
      <c r="E22" s="46" t="s">
        <v>133</v>
      </c>
      <c r="F22" s="62">
        <v>23904860</v>
      </c>
      <c r="G22" s="61"/>
    </row>
    <row r="23" spans="1:7" ht="12.75" customHeight="1">
      <c r="A23" s="45"/>
      <c r="B23" s="55"/>
      <c r="C23" s="45" t="s">
        <v>8</v>
      </c>
      <c r="D23" s="45" t="s">
        <v>9</v>
      </c>
      <c r="F23" s="63"/>
      <c r="G23" s="61"/>
    </row>
    <row r="24" spans="1:7" ht="12.75" customHeight="1">
      <c r="A24" s="45"/>
      <c r="B24" s="55"/>
      <c r="C24" s="45"/>
      <c r="D24" s="45" t="s">
        <v>10</v>
      </c>
      <c r="F24" s="63">
        <v>0</v>
      </c>
      <c r="G24" s="61"/>
    </row>
    <row r="25" spans="1:7" ht="12.75" customHeight="1">
      <c r="A25" s="45"/>
      <c r="B25" s="55"/>
      <c r="C25" s="45" t="s">
        <v>11</v>
      </c>
      <c r="D25" s="45" t="s">
        <v>12</v>
      </c>
      <c r="F25" s="63">
        <v>0</v>
      </c>
      <c r="G25" s="61"/>
    </row>
    <row r="26" spans="1:7" ht="12.75" customHeight="1">
      <c r="A26" s="45"/>
      <c r="B26" s="55"/>
      <c r="C26" s="45" t="s">
        <v>13</v>
      </c>
      <c r="D26" s="45"/>
      <c r="F26" s="63">
        <v>0</v>
      </c>
      <c r="G26" s="61"/>
    </row>
    <row r="27" spans="1:7" ht="12.75" customHeight="1">
      <c r="A27" s="45"/>
      <c r="B27" s="55"/>
      <c r="C27" s="45" t="s">
        <v>14</v>
      </c>
      <c r="D27" s="45"/>
      <c r="F27" s="63" t="s">
        <v>0</v>
      </c>
      <c r="G27" s="64"/>
    </row>
    <row r="28" spans="1:7" ht="12.75" customHeight="1">
      <c r="A28" s="45"/>
      <c r="B28" s="55"/>
      <c r="C28" s="45"/>
      <c r="D28" s="45" t="s">
        <v>15</v>
      </c>
      <c r="F28" s="60">
        <f>SUM(F29:F30)</f>
        <v>30392811</v>
      </c>
      <c r="G28" s="64"/>
    </row>
    <row r="29" spans="1:7" ht="12.75" customHeight="1">
      <c r="A29" s="45"/>
      <c r="B29" s="55"/>
      <c r="C29" s="45"/>
      <c r="D29" s="45" t="s">
        <v>30</v>
      </c>
      <c r="E29" s="46" t="s">
        <v>139</v>
      </c>
      <c r="F29" s="104">
        <v>25987933</v>
      </c>
      <c r="G29" s="64"/>
    </row>
    <row r="30" spans="1:7" ht="12.75" customHeight="1">
      <c r="A30" s="45"/>
      <c r="B30" s="55"/>
      <c r="C30" s="45"/>
      <c r="D30" s="65" t="s">
        <v>30</v>
      </c>
      <c r="E30" s="46" t="s">
        <v>134</v>
      </c>
      <c r="F30" s="62">
        <v>4404878</v>
      </c>
      <c r="G30" s="66"/>
    </row>
    <row r="31" spans="1:7" ht="12.75" customHeight="1">
      <c r="A31" s="45"/>
      <c r="B31" s="55"/>
      <c r="C31" s="45"/>
      <c r="D31" s="45"/>
      <c r="E31" s="45"/>
      <c r="F31" s="63"/>
      <c r="G31" s="64"/>
    </row>
    <row r="32" spans="1:7" s="71" customFormat="1" ht="12.75" customHeight="1">
      <c r="A32" s="67"/>
      <c r="B32" s="58" t="s">
        <v>16</v>
      </c>
      <c r="C32" s="67"/>
      <c r="D32" s="67"/>
      <c r="E32" s="68"/>
      <c r="F32" s="69"/>
      <c r="G32" s="70">
        <f>-(F34+F40+F54+F57+F63+F70+F71+F72+F73)</f>
        <v>-1872048917</v>
      </c>
    </row>
    <row r="33" spans="1:7" ht="12.75" customHeight="1">
      <c r="A33" s="45"/>
      <c r="B33" s="55"/>
      <c r="C33" s="45" t="s">
        <v>17</v>
      </c>
      <c r="D33" s="45"/>
      <c r="F33" s="63" t="s">
        <v>0</v>
      </c>
      <c r="G33" s="64"/>
    </row>
    <row r="34" spans="1:7" ht="12.75" customHeight="1">
      <c r="A34" s="45"/>
      <c r="B34" s="55"/>
      <c r="D34" s="45" t="s">
        <v>18</v>
      </c>
      <c r="E34" s="72"/>
      <c r="F34" s="98">
        <f>SUM(F35:F39)</f>
        <v>1577791473</v>
      </c>
      <c r="G34" s="64"/>
    </row>
    <row r="35" spans="1:7" ht="12.75" customHeight="1">
      <c r="A35" s="45"/>
      <c r="B35" s="55"/>
      <c r="D35" s="45"/>
      <c r="E35" s="72" t="s">
        <v>94</v>
      </c>
      <c r="F35" s="73">
        <v>429694</v>
      </c>
      <c r="G35" s="64"/>
    </row>
    <row r="36" spans="1:7" ht="12.75" customHeight="1">
      <c r="A36" s="45"/>
      <c r="B36" s="55"/>
      <c r="D36" s="45"/>
      <c r="E36" s="72" t="s">
        <v>44</v>
      </c>
      <c r="F36" s="73">
        <v>1574628941</v>
      </c>
      <c r="G36" s="64"/>
    </row>
    <row r="37" spans="1:7" ht="12.75" customHeight="1">
      <c r="A37" s="45"/>
      <c r="B37" s="55"/>
      <c r="D37" s="45"/>
      <c r="E37" s="72" t="s">
        <v>95</v>
      </c>
      <c r="F37" s="73">
        <v>1111500</v>
      </c>
      <c r="G37" s="64"/>
    </row>
    <row r="38" spans="1:7" ht="12.75" customHeight="1">
      <c r="A38" s="45"/>
      <c r="B38" s="55"/>
      <c r="D38" s="45"/>
      <c r="E38" s="74" t="s">
        <v>45</v>
      </c>
      <c r="F38" s="73">
        <v>410457</v>
      </c>
      <c r="G38" s="64"/>
    </row>
    <row r="39" spans="1:7" ht="12.75" customHeight="1">
      <c r="A39" s="45"/>
      <c r="B39" s="55"/>
      <c r="D39" s="45"/>
      <c r="E39" s="72" t="s">
        <v>96</v>
      </c>
      <c r="F39" s="99">
        <f>708779+502102</f>
        <v>1210881</v>
      </c>
      <c r="G39" s="64"/>
    </row>
    <row r="40" spans="1:7" ht="12.75" customHeight="1">
      <c r="A40" s="45"/>
      <c r="B40" s="55"/>
      <c r="C40" s="45" t="s">
        <v>19</v>
      </c>
      <c r="D40" s="45"/>
      <c r="E40" s="72"/>
      <c r="F40" s="98">
        <f>SUM(F41:F53)</f>
        <v>115132900</v>
      </c>
      <c r="G40" s="64"/>
    </row>
    <row r="41" spans="1:7" ht="12.75" customHeight="1">
      <c r="A41" s="45"/>
      <c r="B41" s="55"/>
      <c r="C41" s="45"/>
      <c r="D41" s="45"/>
      <c r="E41" s="74" t="s">
        <v>47</v>
      </c>
      <c r="F41" s="73">
        <v>3164026</v>
      </c>
      <c r="G41" s="64"/>
    </row>
    <row r="42" spans="1:7" ht="12.75" customHeight="1">
      <c r="A42" s="45"/>
      <c r="B42" s="55"/>
      <c r="C42" s="45"/>
      <c r="D42" s="45"/>
      <c r="E42" s="74" t="s">
        <v>46</v>
      </c>
      <c r="F42" s="73">
        <v>2794563</v>
      </c>
      <c r="G42" s="64"/>
    </row>
    <row r="43" spans="1:7" ht="13.5" customHeight="1">
      <c r="A43" s="45"/>
      <c r="B43" s="55"/>
      <c r="C43" s="45"/>
      <c r="D43" s="45"/>
      <c r="E43" s="74" t="s">
        <v>54</v>
      </c>
      <c r="F43" s="73">
        <v>330000</v>
      </c>
      <c r="G43" s="64"/>
    </row>
    <row r="44" spans="1:7" ht="13.5" customHeight="1">
      <c r="A44" s="45"/>
      <c r="B44" s="55"/>
      <c r="C44" s="45"/>
      <c r="D44" s="45"/>
      <c r="E44" s="74" t="s">
        <v>53</v>
      </c>
      <c r="F44" s="73">
        <v>325000</v>
      </c>
      <c r="G44" s="64"/>
    </row>
    <row r="45" spans="1:7" ht="12.75" customHeight="1">
      <c r="A45" s="45"/>
      <c r="B45" s="55"/>
      <c r="C45" s="45"/>
      <c r="D45" s="45"/>
      <c r="E45" s="74" t="s">
        <v>49</v>
      </c>
      <c r="F45" s="73">
        <v>6034500</v>
      </c>
      <c r="G45" s="64"/>
    </row>
    <row r="46" spans="1:7" ht="12.75" customHeight="1">
      <c r="A46" s="45"/>
      <c r="B46" s="55"/>
      <c r="C46" s="45"/>
      <c r="D46" s="45"/>
      <c r="E46" s="74" t="s">
        <v>180</v>
      </c>
      <c r="F46" s="73">
        <v>51764176</v>
      </c>
      <c r="G46" s="64"/>
    </row>
    <row r="47" spans="1:7" ht="12.75" customHeight="1">
      <c r="A47" s="45"/>
      <c r="B47" s="55"/>
      <c r="C47" s="45"/>
      <c r="D47" s="45"/>
      <c r="E47" s="74" t="s">
        <v>50</v>
      </c>
      <c r="F47" s="73">
        <v>1196712</v>
      </c>
      <c r="G47" s="64"/>
    </row>
    <row r="48" spans="1:7" ht="12.75" customHeight="1">
      <c r="A48" s="45"/>
      <c r="B48" s="55"/>
      <c r="C48" s="45"/>
      <c r="D48" s="45"/>
      <c r="E48" s="74" t="s">
        <v>48</v>
      </c>
      <c r="F48" s="73">
        <v>1500</v>
      </c>
      <c r="G48" s="64"/>
    </row>
    <row r="49" spans="1:7" ht="12.75" customHeight="1">
      <c r="A49" s="45"/>
      <c r="B49" s="55"/>
      <c r="C49" s="45"/>
      <c r="D49" s="45"/>
      <c r="E49" s="74" t="s">
        <v>81</v>
      </c>
      <c r="F49" s="73">
        <v>1404000</v>
      </c>
      <c r="G49" s="64"/>
    </row>
    <row r="50" spans="1:7" ht="12.75" customHeight="1">
      <c r="A50" s="45"/>
      <c r="B50" s="55"/>
      <c r="C50" s="45"/>
      <c r="D50" s="45"/>
      <c r="E50" s="74" t="s">
        <v>181</v>
      </c>
      <c r="F50" s="73">
        <v>13053507</v>
      </c>
      <c r="G50" s="64"/>
    </row>
    <row r="51" spans="1:7" ht="12.75" customHeight="1">
      <c r="A51" s="45"/>
      <c r="B51" s="55"/>
      <c r="C51" s="45"/>
      <c r="D51" s="45"/>
      <c r="E51" s="74" t="s">
        <v>182</v>
      </c>
      <c r="F51" s="73">
        <v>420000</v>
      </c>
      <c r="G51" s="64"/>
    </row>
    <row r="52" spans="1:7" ht="12.75" customHeight="1">
      <c r="A52" s="45"/>
      <c r="B52" s="55"/>
      <c r="C52" s="45"/>
      <c r="D52" s="45"/>
      <c r="E52" s="74" t="s">
        <v>143</v>
      </c>
      <c r="F52" s="73">
        <v>2012000</v>
      </c>
      <c r="G52" s="64"/>
    </row>
    <row r="53" spans="1:7" ht="12.75" customHeight="1">
      <c r="A53" s="45"/>
      <c r="B53" s="55"/>
      <c r="C53" s="45"/>
      <c r="D53" s="45"/>
      <c r="E53" s="74" t="s">
        <v>97</v>
      </c>
      <c r="F53" s="73">
        <f>21696025+10936891</f>
        <v>32632916</v>
      </c>
      <c r="G53" s="64"/>
    </row>
    <row r="54" spans="1:7" ht="12.75" customHeight="1">
      <c r="A54" s="45"/>
      <c r="B54" s="55"/>
      <c r="C54" s="45" t="s">
        <v>20</v>
      </c>
      <c r="D54" s="45"/>
      <c r="E54" s="72"/>
      <c r="F54" s="60">
        <f>SUM(F55:F56)</f>
        <v>27271000</v>
      </c>
      <c r="G54" s="64"/>
    </row>
    <row r="55" spans="1:7" ht="12.75" customHeight="1">
      <c r="A55" s="45"/>
      <c r="B55" s="55"/>
      <c r="C55" s="45"/>
      <c r="D55" s="45"/>
      <c r="E55" s="74" t="s">
        <v>136</v>
      </c>
      <c r="F55" s="73">
        <v>26091000</v>
      </c>
      <c r="G55" s="64"/>
    </row>
    <row r="56" spans="1:7" ht="12.75" customHeight="1">
      <c r="A56" s="45"/>
      <c r="B56" s="55"/>
      <c r="C56" s="45"/>
      <c r="D56" s="45"/>
      <c r="E56" s="74" t="s">
        <v>158</v>
      </c>
      <c r="F56" s="101">
        <v>1180000</v>
      </c>
      <c r="G56" s="64"/>
    </row>
    <row r="57" spans="1:7" ht="12.75" customHeight="1">
      <c r="A57" s="45"/>
      <c r="B57" s="55"/>
      <c r="C57" s="45" t="s">
        <v>21</v>
      </c>
      <c r="D57" s="45"/>
      <c r="E57" s="72"/>
      <c r="F57" s="98">
        <f>SUM(F58:F62)</f>
        <v>201833529</v>
      </c>
      <c r="G57" s="64"/>
    </row>
    <row r="58" spans="1:7" ht="12.75" customHeight="1">
      <c r="A58" s="45"/>
      <c r="B58" s="55"/>
      <c r="D58" s="75" t="s">
        <v>22</v>
      </c>
      <c r="E58" s="76"/>
      <c r="F58" s="73">
        <f>119989328+30289617</f>
        <v>150278945</v>
      </c>
      <c r="G58" s="64"/>
    </row>
    <row r="59" spans="1:7" ht="12.75" customHeight="1">
      <c r="A59" s="45"/>
      <c r="B59" s="55"/>
      <c r="D59" s="75" t="s">
        <v>23</v>
      </c>
      <c r="E59" s="76"/>
      <c r="F59" s="73">
        <f>28944529+2311827+6971868+80891</f>
        <v>38309115</v>
      </c>
      <c r="G59" s="64"/>
    </row>
    <row r="60" spans="1:7" ht="12.75" customHeight="1">
      <c r="A60" s="45"/>
      <c r="B60" s="55"/>
      <c r="D60" s="75" t="s">
        <v>24</v>
      </c>
      <c r="E60" s="76"/>
      <c r="F60" s="73">
        <f>9550680+3161197</f>
        <v>12711877</v>
      </c>
      <c r="G60" s="64"/>
    </row>
    <row r="61" spans="1:7" ht="12.75" customHeight="1">
      <c r="A61" s="45"/>
      <c r="B61" s="55"/>
      <c r="D61" s="75" t="s">
        <v>25</v>
      </c>
      <c r="E61" s="76"/>
      <c r="F61" s="73">
        <v>0</v>
      </c>
      <c r="G61" s="64"/>
    </row>
    <row r="62" spans="1:7" ht="12.75" customHeight="1">
      <c r="A62" s="45"/>
      <c r="B62" s="55"/>
      <c r="D62" s="75" t="s">
        <v>166</v>
      </c>
      <c r="E62" s="76"/>
      <c r="F62" s="73">
        <v>533592</v>
      </c>
      <c r="G62" s="64"/>
    </row>
    <row r="63" spans="1:7" ht="12.75" customHeight="1">
      <c r="A63" s="45"/>
      <c r="B63" s="55"/>
      <c r="C63" s="45" t="s">
        <v>27</v>
      </c>
      <c r="D63" s="45"/>
      <c r="E63" s="72"/>
      <c r="F63" s="98">
        <f>SUM(F64:F68)</f>
        <v>3241077</v>
      </c>
      <c r="G63" s="64"/>
    </row>
    <row r="64" spans="1:7" ht="12.75" customHeight="1">
      <c r="A64" s="45"/>
      <c r="B64" s="55"/>
      <c r="C64" s="45"/>
      <c r="D64" s="75" t="s">
        <v>28</v>
      </c>
      <c r="E64" s="76"/>
      <c r="F64" s="73">
        <v>603374</v>
      </c>
      <c r="G64" s="64"/>
    </row>
    <row r="65" spans="1:7" ht="12.75" customHeight="1">
      <c r="A65" s="45"/>
      <c r="B65" s="55"/>
      <c r="D65" s="75" t="s">
        <v>29</v>
      </c>
      <c r="E65" s="77"/>
      <c r="F65" s="73">
        <f>1543945+908251</f>
        <v>2452196</v>
      </c>
      <c r="G65" s="64"/>
    </row>
    <row r="66" spans="1:7" ht="12.75" customHeight="1">
      <c r="A66" s="45"/>
      <c r="B66" s="55"/>
      <c r="D66" s="75" t="s">
        <v>31</v>
      </c>
      <c r="E66" s="76"/>
      <c r="F66" s="73">
        <v>0</v>
      </c>
      <c r="G66" s="64"/>
    </row>
    <row r="67" spans="1:7" ht="12.75" customHeight="1">
      <c r="A67" s="45"/>
      <c r="B67" s="55"/>
      <c r="D67" s="75" t="s">
        <v>32</v>
      </c>
      <c r="E67" s="76"/>
      <c r="F67" s="73"/>
      <c r="G67" s="64"/>
    </row>
    <row r="68" spans="1:7" ht="12.75" customHeight="1">
      <c r="A68" s="45"/>
      <c r="B68" s="55"/>
      <c r="D68" s="75"/>
      <c r="E68" s="77" t="s">
        <v>33</v>
      </c>
      <c r="F68" s="73">
        <v>185507</v>
      </c>
      <c r="G68" s="64"/>
    </row>
    <row r="69" spans="1:7" ht="12.75" customHeight="1">
      <c r="A69" s="45"/>
      <c r="B69" s="55"/>
      <c r="C69" s="45" t="s">
        <v>34</v>
      </c>
      <c r="D69" s="45"/>
      <c r="E69" s="72"/>
      <c r="F69" s="63"/>
      <c r="G69" s="64"/>
    </row>
    <row r="70" spans="1:7" ht="12.75" customHeight="1">
      <c r="A70" s="45"/>
      <c r="B70" s="55"/>
      <c r="D70" s="45"/>
      <c r="E70" s="78" t="s">
        <v>35</v>
      </c>
      <c r="F70" s="63">
        <v>-59558442</v>
      </c>
      <c r="G70" s="64"/>
    </row>
    <row r="71" spans="1:7" ht="12.75" customHeight="1">
      <c r="A71" s="45"/>
      <c r="B71" s="55"/>
      <c r="C71" s="45" t="s">
        <v>36</v>
      </c>
      <c r="D71" s="45"/>
      <c r="E71" s="72"/>
      <c r="F71" s="63">
        <v>0</v>
      </c>
      <c r="G71" s="64"/>
    </row>
    <row r="72" spans="1:7" ht="12.75" customHeight="1">
      <c r="A72" s="45"/>
      <c r="B72" s="55"/>
      <c r="C72" s="45" t="s">
        <v>37</v>
      </c>
      <c r="D72" s="45"/>
      <c r="E72" s="72"/>
      <c r="F72" s="63">
        <v>0</v>
      </c>
      <c r="G72" s="64"/>
    </row>
    <row r="73" spans="1:7" ht="12.75" customHeight="1">
      <c r="A73" s="45"/>
      <c r="B73" s="55"/>
      <c r="C73" s="45" t="s">
        <v>38</v>
      </c>
      <c r="D73" s="45"/>
      <c r="E73" s="72"/>
      <c r="F73" s="63">
        <f>SUM(F74:F80)</f>
        <v>6337380</v>
      </c>
      <c r="G73" s="64"/>
    </row>
    <row r="74" spans="1:7" ht="12.75" customHeight="1">
      <c r="A74" s="45"/>
      <c r="B74" s="55"/>
      <c r="C74" s="45"/>
      <c r="D74" s="45"/>
      <c r="E74" s="72" t="s">
        <v>183</v>
      </c>
      <c r="F74" s="96">
        <v>1081000</v>
      </c>
      <c r="G74" s="64"/>
    </row>
    <row r="75" spans="1:7" ht="12.75" customHeight="1">
      <c r="A75" s="45"/>
      <c r="B75" s="55"/>
      <c r="C75" s="45"/>
      <c r="D75" s="45"/>
      <c r="E75" s="72" t="s">
        <v>184</v>
      </c>
      <c r="F75" s="96">
        <v>530000</v>
      </c>
      <c r="G75" s="64"/>
    </row>
    <row r="76" spans="1:7" ht="12.75" customHeight="1">
      <c r="A76" s="45"/>
      <c r="B76" s="55"/>
      <c r="C76" s="45"/>
      <c r="D76" s="45"/>
      <c r="E76" s="79" t="s">
        <v>52</v>
      </c>
      <c r="F76" s="96">
        <v>35700</v>
      </c>
      <c r="G76" s="64"/>
    </row>
    <row r="77" spans="1:7" ht="12.75" customHeight="1">
      <c r="A77" s="45"/>
      <c r="B77" s="55"/>
      <c r="C77" s="45"/>
      <c r="D77" s="45"/>
      <c r="E77" s="79" t="s">
        <v>185</v>
      </c>
      <c r="F77" s="96">
        <v>120000</v>
      </c>
      <c r="G77" s="64"/>
    </row>
    <row r="78" spans="1:7" ht="13.5" customHeight="1">
      <c r="A78" s="45"/>
      <c r="B78" s="55"/>
      <c r="C78" s="45"/>
      <c r="D78" s="45" t="s">
        <v>0</v>
      </c>
      <c r="E78" s="74" t="s">
        <v>59</v>
      </c>
      <c r="F78" s="73">
        <v>13800</v>
      </c>
      <c r="G78" s="64"/>
    </row>
    <row r="79" spans="1:7" ht="12.75" customHeight="1">
      <c r="A79" s="45"/>
      <c r="B79" s="55"/>
      <c r="C79" s="45"/>
      <c r="D79" s="45"/>
      <c r="E79" s="74" t="s">
        <v>162</v>
      </c>
      <c r="F79" s="73">
        <v>3375350</v>
      </c>
      <c r="G79" s="64"/>
    </row>
    <row r="80" spans="1:7" ht="12.75" customHeight="1">
      <c r="A80" s="45"/>
      <c r="B80" s="55"/>
      <c r="C80" s="45"/>
      <c r="D80" s="45"/>
      <c r="E80" s="74" t="s">
        <v>97</v>
      </c>
      <c r="F80" s="100">
        <v>1181530</v>
      </c>
      <c r="G80" s="64"/>
    </row>
    <row r="81" spans="1:7" ht="12.75" customHeight="1">
      <c r="A81" s="45"/>
      <c r="B81" s="55"/>
      <c r="C81" s="45"/>
      <c r="D81" s="45"/>
      <c r="E81" s="78"/>
      <c r="F81" s="63" t="s">
        <v>0</v>
      </c>
      <c r="G81" s="64"/>
    </row>
    <row r="82" spans="1:7" ht="12.75" customHeight="1">
      <c r="A82" s="80"/>
      <c r="B82" s="58" t="s">
        <v>39</v>
      </c>
      <c r="C82" s="81"/>
      <c r="D82" s="81"/>
      <c r="E82" s="74"/>
      <c r="F82" s="63" t="s">
        <v>0</v>
      </c>
      <c r="G82" s="82">
        <f>G19+G32</f>
        <v>304578348</v>
      </c>
    </row>
    <row r="83" spans="1:7" ht="12.75" customHeight="1">
      <c r="A83" s="45"/>
      <c r="B83" s="83" t="s">
        <v>40</v>
      </c>
      <c r="C83" s="45"/>
      <c r="D83" s="45"/>
      <c r="E83" s="78"/>
      <c r="F83" s="63" t="s">
        <v>0</v>
      </c>
      <c r="G83" s="84"/>
    </row>
    <row r="84" spans="2:7" ht="12" customHeight="1">
      <c r="B84" s="85"/>
      <c r="E84" s="72"/>
      <c r="F84" s="63" t="s">
        <v>0</v>
      </c>
      <c r="G84" s="84"/>
    </row>
    <row r="85" spans="2:7" ht="12" customHeight="1">
      <c r="B85" s="58" t="s">
        <v>87</v>
      </c>
      <c r="C85" s="67"/>
      <c r="D85" s="67"/>
      <c r="E85" s="86"/>
      <c r="F85" s="69"/>
      <c r="G85" s="87">
        <f>SUM(F87:F89)</f>
        <v>-1791260</v>
      </c>
    </row>
    <row r="86" spans="2:7" ht="12">
      <c r="B86" s="85"/>
      <c r="E86" s="72"/>
      <c r="F86" s="63"/>
      <c r="G86" s="84"/>
    </row>
    <row r="87" spans="2:7" ht="12">
      <c r="B87" s="55"/>
      <c r="C87" s="45" t="s">
        <v>84</v>
      </c>
      <c r="D87" s="45"/>
      <c r="E87" s="72"/>
      <c r="F87" s="60">
        <v>0</v>
      </c>
      <c r="G87" s="84"/>
    </row>
    <row r="88" spans="2:7" ht="12">
      <c r="B88" s="85"/>
      <c r="C88" s="45" t="s">
        <v>85</v>
      </c>
      <c r="E88" s="72"/>
      <c r="F88" s="63">
        <v>-2476286</v>
      </c>
      <c r="G88" s="84"/>
    </row>
    <row r="89" spans="2:7" ht="12">
      <c r="B89" s="85"/>
      <c r="C89" s="45" t="s">
        <v>86</v>
      </c>
      <c r="E89" s="72"/>
      <c r="F89" s="63">
        <f>601371+83655</f>
        <v>685026</v>
      </c>
      <c r="G89" s="84"/>
    </row>
    <row r="90" spans="2:7" ht="12">
      <c r="B90" s="85"/>
      <c r="E90" s="72"/>
      <c r="F90" s="63"/>
      <c r="G90" s="84"/>
    </row>
    <row r="91" spans="2:7" ht="12">
      <c r="B91" s="58" t="s">
        <v>88</v>
      </c>
      <c r="C91" s="67"/>
      <c r="D91" s="67"/>
      <c r="E91" s="86"/>
      <c r="F91" s="69">
        <v>0</v>
      </c>
      <c r="G91" s="87">
        <v>0</v>
      </c>
    </row>
    <row r="92" spans="2:7" ht="12">
      <c r="B92" s="85"/>
      <c r="E92" s="72"/>
      <c r="F92" s="63"/>
      <c r="G92" s="84"/>
    </row>
    <row r="93" spans="2:7" ht="12">
      <c r="B93" s="58" t="s">
        <v>83</v>
      </c>
      <c r="C93" s="67"/>
      <c r="D93" s="67"/>
      <c r="E93" s="86"/>
      <c r="F93" s="69"/>
      <c r="G93" s="87">
        <f>SUM(F95:F96)</f>
        <v>-360455</v>
      </c>
    </row>
    <row r="94" spans="2:7" ht="12">
      <c r="B94" s="85"/>
      <c r="E94" s="72"/>
      <c r="F94" s="63"/>
      <c r="G94" s="84"/>
    </row>
    <row r="95" spans="2:7" ht="12">
      <c r="B95" s="85"/>
      <c r="C95" s="45" t="s">
        <v>89</v>
      </c>
      <c r="E95" s="72"/>
      <c r="F95" s="63">
        <f>-22500-660751</f>
        <v>-683251</v>
      </c>
      <c r="G95" s="84"/>
    </row>
    <row r="96" spans="2:7" ht="12">
      <c r="B96" s="85"/>
      <c r="C96" s="45" t="s">
        <v>90</v>
      </c>
      <c r="E96" s="72"/>
      <c r="F96" s="63">
        <v>322796</v>
      </c>
      <c r="G96" s="84"/>
    </row>
    <row r="97" spans="2:7" ht="12">
      <c r="B97" s="85"/>
      <c r="E97" s="72"/>
      <c r="F97" s="63"/>
      <c r="G97" s="84"/>
    </row>
    <row r="98" spans="2:7" ht="12">
      <c r="B98" s="88" t="s">
        <v>91</v>
      </c>
      <c r="C98" s="68"/>
      <c r="D98" s="68"/>
      <c r="E98" s="86"/>
      <c r="F98" s="63">
        <v>10323200</v>
      </c>
      <c r="G98" s="87">
        <f>F98</f>
        <v>10323200</v>
      </c>
    </row>
    <row r="99" spans="2:7" ht="12">
      <c r="B99" s="85"/>
      <c r="E99" s="72"/>
      <c r="F99" s="63"/>
      <c r="G99" s="84"/>
    </row>
    <row r="100" spans="2:7" ht="12.75">
      <c r="B100" s="58"/>
      <c r="E100" s="89" t="s">
        <v>92</v>
      </c>
      <c r="F100" s="63"/>
      <c r="G100" s="90">
        <f>G82-G85-G91-G93-G98</f>
        <v>296406863</v>
      </c>
    </row>
    <row r="101" spans="2:7" ht="12">
      <c r="B101" s="91"/>
      <c r="C101" s="92"/>
      <c r="D101" s="92"/>
      <c r="E101" s="93"/>
      <c r="F101" s="94"/>
      <c r="G101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5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77">
      <selection activeCell="F98" sqref="F98"/>
    </sheetView>
  </sheetViews>
  <sheetFormatPr defaultColWidth="9.00390625" defaultRowHeight="12"/>
  <cols>
    <col min="1" max="1" width="6.00390625" style="46" customWidth="1"/>
    <col min="2" max="2" width="2.75390625" style="46" customWidth="1"/>
    <col min="3" max="3" width="2.00390625" style="46" customWidth="1"/>
    <col min="4" max="4" width="2.25390625" style="46" customWidth="1"/>
    <col min="5" max="5" width="35.875" style="46" customWidth="1"/>
    <col min="6" max="6" width="16.375" style="96" customWidth="1"/>
    <col min="7" max="7" width="18.375" style="97" customWidth="1"/>
    <col min="8" max="8" width="2.875" style="27" customWidth="1"/>
    <col min="9" max="251" width="11.875" style="27" customWidth="1"/>
    <col min="252" max="16384" width="10.875" style="27" customWidth="1"/>
  </cols>
  <sheetData>
    <row r="1" spans="1:7" ht="13.5" customHeight="1">
      <c r="A1" s="23"/>
      <c r="B1" s="24"/>
      <c r="C1" s="24"/>
      <c r="D1" s="24"/>
      <c r="E1" s="24"/>
      <c r="F1" s="25"/>
      <c r="G1" s="26"/>
    </row>
    <row r="2" spans="1:7" ht="13.5" customHeight="1" thickBot="1">
      <c r="A2" s="23"/>
      <c r="B2" s="23"/>
      <c r="C2" s="23"/>
      <c r="D2" s="23"/>
      <c r="E2" s="23"/>
      <c r="F2" s="28"/>
      <c r="G2" s="29"/>
    </row>
    <row r="3" spans="1:7" ht="13.5" customHeight="1">
      <c r="A3" s="23"/>
      <c r="B3" s="30"/>
      <c r="C3" s="31"/>
      <c r="D3" s="31"/>
      <c r="E3" s="31"/>
      <c r="F3" s="32"/>
      <c r="G3" s="33"/>
    </row>
    <row r="4" spans="1:7" s="38" customFormat="1" ht="13.5" customHeight="1">
      <c r="A4" s="34"/>
      <c r="B4" s="35"/>
      <c r="C4" s="34"/>
      <c r="D4" s="34"/>
      <c r="E4" s="34"/>
      <c r="F4" s="36"/>
      <c r="G4" s="37"/>
    </row>
    <row r="5" spans="1:7" s="38" customFormat="1" ht="13.5" customHeight="1">
      <c r="A5" s="34"/>
      <c r="B5" s="35"/>
      <c r="C5" s="34"/>
      <c r="D5" s="34"/>
      <c r="E5" s="34"/>
      <c r="F5" s="36"/>
      <c r="G5" s="37"/>
    </row>
    <row r="6" spans="1:7" s="38" customFormat="1" ht="23.25">
      <c r="A6" s="34"/>
      <c r="B6" s="111" t="s">
        <v>117</v>
      </c>
      <c r="C6" s="112"/>
      <c r="D6" s="112"/>
      <c r="E6" s="112"/>
      <c r="F6" s="112"/>
      <c r="G6" s="113"/>
    </row>
    <row r="7" spans="1:7" s="38" customFormat="1" ht="13.5" customHeight="1">
      <c r="A7" s="34"/>
      <c r="B7" s="35"/>
      <c r="C7" s="34"/>
      <c r="D7" s="34"/>
      <c r="E7" s="34"/>
      <c r="F7" s="36"/>
      <c r="G7" s="37"/>
    </row>
    <row r="8" spans="1:7" ht="13.5" customHeight="1">
      <c r="A8" s="23"/>
      <c r="B8" s="39"/>
      <c r="C8" s="23"/>
      <c r="D8" s="23"/>
      <c r="E8" s="23"/>
      <c r="F8" s="28"/>
      <c r="G8" s="40"/>
    </row>
    <row r="9" spans="1:7" ht="13.5" customHeight="1" thickBot="1">
      <c r="A9" s="23"/>
      <c r="B9" s="41"/>
      <c r="C9" s="42"/>
      <c r="D9" s="42"/>
      <c r="E9" s="42"/>
      <c r="F9" s="43"/>
      <c r="G9" s="44"/>
    </row>
    <row r="10" spans="1:7" ht="13.5" customHeight="1">
      <c r="A10" s="23"/>
      <c r="B10" s="23"/>
      <c r="C10" s="23"/>
      <c r="D10" s="23"/>
      <c r="E10" s="23"/>
      <c r="F10" s="28"/>
      <c r="G10" s="29"/>
    </row>
    <row r="11" spans="1:7" ht="15.75" customHeight="1">
      <c r="A11" s="23"/>
      <c r="B11" s="114" t="s">
        <v>150</v>
      </c>
      <c r="C11" s="115"/>
      <c r="D11" s="115"/>
      <c r="E11" s="115"/>
      <c r="F11" s="115"/>
      <c r="G11" s="115"/>
    </row>
    <row r="12" spans="1:7" ht="12.75" customHeight="1">
      <c r="A12" s="45"/>
      <c r="B12" s="45"/>
      <c r="C12" s="45"/>
      <c r="D12" s="45"/>
      <c r="F12" s="47"/>
      <c r="G12" s="48"/>
    </row>
    <row r="13" spans="1:7" ht="12.75" customHeight="1">
      <c r="A13" s="45"/>
      <c r="B13" s="114" t="s">
        <v>1</v>
      </c>
      <c r="C13" s="112"/>
      <c r="D13" s="112"/>
      <c r="E13" s="112"/>
      <c r="F13" s="112"/>
      <c r="G13" s="112"/>
    </row>
    <row r="14" spans="1:7" ht="12.75" customHeight="1">
      <c r="A14" s="45"/>
      <c r="B14" s="45"/>
      <c r="C14" s="45"/>
      <c r="D14" s="45"/>
      <c r="E14" s="49"/>
      <c r="F14" s="47"/>
      <c r="G14" s="48"/>
    </row>
    <row r="15" spans="1:7" ht="12.75" customHeight="1">
      <c r="A15" s="45"/>
      <c r="B15" s="45"/>
      <c r="C15" s="45"/>
      <c r="D15" s="45"/>
      <c r="F15" s="47"/>
      <c r="G15" s="48"/>
    </row>
    <row r="16" spans="1:7" ht="12.75" customHeight="1">
      <c r="A16" s="45"/>
      <c r="B16" s="45"/>
      <c r="C16" s="45"/>
      <c r="D16" s="45"/>
      <c r="F16" s="116">
        <v>2001</v>
      </c>
      <c r="G16" s="117"/>
    </row>
    <row r="17" spans="1:7" ht="12.75" customHeight="1">
      <c r="A17" s="45"/>
      <c r="B17" s="50"/>
      <c r="C17" s="51"/>
      <c r="D17" s="51"/>
      <c r="E17" s="52" t="s">
        <v>2</v>
      </c>
      <c r="F17" s="53" t="s">
        <v>3</v>
      </c>
      <c r="G17" s="54" t="s">
        <v>4</v>
      </c>
    </row>
    <row r="18" spans="1:7" ht="12.75" customHeight="1">
      <c r="A18" s="45"/>
      <c r="B18" s="55"/>
      <c r="C18" s="45"/>
      <c r="D18" s="45"/>
      <c r="E18" s="46" t="s">
        <v>0</v>
      </c>
      <c r="F18" s="56"/>
      <c r="G18" s="57"/>
    </row>
    <row r="19" spans="1:7" ht="12.75" customHeight="1">
      <c r="A19" s="45"/>
      <c r="B19" s="58" t="s">
        <v>5</v>
      </c>
      <c r="C19" s="45"/>
      <c r="D19" s="45"/>
      <c r="F19" s="56"/>
      <c r="G19" s="59">
        <f>F20+F24+F25+F26+F28</f>
        <v>3013752743</v>
      </c>
    </row>
    <row r="20" spans="1:7" ht="12.75" customHeight="1">
      <c r="A20" s="45"/>
      <c r="B20" s="55"/>
      <c r="C20" s="45" t="s">
        <v>6</v>
      </c>
      <c r="D20" s="45" t="s">
        <v>7</v>
      </c>
      <c r="F20" s="60">
        <f>SUM(F21:F22)</f>
        <v>2975886343</v>
      </c>
      <c r="G20" s="61"/>
    </row>
    <row r="21" spans="1:7" ht="12.75" customHeight="1">
      <c r="A21" s="45"/>
      <c r="B21" s="55"/>
      <c r="C21" s="45"/>
      <c r="D21" s="45" t="s">
        <v>30</v>
      </c>
      <c r="E21" s="46" t="s">
        <v>132</v>
      </c>
      <c r="F21" s="62">
        <v>2952221392</v>
      </c>
      <c r="G21" s="61"/>
    </row>
    <row r="22" spans="1:7" ht="12.75" customHeight="1">
      <c r="A22" s="45"/>
      <c r="B22" s="55"/>
      <c r="C22" s="45"/>
      <c r="D22" s="45" t="s">
        <v>30</v>
      </c>
      <c r="E22" s="46" t="s">
        <v>133</v>
      </c>
      <c r="F22" s="62">
        <v>23664951</v>
      </c>
      <c r="G22" s="61"/>
    </row>
    <row r="23" spans="1:7" ht="12.75" customHeight="1">
      <c r="A23" s="45"/>
      <c r="B23" s="55"/>
      <c r="C23" s="45" t="s">
        <v>8</v>
      </c>
      <c r="D23" s="45" t="s">
        <v>9</v>
      </c>
      <c r="F23" s="63"/>
      <c r="G23" s="61"/>
    </row>
    <row r="24" spans="1:7" ht="12.75" customHeight="1">
      <c r="A24" s="45"/>
      <c r="B24" s="55"/>
      <c r="C24" s="45"/>
      <c r="D24" s="45" t="s">
        <v>10</v>
      </c>
      <c r="F24" s="63">
        <v>0</v>
      </c>
      <c r="G24" s="61"/>
    </row>
    <row r="25" spans="1:7" ht="12.75" customHeight="1">
      <c r="A25" s="45"/>
      <c r="B25" s="55"/>
      <c r="C25" s="45" t="s">
        <v>11</v>
      </c>
      <c r="D25" s="45" t="s">
        <v>12</v>
      </c>
      <c r="F25" s="63">
        <v>0</v>
      </c>
      <c r="G25" s="61"/>
    </row>
    <row r="26" spans="1:7" ht="12.75" customHeight="1">
      <c r="A26" s="45"/>
      <c r="B26" s="55"/>
      <c r="C26" s="45" t="s">
        <v>13</v>
      </c>
      <c r="D26" s="45"/>
      <c r="F26" s="63">
        <v>0</v>
      </c>
      <c r="G26" s="61"/>
    </row>
    <row r="27" spans="1:7" ht="12.75" customHeight="1">
      <c r="A27" s="45"/>
      <c r="B27" s="55"/>
      <c r="C27" s="45" t="s">
        <v>14</v>
      </c>
      <c r="D27" s="45"/>
      <c r="F27" s="63" t="s">
        <v>0</v>
      </c>
      <c r="G27" s="64"/>
    </row>
    <row r="28" spans="1:7" ht="12.75" customHeight="1">
      <c r="A28" s="45"/>
      <c r="B28" s="55"/>
      <c r="C28" s="45"/>
      <c r="D28" s="45" t="s">
        <v>15</v>
      </c>
      <c r="F28" s="60">
        <f>SUM(F29:F30)</f>
        <v>37866400</v>
      </c>
      <c r="G28" s="64"/>
    </row>
    <row r="29" spans="1:7" ht="12.75" customHeight="1">
      <c r="A29" s="45"/>
      <c r="B29" s="55"/>
      <c r="C29" s="45"/>
      <c r="D29" s="45" t="s">
        <v>30</v>
      </c>
      <c r="E29" s="46" t="s">
        <v>139</v>
      </c>
      <c r="F29" s="104">
        <v>34650577</v>
      </c>
      <c r="G29" s="64"/>
    </row>
    <row r="30" spans="1:7" ht="12.75" customHeight="1">
      <c r="A30" s="45"/>
      <c r="B30" s="55"/>
      <c r="C30" s="45"/>
      <c r="D30" s="65" t="s">
        <v>30</v>
      </c>
      <c r="E30" s="46" t="s">
        <v>137</v>
      </c>
      <c r="F30" s="62">
        <v>3215823</v>
      </c>
      <c r="G30" s="66"/>
    </row>
    <row r="31" spans="1:7" ht="12.75" customHeight="1">
      <c r="A31" s="45"/>
      <c r="B31" s="55"/>
      <c r="C31" s="45"/>
      <c r="D31" s="45"/>
      <c r="E31" s="45"/>
      <c r="F31" s="63"/>
      <c r="G31" s="64"/>
    </row>
    <row r="32" spans="1:7" s="71" customFormat="1" ht="12.75" customHeight="1">
      <c r="A32" s="67"/>
      <c r="B32" s="58" t="s">
        <v>16</v>
      </c>
      <c r="C32" s="67"/>
      <c r="D32" s="67"/>
      <c r="E32" s="68"/>
      <c r="F32" s="69"/>
      <c r="G32" s="70">
        <f>-(F34+F41+F55+F59+F65+F72+F73+F74+F75)</f>
        <v>-2695197762</v>
      </c>
    </row>
    <row r="33" spans="1:7" ht="12.75" customHeight="1">
      <c r="A33" s="45"/>
      <c r="B33" s="55"/>
      <c r="C33" s="45" t="s">
        <v>17</v>
      </c>
      <c r="D33" s="45"/>
      <c r="F33" s="63" t="s">
        <v>0</v>
      </c>
      <c r="G33" s="64"/>
    </row>
    <row r="34" spans="1:7" ht="12.75" customHeight="1">
      <c r="A34" s="45"/>
      <c r="B34" s="55"/>
      <c r="D34" s="45" t="s">
        <v>18</v>
      </c>
      <c r="E34" s="72"/>
      <c r="F34" s="98">
        <f>SUM(F35:F40)</f>
        <v>2213706323</v>
      </c>
      <c r="G34" s="64"/>
    </row>
    <row r="35" spans="1:7" ht="12.75" customHeight="1">
      <c r="A35" s="45"/>
      <c r="B35" s="55"/>
      <c r="D35" s="45"/>
      <c r="E35" s="72" t="s">
        <v>94</v>
      </c>
      <c r="F35" s="73">
        <v>985711</v>
      </c>
      <c r="G35" s="64"/>
    </row>
    <row r="36" spans="1:7" ht="12.75" customHeight="1">
      <c r="A36" s="45"/>
      <c r="B36" s="55"/>
      <c r="D36" s="45"/>
      <c r="E36" s="72" t="s">
        <v>44</v>
      </c>
      <c r="F36" s="73">
        <v>2209476175</v>
      </c>
      <c r="G36" s="64"/>
    </row>
    <row r="37" spans="1:7" ht="12.75" customHeight="1">
      <c r="A37" s="45"/>
      <c r="B37" s="55"/>
      <c r="D37" s="45"/>
      <c r="E37" s="72" t="s">
        <v>95</v>
      </c>
      <c r="F37" s="73">
        <v>881764</v>
      </c>
      <c r="G37" s="64"/>
    </row>
    <row r="38" spans="1:7" ht="12.75" customHeight="1">
      <c r="A38" s="45"/>
      <c r="B38" s="55"/>
      <c r="D38" s="45"/>
      <c r="E38" s="74" t="s">
        <v>45</v>
      </c>
      <c r="F38" s="73">
        <v>408166</v>
      </c>
      <c r="G38" s="64"/>
    </row>
    <row r="39" spans="1:7" ht="12.75" customHeight="1">
      <c r="A39" s="45"/>
      <c r="B39" s="55"/>
      <c r="D39" s="45"/>
      <c r="E39" s="72" t="s">
        <v>135</v>
      </c>
      <c r="F39" s="73">
        <v>340000</v>
      </c>
      <c r="G39" s="64"/>
    </row>
    <row r="40" spans="1:7" ht="12.75" customHeight="1">
      <c r="A40" s="45"/>
      <c r="B40" s="55"/>
      <c r="D40" s="45"/>
      <c r="E40" s="72" t="s">
        <v>96</v>
      </c>
      <c r="F40" s="99">
        <f>945038+669469</f>
        <v>1614507</v>
      </c>
      <c r="G40" s="64"/>
    </row>
    <row r="41" spans="1:7" ht="12.75" customHeight="1">
      <c r="A41" s="45"/>
      <c r="B41" s="55"/>
      <c r="C41" s="45" t="s">
        <v>19</v>
      </c>
      <c r="D41" s="45"/>
      <c r="E41" s="72"/>
      <c r="F41" s="98">
        <f>SUM(F42:F54)</f>
        <v>120115482</v>
      </c>
      <c r="G41" s="64"/>
    </row>
    <row r="42" spans="1:7" ht="12.75" customHeight="1">
      <c r="A42" s="45"/>
      <c r="B42" s="55"/>
      <c r="C42" s="45"/>
      <c r="D42" s="45"/>
      <c r="E42" s="74" t="s">
        <v>47</v>
      </c>
      <c r="F42" s="73">
        <v>2936192</v>
      </c>
      <c r="G42" s="64"/>
    </row>
    <row r="43" spans="1:7" ht="12.75" customHeight="1">
      <c r="A43" s="45"/>
      <c r="B43" s="55"/>
      <c r="C43" s="45"/>
      <c r="D43" s="45"/>
      <c r="E43" s="74" t="s">
        <v>46</v>
      </c>
      <c r="F43" s="73">
        <v>476527</v>
      </c>
      <c r="G43" s="64"/>
    </row>
    <row r="44" spans="1:7" ht="12.75" customHeight="1">
      <c r="A44" s="45"/>
      <c r="B44" s="55"/>
      <c r="C44" s="45"/>
      <c r="D44" s="45"/>
      <c r="E44" s="74" t="s">
        <v>54</v>
      </c>
      <c r="F44" s="73">
        <v>1906000</v>
      </c>
      <c r="G44" s="64"/>
    </row>
    <row r="45" spans="1:7" ht="12.75" customHeight="1">
      <c r="A45" s="45"/>
      <c r="B45" s="55"/>
      <c r="C45" s="45"/>
      <c r="D45" s="45"/>
      <c r="E45" s="74" t="s">
        <v>53</v>
      </c>
      <c r="F45" s="73">
        <v>625000</v>
      </c>
      <c r="G45" s="64"/>
    </row>
    <row r="46" spans="1:7" ht="12.75" customHeight="1">
      <c r="A46" s="45"/>
      <c r="B46" s="55"/>
      <c r="C46" s="45"/>
      <c r="D46" s="45"/>
      <c r="E46" s="74" t="s">
        <v>49</v>
      </c>
      <c r="F46" s="73">
        <v>6034500</v>
      </c>
      <c r="G46" s="64"/>
    </row>
    <row r="47" spans="1:7" ht="12.75" customHeight="1">
      <c r="A47" s="45"/>
      <c r="B47" s="55"/>
      <c r="C47" s="45"/>
      <c r="D47" s="45"/>
      <c r="E47" s="74" t="s">
        <v>180</v>
      </c>
      <c r="F47" s="73">
        <v>42114000</v>
      </c>
      <c r="G47" s="64"/>
    </row>
    <row r="48" spans="1:7" ht="12.75" customHeight="1">
      <c r="A48" s="45"/>
      <c r="B48" s="55"/>
      <c r="C48" s="45"/>
      <c r="D48" s="45"/>
      <c r="E48" s="74" t="s">
        <v>50</v>
      </c>
      <c r="F48" s="73">
        <v>1292737</v>
      </c>
      <c r="G48" s="64"/>
    </row>
    <row r="49" spans="1:7" ht="12.75" customHeight="1">
      <c r="A49" s="45"/>
      <c r="B49" s="55"/>
      <c r="C49" s="45"/>
      <c r="D49" s="45"/>
      <c r="E49" s="74" t="s">
        <v>48</v>
      </c>
      <c r="F49" s="73">
        <v>13000</v>
      </c>
      <c r="G49" s="64"/>
    </row>
    <row r="50" spans="1:7" ht="12.75" customHeight="1">
      <c r="A50" s="45"/>
      <c r="B50" s="55"/>
      <c r="C50" s="45"/>
      <c r="D50" s="45"/>
      <c r="E50" s="74" t="s">
        <v>81</v>
      </c>
      <c r="F50" s="73">
        <v>2148013</v>
      </c>
      <c r="G50" s="64"/>
    </row>
    <row r="51" spans="1:7" ht="13.5" customHeight="1">
      <c r="A51" s="45"/>
      <c r="B51" s="55"/>
      <c r="C51" s="45"/>
      <c r="D51" s="45"/>
      <c r="E51" s="74" t="s">
        <v>186</v>
      </c>
      <c r="F51" s="73">
        <v>16633958</v>
      </c>
      <c r="G51" s="64"/>
    </row>
    <row r="52" spans="1:7" ht="12.75" customHeight="1">
      <c r="A52" s="45"/>
      <c r="B52" s="55"/>
      <c r="C52" s="45"/>
      <c r="D52" s="45"/>
      <c r="E52" s="74" t="s">
        <v>182</v>
      </c>
      <c r="F52" s="73">
        <v>420000</v>
      </c>
      <c r="G52" s="64"/>
    </row>
    <row r="53" spans="1:7" ht="12.75" customHeight="1">
      <c r="A53" s="45"/>
      <c r="B53" s="55"/>
      <c r="C53" s="45"/>
      <c r="D53" s="45"/>
      <c r="E53" s="74" t="s">
        <v>143</v>
      </c>
      <c r="F53" s="73">
        <v>2005000</v>
      </c>
      <c r="G53" s="64"/>
    </row>
    <row r="54" spans="1:7" ht="12.75" customHeight="1">
      <c r="A54" s="45"/>
      <c r="B54" s="55"/>
      <c r="C54" s="45"/>
      <c r="D54" s="45"/>
      <c r="E54" s="74" t="s">
        <v>97</v>
      </c>
      <c r="F54" s="73">
        <f>28928034+14582521</f>
        <v>43510555</v>
      </c>
      <c r="G54" s="64"/>
    </row>
    <row r="55" spans="1:7" ht="12.75" customHeight="1">
      <c r="A55" s="45"/>
      <c r="B55" s="55"/>
      <c r="C55" s="45" t="s">
        <v>20</v>
      </c>
      <c r="D55" s="45"/>
      <c r="E55" s="72"/>
      <c r="F55" s="60">
        <f>SUM(F56:F58)</f>
        <v>44482754</v>
      </c>
      <c r="G55" s="64"/>
    </row>
    <row r="56" spans="1:7" ht="12.75" customHeight="1">
      <c r="A56" s="45"/>
      <c r="B56" s="55"/>
      <c r="C56" s="45"/>
      <c r="D56" s="45"/>
      <c r="E56" s="74" t="s">
        <v>136</v>
      </c>
      <c r="F56" s="73">
        <v>36811200</v>
      </c>
      <c r="G56" s="64"/>
    </row>
    <row r="57" spans="1:7" ht="12.75" customHeight="1">
      <c r="A57" s="45"/>
      <c r="B57" s="55"/>
      <c r="C57" s="45"/>
      <c r="D57" s="45"/>
      <c r="E57" s="74" t="s">
        <v>138</v>
      </c>
      <c r="F57" s="101">
        <v>5191554</v>
      </c>
      <c r="G57" s="64"/>
    </row>
    <row r="58" spans="1:7" ht="12.75" customHeight="1">
      <c r="A58" s="45"/>
      <c r="B58" s="55"/>
      <c r="C58" s="45"/>
      <c r="D58" s="45"/>
      <c r="E58" s="74" t="s">
        <v>158</v>
      </c>
      <c r="F58" s="101">
        <v>2480000</v>
      </c>
      <c r="G58" s="64"/>
    </row>
    <row r="59" spans="1:7" ht="12.75" customHeight="1">
      <c r="A59" s="45"/>
      <c r="B59" s="55"/>
      <c r="C59" s="45" t="s">
        <v>21</v>
      </c>
      <c r="D59" s="45"/>
      <c r="E59" s="72"/>
      <c r="F59" s="98">
        <f>SUM(F60:F64)</f>
        <v>330792970</v>
      </c>
      <c r="G59" s="64"/>
    </row>
    <row r="60" spans="1:7" ht="12.75" customHeight="1">
      <c r="A60" s="45"/>
      <c r="B60" s="55"/>
      <c r="D60" s="75" t="s">
        <v>22</v>
      </c>
      <c r="E60" s="76"/>
      <c r="F60" s="73">
        <f>212010400+40386158</f>
        <v>252396558</v>
      </c>
      <c r="G60" s="64"/>
    </row>
    <row r="61" spans="1:7" ht="12.75" customHeight="1">
      <c r="A61" s="45"/>
      <c r="B61" s="55"/>
      <c r="D61" s="75" t="s">
        <v>23</v>
      </c>
      <c r="E61" s="76"/>
      <c r="F61" s="73">
        <f>49492234+2490139+9295824+107855</f>
        <v>61386052</v>
      </c>
      <c r="G61" s="64"/>
    </row>
    <row r="62" spans="1:7" ht="12.75" customHeight="1">
      <c r="A62" s="45"/>
      <c r="B62" s="55"/>
      <c r="D62" s="75" t="s">
        <v>24</v>
      </c>
      <c r="E62" s="76"/>
      <c r="F62" s="73">
        <f>11983976+4214929</f>
        <v>16198905</v>
      </c>
      <c r="G62" s="64"/>
    </row>
    <row r="63" spans="1:7" ht="12.75" customHeight="1">
      <c r="A63" s="45"/>
      <c r="B63" s="55"/>
      <c r="D63" s="75" t="s">
        <v>25</v>
      </c>
      <c r="E63" s="76"/>
      <c r="F63" s="73">
        <v>0</v>
      </c>
      <c r="G63" s="64"/>
    </row>
    <row r="64" spans="1:7" ht="12.75" customHeight="1">
      <c r="A64" s="45"/>
      <c r="B64" s="55"/>
      <c r="D64" s="75" t="s">
        <v>166</v>
      </c>
      <c r="E64" s="76"/>
      <c r="F64" s="73">
        <f>100000+711455</f>
        <v>811455</v>
      </c>
      <c r="G64" s="64"/>
    </row>
    <row r="65" spans="1:7" ht="12.75" customHeight="1">
      <c r="A65" s="45"/>
      <c r="B65" s="55"/>
      <c r="C65" s="45" t="s">
        <v>27</v>
      </c>
      <c r="D65" s="45"/>
      <c r="E65" s="72"/>
      <c r="F65" s="98">
        <f>SUM(F66:F70)</f>
        <v>7513537</v>
      </c>
      <c r="G65" s="64"/>
    </row>
    <row r="66" spans="1:7" ht="12.75" customHeight="1">
      <c r="A66" s="45"/>
      <c r="B66" s="55"/>
      <c r="C66" s="45"/>
      <c r="D66" s="75" t="s">
        <v>28</v>
      </c>
      <c r="E66" s="76"/>
      <c r="F66" s="73">
        <v>804499</v>
      </c>
      <c r="G66" s="64"/>
    </row>
    <row r="67" spans="1:7" ht="12.75" customHeight="1">
      <c r="A67" s="45"/>
      <c r="B67" s="55"/>
      <c r="D67" s="75" t="s">
        <v>29</v>
      </c>
      <c r="E67" s="77"/>
      <c r="F67" s="73">
        <f>4403101+2058594</f>
        <v>6461695</v>
      </c>
      <c r="G67" s="64"/>
    </row>
    <row r="68" spans="1:7" ht="12.75" customHeight="1">
      <c r="A68" s="45"/>
      <c r="B68" s="55"/>
      <c r="D68" s="75" t="s">
        <v>31</v>
      </c>
      <c r="E68" s="76"/>
      <c r="F68" s="73"/>
      <c r="G68" s="64"/>
    </row>
    <row r="69" spans="1:7" ht="12.75" customHeight="1">
      <c r="A69" s="45"/>
      <c r="B69" s="55"/>
      <c r="D69" s="75" t="s">
        <v>32</v>
      </c>
      <c r="E69" s="76"/>
      <c r="F69" s="73"/>
      <c r="G69" s="64"/>
    </row>
    <row r="70" spans="1:7" ht="12.75" customHeight="1">
      <c r="A70" s="45"/>
      <c r="B70" s="55"/>
      <c r="D70" s="75"/>
      <c r="E70" s="77" t="s">
        <v>33</v>
      </c>
      <c r="F70" s="73">
        <v>247343</v>
      </c>
      <c r="G70" s="64"/>
    </row>
    <row r="71" spans="1:7" ht="12.75" customHeight="1">
      <c r="A71" s="45"/>
      <c r="B71" s="55"/>
      <c r="C71" s="45" t="s">
        <v>34</v>
      </c>
      <c r="D71" s="45"/>
      <c r="E71" s="72"/>
      <c r="F71" s="63"/>
      <c r="G71" s="64"/>
    </row>
    <row r="72" spans="1:7" ht="12.75" customHeight="1">
      <c r="A72" s="45"/>
      <c r="B72" s="55"/>
      <c r="D72" s="45"/>
      <c r="E72" s="78" t="s">
        <v>35</v>
      </c>
      <c r="F72" s="63">
        <v>-28763129</v>
      </c>
      <c r="G72" s="64"/>
    </row>
    <row r="73" spans="1:7" ht="12.75" customHeight="1">
      <c r="A73" s="45"/>
      <c r="B73" s="55"/>
      <c r="C73" s="45" t="s">
        <v>36</v>
      </c>
      <c r="D73" s="45"/>
      <c r="E73" s="72"/>
      <c r="F73" s="63">
        <v>0</v>
      </c>
      <c r="G73" s="64"/>
    </row>
    <row r="74" spans="1:7" ht="12.75" customHeight="1">
      <c r="A74" s="45"/>
      <c r="B74" s="55"/>
      <c r="C74" s="45" t="s">
        <v>37</v>
      </c>
      <c r="D74" s="45"/>
      <c r="E74" s="72"/>
      <c r="F74" s="63">
        <v>0</v>
      </c>
      <c r="G74" s="64"/>
    </row>
    <row r="75" spans="1:7" ht="12.75" customHeight="1">
      <c r="A75" s="45"/>
      <c r="B75" s="55"/>
      <c r="C75" s="45" t="s">
        <v>38</v>
      </c>
      <c r="D75" s="45"/>
      <c r="E75" s="72"/>
      <c r="F75" s="63">
        <f>SUM(F76:F81)</f>
        <v>7349825</v>
      </c>
      <c r="G75" s="64"/>
    </row>
    <row r="76" spans="1:7" ht="13.5" customHeight="1">
      <c r="A76" s="45"/>
      <c r="B76" s="55"/>
      <c r="C76" s="45"/>
      <c r="D76" s="45" t="s">
        <v>0</v>
      </c>
      <c r="E76" s="74" t="s">
        <v>187</v>
      </c>
      <c r="F76" s="73">
        <v>1081000</v>
      </c>
      <c r="G76" s="64"/>
    </row>
    <row r="77" spans="1:7" ht="12.75" customHeight="1">
      <c r="A77" s="45"/>
      <c r="B77" s="55"/>
      <c r="C77" s="45"/>
      <c r="D77" s="45"/>
      <c r="E77" s="79" t="s">
        <v>52</v>
      </c>
      <c r="F77" s="73">
        <v>110700</v>
      </c>
      <c r="G77" s="64"/>
    </row>
    <row r="78" spans="1:7" ht="12.75" customHeight="1">
      <c r="A78" s="45"/>
      <c r="B78" s="55"/>
      <c r="C78" s="45"/>
      <c r="D78" s="45"/>
      <c r="E78" s="74" t="s">
        <v>64</v>
      </c>
      <c r="F78" s="73">
        <v>120000</v>
      </c>
      <c r="G78" s="64"/>
    </row>
    <row r="79" spans="1:7" ht="12.75" customHeight="1">
      <c r="A79" s="45"/>
      <c r="B79" s="55"/>
      <c r="C79" s="45"/>
      <c r="D79" s="45"/>
      <c r="E79" s="74" t="s">
        <v>65</v>
      </c>
      <c r="F79" s="73">
        <v>19516</v>
      </c>
      <c r="G79" s="64"/>
    </row>
    <row r="80" spans="1:7" ht="12.75" customHeight="1">
      <c r="A80" s="45"/>
      <c r="B80" s="55"/>
      <c r="C80" s="45"/>
      <c r="D80" s="45"/>
      <c r="E80" s="74" t="s">
        <v>162</v>
      </c>
      <c r="F80" s="101">
        <v>4443236</v>
      </c>
      <c r="G80" s="64"/>
    </row>
    <row r="81" spans="1:7" ht="12.75" customHeight="1">
      <c r="A81" s="45"/>
      <c r="B81" s="55"/>
      <c r="C81" s="45"/>
      <c r="D81" s="45"/>
      <c r="E81" s="74" t="s">
        <v>97</v>
      </c>
      <c r="F81" s="100">
        <v>1575373</v>
      </c>
      <c r="G81" s="64"/>
    </row>
    <row r="82" spans="1:7" ht="12.75" customHeight="1">
      <c r="A82" s="45"/>
      <c r="B82" s="55"/>
      <c r="C82" s="45"/>
      <c r="D82" s="45"/>
      <c r="E82" s="78"/>
      <c r="F82" s="63" t="s">
        <v>0</v>
      </c>
      <c r="G82" s="64"/>
    </row>
    <row r="83" spans="1:7" ht="12.75" customHeight="1">
      <c r="A83" s="80"/>
      <c r="B83" s="58" t="s">
        <v>39</v>
      </c>
      <c r="C83" s="81"/>
      <c r="D83" s="81"/>
      <c r="E83" s="74"/>
      <c r="F83" s="63" t="s">
        <v>0</v>
      </c>
      <c r="G83" s="82">
        <f>G19+G32</f>
        <v>318554981</v>
      </c>
    </row>
    <row r="84" spans="1:7" ht="12.75" customHeight="1">
      <c r="A84" s="45"/>
      <c r="B84" s="83" t="s">
        <v>40</v>
      </c>
      <c r="C84" s="45"/>
      <c r="D84" s="45"/>
      <c r="E84" s="78"/>
      <c r="F84" s="63" t="s">
        <v>0</v>
      </c>
      <c r="G84" s="84"/>
    </row>
    <row r="85" spans="2:7" ht="12" customHeight="1">
      <c r="B85" s="85"/>
      <c r="E85" s="72"/>
      <c r="F85" s="63" t="s">
        <v>0</v>
      </c>
      <c r="G85" s="84"/>
    </row>
    <row r="86" spans="2:7" ht="12" customHeight="1">
      <c r="B86" s="58" t="s">
        <v>87</v>
      </c>
      <c r="C86" s="67"/>
      <c r="D86" s="67"/>
      <c r="E86" s="86"/>
      <c r="F86" s="69"/>
      <c r="G86" s="87">
        <f>SUM(F88:F90)</f>
        <v>-2400668</v>
      </c>
    </row>
    <row r="87" spans="2:7" ht="12">
      <c r="B87" s="85"/>
      <c r="E87" s="72"/>
      <c r="F87" s="63"/>
      <c r="G87" s="84"/>
    </row>
    <row r="88" spans="2:7" ht="12">
      <c r="B88" s="55"/>
      <c r="C88" s="45" t="s">
        <v>84</v>
      </c>
      <c r="D88" s="45"/>
      <c r="E88" s="72"/>
      <c r="F88" s="60">
        <v>0</v>
      </c>
      <c r="G88" s="84"/>
    </row>
    <row r="89" spans="2:7" ht="12">
      <c r="B89" s="85"/>
      <c r="C89" s="45" t="s">
        <v>85</v>
      </c>
      <c r="E89" s="72"/>
      <c r="F89" s="63">
        <v>-3301715</v>
      </c>
      <c r="G89" s="84"/>
    </row>
    <row r="90" spans="2:7" ht="12">
      <c r="B90" s="85"/>
      <c r="C90" s="45" t="s">
        <v>86</v>
      </c>
      <c r="E90" s="72"/>
      <c r="F90" s="63">
        <f>789507+111540</f>
        <v>901047</v>
      </c>
      <c r="G90" s="84"/>
    </row>
    <row r="91" spans="2:7" ht="12">
      <c r="B91" s="85"/>
      <c r="E91" s="72"/>
      <c r="F91" s="63"/>
      <c r="G91" s="84"/>
    </row>
    <row r="92" spans="2:7" ht="12">
      <c r="B92" s="58" t="s">
        <v>88</v>
      </c>
      <c r="C92" s="67"/>
      <c r="D92" s="67"/>
      <c r="E92" s="86"/>
      <c r="F92" s="69">
        <v>0</v>
      </c>
      <c r="G92" s="87">
        <v>0</v>
      </c>
    </row>
    <row r="93" spans="2:7" ht="12">
      <c r="B93" s="85"/>
      <c r="E93" s="72"/>
      <c r="F93" s="63"/>
      <c r="G93" s="84"/>
    </row>
    <row r="94" spans="2:7" ht="12">
      <c r="B94" s="58" t="s">
        <v>83</v>
      </c>
      <c r="C94" s="67"/>
      <c r="D94" s="67"/>
      <c r="E94" s="86"/>
      <c r="F94" s="69"/>
      <c r="G94" s="87">
        <f>SUM(F96:F97)</f>
        <v>1323794</v>
      </c>
    </row>
    <row r="95" spans="2:7" ht="12">
      <c r="B95" s="85"/>
      <c r="E95" s="72"/>
      <c r="F95" s="63"/>
      <c r="G95" s="84"/>
    </row>
    <row r="96" spans="2:7" ht="12">
      <c r="B96" s="85"/>
      <c r="C96" s="45" t="s">
        <v>89</v>
      </c>
      <c r="E96" s="72"/>
      <c r="F96" s="63">
        <f>-3196000-881002</f>
        <v>-4077002</v>
      </c>
      <c r="G96" s="84"/>
    </row>
    <row r="97" spans="2:7" ht="12">
      <c r="B97" s="85"/>
      <c r="C97" s="45" t="s">
        <v>90</v>
      </c>
      <c r="E97" s="72"/>
      <c r="F97" s="63">
        <f>4970400+430396</f>
        <v>5400796</v>
      </c>
      <c r="G97" s="84"/>
    </row>
    <row r="98" spans="2:7" ht="12">
      <c r="B98" s="85"/>
      <c r="E98" s="72"/>
      <c r="F98" s="63"/>
      <c r="G98" s="84"/>
    </row>
    <row r="99" spans="2:7" ht="12">
      <c r="B99" s="88" t="s">
        <v>91</v>
      </c>
      <c r="C99" s="68"/>
      <c r="D99" s="68"/>
      <c r="E99" s="86"/>
      <c r="F99" s="63">
        <v>13764266</v>
      </c>
      <c r="G99" s="87">
        <f>F99</f>
        <v>13764266</v>
      </c>
    </row>
    <row r="100" spans="2:7" ht="12">
      <c r="B100" s="85"/>
      <c r="E100" s="72"/>
      <c r="F100" s="63"/>
      <c r="G100" s="84"/>
    </row>
    <row r="101" spans="2:7" ht="12.75">
      <c r="B101" s="58"/>
      <c r="E101" s="89" t="s">
        <v>92</v>
      </c>
      <c r="F101" s="63"/>
      <c r="G101" s="90">
        <f>G83-G86-G92-G94-G99</f>
        <v>305867589</v>
      </c>
    </row>
    <row r="102" spans="2:7" ht="12">
      <c r="B102" s="91"/>
      <c r="C102" s="92"/>
      <c r="D102" s="92"/>
      <c r="E102" s="93"/>
      <c r="F102" s="94"/>
      <c r="G102" s="9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2002-04-05T13:55:31Z</cp:lastPrinted>
  <dcterms:created xsi:type="dcterms:W3CDTF">1997-08-28T16:58:31Z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