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340" windowWidth="11160" windowHeight="6615" activeTab="0"/>
  </bookViews>
  <sheets>
    <sheet name="Foglio1" sheetId="1" r:id="rId1"/>
  </sheets>
  <definedNames>
    <definedName name="_xlnm.Print_Area" localSheetId="0">'Foglio1'!$A$1:$W$165</definedName>
  </definedNames>
  <calcPr fullCalcOnLoad="1"/>
  <oleSize ref="A1:V192"/>
</workbook>
</file>

<file path=xl/sharedStrings.xml><?xml version="1.0" encoding="utf-8"?>
<sst xmlns="http://schemas.openxmlformats.org/spreadsheetml/2006/main" count="189" uniqueCount="180">
  <si>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</si>
  <si>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</si>
  <si>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</si>
  <si>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</si>
  <si>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</si>
  <si>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</si>
  <si>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</si>
  <si>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</si>
  <si>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</si>
  <si>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</si>
  <si>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</si>
  <si>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 xml:space="preserve">Rette RSA </t>
  </si>
  <si>
    <t>b)</t>
  </si>
  <si>
    <t>c)</t>
  </si>
  <si>
    <t>d)</t>
  </si>
  <si>
    <t>Proventi Dormitorio</t>
  </si>
  <si>
    <t>e)</t>
  </si>
  <si>
    <t xml:space="preserve">Proventi Trasporti </t>
  </si>
  <si>
    <t>f)</t>
  </si>
  <si>
    <t>Proventi Tanatologico</t>
  </si>
  <si>
    <t>g)</t>
  </si>
  <si>
    <t>Proventi C.A.G.</t>
  </si>
  <si>
    <t>h)</t>
  </si>
  <si>
    <t>Proventi Progetto giovani</t>
  </si>
  <si>
    <t>i)</t>
  </si>
  <si>
    <t>Proventi nuoto disabili</t>
  </si>
  <si>
    <t>l)</t>
  </si>
  <si>
    <t>Vendita farmaci</t>
  </si>
  <si>
    <t>m)</t>
  </si>
  <si>
    <t>n)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</si>
  <si>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</si>
  <si>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</si>
  <si>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</si>
  <si>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</si>
  <si>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Contributi</t>
  </si>
  <si>
    <t>Altri ricavi e proventi vari</t>
  </si>
  <si>
    <t xml:space="preserve"> - Altri proventi vari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</si>
  <si>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</si>
  <si>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</si>
  <si>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</si>
  <si>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</si>
  <si>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</si>
  <si>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- Cancelleria</t>
  </si>
  <si>
    <t xml:space="preserve"> - Materiale pubblicitario</t>
  </si>
  <si>
    <t xml:space="preserve"> - Carburanti e lubrificanti</t>
  </si>
  <si>
    <t xml:space="preserve"> - Teleriscaldamento</t>
  </si>
  <si>
    <t xml:space="preserve"> 7) Costi per servizi</t>
  </si>
  <si>
    <t xml:space="preserve"> - Energia elettrica</t>
  </si>
  <si>
    <t xml:space="preserve"> - Acqua e Gas</t>
  </si>
  <si>
    <t xml:space="preserve"> - Compensi agli amministratori</t>
  </si>
  <si>
    <t xml:space="preserve"> - Compensi ai sindaci</t>
  </si>
  <si>
    <t xml:space="preserve"> - Servizi barbiere e parrucchiere</t>
  </si>
  <si>
    <t xml:space="preserve"> - Spese lavanderia biancheria piana</t>
  </si>
  <si>
    <t xml:space="preserve"> - Servizio di pulizia</t>
  </si>
  <si>
    <t xml:space="preserve"> - Compensi professionisti</t>
  </si>
  <si>
    <t xml:space="preserve"> - Consegna pasti</t>
  </si>
  <si>
    <t xml:space="preserve"> - Spese per manutenzione automezzi</t>
  </si>
  <si>
    <t xml:space="preserve"> - Spese per assicurazione automezzi</t>
  </si>
  <si>
    <t xml:space="preserve"> - Altre spese per automezzi</t>
  </si>
  <si>
    <t xml:space="preserve"> - Spese telefoniche</t>
  </si>
  <si>
    <t xml:space="preserve"> - Spese postali e di affrancatura</t>
  </si>
  <si>
    <t xml:space="preserve"> - Assicurazioni diverse</t>
  </si>
  <si>
    <t xml:space="preserve"> - Spese viaggi e trasferte</t>
  </si>
  <si>
    <t xml:space="preserve"> 8) Costi per godimento beni di terzi</t>
  </si>
  <si>
    <t xml:space="preserve"> - Affitti e locazioni</t>
  </si>
  <si>
    <t xml:space="preserve"> - Spese condominiali</t>
  </si>
  <si>
    <t xml:space="preserve"> - Noleggio strutture e attrezzature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</si>
  <si>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</si>
  <si>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</si>
  <si>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</si>
  <si>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</si>
  <si>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Altre svalutazioni delle immobilizzazioni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</si>
  <si>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</si>
  <si>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</si>
  <si>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</si>
  <si>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</si>
  <si>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</si>
  <si>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</si>
  <si>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</si>
  <si>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</si>
  <si>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</si>
  <si>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</si>
  <si>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- Altri accantonamenti</t>
  </si>
  <si>
    <t xml:space="preserve"> 14)</t>
  </si>
  <si>
    <t>Oneri diversi di gestione</t>
  </si>
  <si>
    <t xml:space="preserve"> - Imposte di bollo</t>
  </si>
  <si>
    <t xml:space="preserve"> - Tasse di concessione regionale</t>
  </si>
  <si>
    <t xml:space="preserve"> - SIAE</t>
  </si>
  <si>
    <t xml:space="preserve"> - Tasse di circolazione automezzi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</si>
  <si>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</si>
  <si>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</si>
  <si>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</si>
  <si>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</si>
  <si>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</si>
  <si>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</si>
  <si>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</si>
  <si>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</si>
  <si>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 xml:space="preserve"> - Spese diverse bancarie</t>
  </si>
  <si>
    <t>D</t>
  </si>
  <si>
    <t>E</t>
  </si>
  <si>
    <t>PROVENTI E ONERI STRAORDINARI</t>
  </si>
  <si>
    <t xml:space="preserve"> 20)</t>
  </si>
  <si>
    <t>Proventi</t>
  </si>
  <si>
    <t xml:space="preserve"> 21)</t>
  </si>
  <si>
    <t>Oneri</t>
  </si>
  <si>
    <t xml:space="preserve"> 22)</t>
  </si>
  <si>
    <t>Bilancio di Previsione Triennale 2001 - 2002 - 2003</t>
  </si>
  <si>
    <t>Tariffe SAD</t>
  </si>
  <si>
    <t>Tariffe Centro Diurno Integrato</t>
  </si>
  <si>
    <t>Tariffa alloggi Juvara</t>
  </si>
  <si>
    <t>Rette comunità alloggio HP</t>
  </si>
  <si>
    <t xml:space="preserve"> - Regione ex ONPI</t>
  </si>
  <si>
    <t xml:space="preserve"> - Altri contributi</t>
  </si>
  <si>
    <t xml:space="preserve"> - Regione circolare 4</t>
  </si>
  <si>
    <t xml:space="preserve"> - Quote forfettarie SSN</t>
  </si>
  <si>
    <t xml:space="preserve"> - Fornitura pasti altri Cdr</t>
  </si>
  <si>
    <t xml:space="preserve"> - Acquisto generi alimentari</t>
  </si>
  <si>
    <t xml:space="preserve"> - Acquisto mat. medico per assist. farm. e sanit.</t>
  </si>
  <si>
    <t xml:space="preserve"> - Acquisti per attività di animazione</t>
  </si>
  <si>
    <t xml:space="preserve"> - Acquisti biancheria piana</t>
  </si>
  <si>
    <t xml:space="preserve"> - Acquisto farmaci</t>
  </si>
  <si>
    <t xml:space="preserve"> - Acquisto sollevatori</t>
  </si>
  <si>
    <t xml:space="preserve"> - Acquisto materiali di consumo vari </t>
  </si>
  <si>
    <t xml:space="preserve"> - Materiali di pulizia</t>
  </si>
  <si>
    <t xml:space="preserve"> - Acquisto attrezzature cucina</t>
  </si>
  <si>
    <t xml:space="preserve"> - Fornitura trasp. a altri CdR</t>
  </si>
  <si>
    <t xml:space="preserve"> - Trasporti Cdi Mazzali</t>
  </si>
  <si>
    <t xml:space="preserve"> - Trasporti ASA SAD</t>
  </si>
  <si>
    <t xml:space="preserve"> - Spese per manutenzioni e riparazioni varie</t>
  </si>
  <si>
    <t xml:space="preserve"> - Manutenzioni contrattuali </t>
  </si>
  <si>
    <t xml:space="preserve"> - Compensi medici</t>
  </si>
  <si>
    <t xml:space="preserve"> - Compensi animatori</t>
  </si>
  <si>
    <t xml:space="preserve"> - Compensi podologo</t>
  </si>
  <si>
    <t xml:space="preserve"> - Compensi farmacisti</t>
  </si>
  <si>
    <t xml:space="preserve"> - Compensi fisioterapisti</t>
  </si>
  <si>
    <t xml:space="preserve"> - Comp.collab.Occas.-co.co.co.</t>
  </si>
  <si>
    <t xml:space="preserve"> - Altri compensi professionali</t>
  </si>
  <si>
    <t xml:space="preserve"> - Acquisto pasti da CdR Rist.</t>
  </si>
  <si>
    <t xml:space="preserve"> - Prestazioni medicina specialistica</t>
  </si>
  <si>
    <t xml:space="preserve"> - Servizio assistenza geriatrica conv.</t>
  </si>
  <si>
    <t xml:space="preserve"> - Servizo trasporto handicap</t>
  </si>
  <si>
    <t xml:space="preserve"> - Concorso a gestione servizi</t>
  </si>
  <si>
    <t xml:space="preserve"> - Assicurazioni specifiche</t>
  </si>
  <si>
    <t xml:space="preserve"> - Prestazioni da terzi</t>
  </si>
  <si>
    <t xml:space="preserve"> - Prestazioni artistiche</t>
  </si>
  <si>
    <t xml:space="preserve"> - ENPAF farmacisti</t>
  </si>
  <si>
    <t xml:space="preserve"> - Rimborso spese km.</t>
  </si>
  <si>
    <t xml:space="preserve"> - Servizio Religioso</t>
  </si>
  <si>
    <t xml:space="preserve"> - Spese Trasp. Protetto</t>
  </si>
  <si>
    <t xml:space="preserve"> - Attività socio-ricreative</t>
  </si>
  <si>
    <t xml:space="preserve"> - Buoni pasto/Mensa</t>
  </si>
  <si>
    <t xml:space="preserve"> - Spese direttore generale</t>
  </si>
  <si>
    <t xml:space="preserve"> - Compenso direttore generale</t>
  </si>
  <si>
    <t xml:space="preserve"> - Oneri ODC/SCivF</t>
  </si>
  <si>
    <t xml:space="preserve"> - Altre spese per servizi</t>
  </si>
  <si>
    <t xml:space="preserve"> - Spese postali,di rappresent,..</t>
  </si>
  <si>
    <t xml:space="preserve"> - Utenze uffici</t>
  </si>
  <si>
    <t xml:space="preserve"> - Direttore Generale</t>
  </si>
  <si>
    <t xml:space="preserve"> - Segreteria</t>
  </si>
  <si>
    <t xml:space="preserve"> - Spese personale ASPeF</t>
  </si>
  <si>
    <t xml:space="preserve"> - Consul. Fiscali, legali e lavoro</t>
  </si>
  <si>
    <t xml:space="preserve"> - Consul. Tecniche e Amm.ve</t>
  </si>
  <si>
    <t xml:space="preserve"> - Sicurezza e 626</t>
  </si>
  <si>
    <t xml:space="preserve"> - Assistenza informatica</t>
  </si>
  <si>
    <t xml:space="preserve"> - Ufficio personale</t>
  </si>
  <si>
    <t xml:space="preserve"> - Contributi inps</t>
  </si>
  <si>
    <t xml:space="preserve"> - Contributi CPDEL</t>
  </si>
  <si>
    <t xml:space="preserve"> - INAIL</t>
  </si>
  <si>
    <t xml:space="preserve"> - Indumenti lavoro</t>
  </si>
  <si>
    <t xml:space="preserve"> - Altri costi per il personale</t>
  </si>
  <si>
    <t xml:space="preserve"> - Altre imposte e tasse</t>
  </si>
  <si>
    <t xml:space="preserve"> - Rifiuti urbani e speciali</t>
  </si>
  <si>
    <t xml:space="preserve"> - Abbonamenti </t>
  </si>
  <si>
    <t xml:space="preserve"> - Sicurezza e L.626/94</t>
  </si>
  <si>
    <t xml:space="preserve"> - Contributi ad associzioni sindac. e di categoria</t>
  </si>
  <si>
    <t>Imposte dell'esercizio</t>
  </si>
  <si>
    <t>RETT. DI VALORE DI ATTIVITA' FINANZIARIE</t>
  </si>
  <si>
    <t xml:space="preserve">    Spese generali</t>
  </si>
  <si>
    <t xml:space="preserve"> - Ammortamento immob. materiali e immat.</t>
  </si>
  <si>
    <t>AVANZO / DISAVANZO DI GESTIONE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</si>
</sst>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#,##0.0000000_);\(#,##0.0000000\)"/>
  </numFmts>
  <fonts count="22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7" fillId="3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7" fillId="3" borderId="1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164" fontId="7" fillId="3" borderId="5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64" fontId="8" fillId="3" borderId="6" xfId="0" applyNumberFormat="1" applyFont="1" applyFill="1" applyBorder="1" applyAlignment="1" applyProtection="1">
      <alignment vertical="center"/>
      <protection/>
    </xf>
    <xf numFmtId="164" fontId="8" fillId="4" borderId="7" xfId="0" applyNumberFormat="1" applyFont="1" applyFill="1" applyBorder="1" applyAlignment="1" applyProtection="1">
      <alignment/>
      <protection/>
    </xf>
    <xf numFmtId="164" fontId="8" fillId="4" borderId="8" xfId="0" applyNumberFormat="1" applyFont="1" applyFill="1" applyBorder="1" applyAlignment="1" applyProtection="1">
      <alignment/>
      <protection/>
    </xf>
    <xf numFmtId="164" fontId="8" fillId="4" borderId="9" xfId="0" applyNumberFormat="1" applyFont="1" applyFill="1" applyBorder="1" applyAlignment="1" applyProtection="1">
      <alignment/>
      <protection/>
    </xf>
    <xf numFmtId="164" fontId="8" fillId="4" borderId="10" xfId="0" applyNumberFormat="1" applyFont="1" applyFill="1" applyBorder="1" applyAlignment="1" applyProtection="1">
      <alignment/>
      <protection/>
    </xf>
    <xf numFmtId="164" fontId="8" fillId="4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164" fontId="9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164" fontId="8" fillId="4" borderId="12" xfId="0" applyNumberFormat="1" applyFont="1" applyFill="1" applyBorder="1" applyAlignment="1" applyProtection="1">
      <alignment/>
      <protection/>
    </xf>
    <xf numFmtId="164" fontId="8" fillId="4" borderId="1" xfId="0" applyNumberFormat="1" applyFont="1" applyFill="1" applyBorder="1" applyAlignment="1" applyProtection="1">
      <alignment/>
      <protection/>
    </xf>
    <xf numFmtId="0" fontId="8" fillId="4" borderId="13" xfId="0" applyFont="1" applyFill="1" applyBorder="1" applyAlignment="1" applyProtection="1">
      <alignment/>
      <protection/>
    </xf>
    <xf numFmtId="164" fontId="8" fillId="4" borderId="14" xfId="0" applyNumberFormat="1" applyFont="1" applyFill="1" applyBorder="1" applyAlignment="1" applyProtection="1">
      <alignment/>
      <protection/>
    </xf>
    <xf numFmtId="164" fontId="8" fillId="4" borderId="4" xfId="0" applyNumberFormat="1" applyFont="1" applyFill="1" applyBorder="1" applyAlignment="1" applyProtection="1">
      <alignment/>
      <protection/>
    </xf>
    <xf numFmtId="164" fontId="8" fillId="4" borderId="15" xfId="0" applyNumberFormat="1" applyFont="1" applyFill="1" applyBorder="1" applyAlignment="1" applyProtection="1">
      <alignment/>
      <protection/>
    </xf>
    <xf numFmtId="164" fontId="4" fillId="0" borderId="15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8" fillId="4" borderId="16" xfId="0" applyNumberFormat="1" applyFont="1" applyFill="1" applyBorder="1" applyAlignment="1" applyProtection="1">
      <alignment/>
      <protection/>
    </xf>
    <xf numFmtId="164" fontId="8" fillId="4" borderId="17" xfId="0" applyNumberFormat="1" applyFont="1" applyFill="1" applyBorder="1" applyAlignment="1" applyProtection="1">
      <alignment/>
      <protection/>
    </xf>
    <xf numFmtId="164" fontId="8" fillId="4" borderId="13" xfId="0" applyNumberFormat="1" applyFont="1" applyFill="1" applyBorder="1" applyAlignment="1" applyProtection="1">
      <alignment/>
      <protection/>
    </xf>
    <xf numFmtId="164" fontId="8" fillId="4" borderId="18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164" fontId="8" fillId="0" borderId="4" xfId="0" applyNumberFormat="1" applyFont="1" applyFill="1" applyBorder="1" applyAlignment="1" applyProtection="1">
      <alignment/>
      <protection/>
    </xf>
    <xf numFmtId="164" fontId="9" fillId="4" borderId="13" xfId="0" applyNumberFormat="1" applyFont="1" applyFill="1" applyBorder="1" applyAlignment="1" applyProtection="1">
      <alignment/>
      <protection/>
    </xf>
    <xf numFmtId="164" fontId="8" fillId="4" borderId="19" xfId="0" applyNumberFormat="1" applyFont="1" applyFill="1" applyBorder="1" applyAlignment="1" applyProtection="1">
      <alignment/>
      <protection/>
    </xf>
    <xf numFmtId="164" fontId="8" fillId="4" borderId="20" xfId="0" applyNumberFormat="1" applyFont="1" applyFill="1" applyBorder="1" applyAlignment="1" applyProtection="1">
      <alignment/>
      <protection/>
    </xf>
    <xf numFmtId="164" fontId="8" fillId="4" borderId="21" xfId="0" applyNumberFormat="1" applyFont="1" applyFill="1" applyBorder="1" applyAlignment="1" applyProtection="1">
      <alignment/>
      <protection/>
    </xf>
    <xf numFmtId="164" fontId="8" fillId="4" borderId="22" xfId="0" applyNumberFormat="1" applyFont="1" applyFill="1" applyBorder="1" applyAlignment="1" applyProtection="1">
      <alignment/>
      <protection/>
    </xf>
    <xf numFmtId="164" fontId="8" fillId="4" borderId="23" xfId="0" applyNumberFormat="1" applyFont="1" applyFill="1" applyBorder="1" applyAlignment="1" applyProtection="1">
      <alignment/>
      <protection/>
    </xf>
    <xf numFmtId="164" fontId="10" fillId="4" borderId="0" xfId="0" applyNumberFormat="1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164" fontId="8" fillId="4" borderId="0" xfId="0" applyNumberFormat="1" applyFont="1" applyFill="1" applyAlignment="1" applyProtection="1">
      <alignment/>
      <protection/>
    </xf>
    <xf numFmtId="41" fontId="4" fillId="0" borderId="23" xfId="16" applyFont="1" applyBorder="1" applyAlignment="1">
      <alignment horizontal="right"/>
    </xf>
    <xf numFmtId="0" fontId="8" fillId="4" borderId="22" xfId="0" applyFont="1" applyFill="1" applyBorder="1" applyAlignment="1" applyProtection="1">
      <alignment/>
      <protection/>
    </xf>
    <xf numFmtId="0" fontId="4" fillId="0" borderId="22" xfId="0" applyFont="1" applyBorder="1" applyAlignment="1">
      <alignment/>
    </xf>
    <xf numFmtId="164" fontId="8" fillId="4" borderId="24" xfId="0" applyNumberFormat="1" applyFont="1" applyFill="1" applyBorder="1" applyAlignment="1" applyProtection="1">
      <alignment/>
      <protection/>
    </xf>
    <xf numFmtId="164" fontId="8" fillId="4" borderId="25" xfId="0" applyNumberFormat="1" applyFont="1" applyFill="1" applyBorder="1" applyAlignment="1" applyProtection="1">
      <alignment/>
      <protection/>
    </xf>
    <xf numFmtId="164" fontId="8" fillId="4" borderId="3" xfId="0" applyNumberFormat="1" applyFont="1" applyFill="1" applyBorder="1" applyAlignment="1" applyProtection="1">
      <alignment/>
      <protection/>
    </xf>
    <xf numFmtId="164" fontId="8" fillId="4" borderId="2" xfId="0" applyNumberFormat="1" applyFont="1" applyFill="1" applyBorder="1" applyAlignment="1" applyProtection="1">
      <alignment/>
      <protection/>
    </xf>
    <xf numFmtId="164" fontId="8" fillId="4" borderId="26" xfId="0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/>
    </xf>
    <xf numFmtId="164" fontId="7" fillId="5" borderId="9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7" fillId="3" borderId="15" xfId="0" applyNumberFormat="1" applyFont="1" applyFill="1" applyBorder="1" applyAlignment="1" applyProtection="1">
      <alignment horizontal="center" vertical="center"/>
      <protection/>
    </xf>
    <xf numFmtId="164" fontId="7" fillId="3" borderId="22" xfId="0" applyNumberFormat="1" applyFont="1" applyFill="1" applyBorder="1" applyAlignment="1" applyProtection="1">
      <alignment vertical="center"/>
      <protection/>
    </xf>
    <xf numFmtId="0" fontId="8" fillId="3" borderId="22" xfId="0" applyFont="1" applyFill="1" applyBorder="1" applyAlignment="1" applyProtection="1">
      <alignment vertical="center"/>
      <protection/>
    </xf>
    <xf numFmtId="164" fontId="8" fillId="3" borderId="22" xfId="0" applyNumberFormat="1" applyFont="1" applyFill="1" applyBorder="1" applyAlignment="1" applyProtection="1">
      <alignment vertical="center"/>
      <protection/>
    </xf>
    <xf numFmtId="164" fontId="8" fillId="0" borderId="25" xfId="0" applyNumberFormat="1" applyFont="1" applyFill="1" applyBorder="1" applyAlignment="1" applyProtection="1">
      <alignment/>
      <protection/>
    </xf>
    <xf numFmtId="164" fontId="8" fillId="0" borderId="14" xfId="0" applyNumberFormat="1" applyFont="1" applyFill="1" applyBorder="1" applyAlignment="1" applyProtection="1">
      <alignment/>
      <protection/>
    </xf>
    <xf numFmtId="164" fontId="8" fillId="0" borderId="9" xfId="0" applyNumberFormat="1" applyFont="1" applyFill="1" applyBorder="1" applyAlignment="1" applyProtection="1">
      <alignment/>
      <protection/>
    </xf>
    <xf numFmtId="164" fontId="8" fillId="4" borderId="27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4" fontId="8" fillId="4" borderId="28" xfId="0" applyNumberFormat="1" applyFont="1" applyFill="1" applyBorder="1" applyAlignment="1" applyProtection="1">
      <alignment/>
      <protection/>
    </xf>
    <xf numFmtId="164" fontId="8" fillId="0" borderId="20" xfId="0" applyNumberFormat="1" applyFont="1" applyFill="1" applyBorder="1" applyAlignment="1" applyProtection="1">
      <alignment/>
      <protection/>
    </xf>
    <xf numFmtId="164" fontId="8" fillId="4" borderId="29" xfId="0" applyNumberFormat="1" applyFont="1" applyFill="1" applyBorder="1" applyAlignment="1" applyProtection="1">
      <alignment/>
      <protection/>
    </xf>
    <xf numFmtId="164" fontId="7" fillId="0" borderId="19" xfId="0" applyNumberFormat="1" applyFont="1" applyFill="1" applyBorder="1" applyAlignment="1" applyProtection="1">
      <alignment/>
      <protection/>
    </xf>
    <xf numFmtId="41" fontId="4" fillId="0" borderId="22" xfId="16" applyFont="1" applyBorder="1" applyAlignment="1">
      <alignment/>
    </xf>
    <xf numFmtId="165" fontId="8" fillId="4" borderId="13" xfId="0" applyNumberFormat="1" applyFont="1" applyFill="1" applyBorder="1" applyAlignment="1" applyProtection="1">
      <alignment/>
      <protection/>
    </xf>
    <xf numFmtId="41" fontId="4" fillId="0" borderId="23" xfId="16" applyFont="1" applyFill="1" applyBorder="1" applyAlignment="1">
      <alignment/>
    </xf>
    <xf numFmtId="41" fontId="4" fillId="0" borderId="1" xfId="16" applyFont="1" applyFill="1" applyBorder="1" applyAlignment="1">
      <alignment/>
    </xf>
    <xf numFmtId="164" fontId="8" fillId="0" borderId="26" xfId="0" applyNumberFormat="1" applyFont="1" applyFill="1" applyBorder="1" applyAlignment="1" applyProtection="1">
      <alignment/>
      <protection/>
    </xf>
    <xf numFmtId="164" fontId="11" fillId="4" borderId="0" xfId="0" applyNumberFormat="1" applyFont="1" applyFill="1" applyBorder="1" applyAlignment="1" applyProtection="1">
      <alignment/>
      <protection/>
    </xf>
    <xf numFmtId="164" fontId="8" fillId="4" borderId="11" xfId="0" applyNumberFormat="1" applyFont="1" applyFill="1" applyBorder="1" applyAlignment="1" applyProtection="1">
      <alignment/>
      <protection/>
    </xf>
    <xf numFmtId="164" fontId="4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30" xfId="0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64" fontId="10" fillId="4" borderId="0" xfId="0" applyNumberFormat="1" applyFont="1" applyFill="1" applyBorder="1" applyAlignment="1" applyProtection="1">
      <alignment/>
      <protection/>
    </xf>
    <xf numFmtId="164" fontId="7" fillId="4" borderId="22" xfId="0" applyNumberFormat="1" applyFont="1" applyFill="1" applyBorder="1" applyAlignment="1" applyProtection="1">
      <alignment/>
      <protection/>
    </xf>
    <xf numFmtId="164" fontId="7" fillId="4" borderId="0" xfId="0" applyNumberFormat="1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/>
      <protection/>
    </xf>
    <xf numFmtId="0" fontId="8" fillId="4" borderId="17" xfId="0" applyFont="1" applyFill="1" applyBorder="1" applyAlignment="1" applyProtection="1">
      <alignment/>
      <protection/>
    </xf>
    <xf numFmtId="164" fontId="8" fillId="4" borderId="31" xfId="0" applyNumberFormat="1" applyFont="1" applyFill="1" applyBorder="1" applyAlignment="1" applyProtection="1">
      <alignment/>
      <protection/>
    </xf>
    <xf numFmtId="0" fontId="10" fillId="4" borderId="13" xfId="0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4" fontId="10" fillId="4" borderId="13" xfId="0" applyNumberFormat="1" applyFont="1" applyFill="1" applyBorder="1" applyAlignment="1" applyProtection="1">
      <alignment/>
      <protection/>
    </xf>
    <xf numFmtId="164" fontId="11" fillId="4" borderId="4" xfId="0" applyNumberFormat="1" applyFont="1" applyFill="1" applyBorder="1" applyAlignment="1" applyProtection="1">
      <alignment/>
      <protection/>
    </xf>
    <xf numFmtId="9" fontId="14" fillId="4" borderId="4" xfId="17" applyFont="1" applyFill="1" applyBorder="1" applyAlignment="1" applyProtection="1">
      <alignment/>
      <protection/>
    </xf>
    <xf numFmtId="0" fontId="15" fillId="0" borderId="4" xfId="0" applyFont="1" applyBorder="1" applyAlignment="1">
      <alignment/>
    </xf>
    <xf numFmtId="164" fontId="16" fillId="4" borderId="4" xfId="0" applyNumberFormat="1" applyFont="1" applyFill="1" applyBorder="1" applyAlignment="1" applyProtection="1">
      <alignment/>
      <protection/>
    </xf>
    <xf numFmtId="164" fontId="10" fillId="4" borderId="17" xfId="0" applyNumberFormat="1" applyFont="1" applyFill="1" applyBorder="1" applyAlignment="1" applyProtection="1">
      <alignment/>
      <protection/>
    </xf>
    <xf numFmtId="0" fontId="10" fillId="4" borderId="17" xfId="0" applyFont="1" applyFill="1" applyBorder="1" applyAlignment="1" applyProtection="1">
      <alignment/>
      <protection/>
    </xf>
    <xf numFmtId="0" fontId="4" fillId="0" borderId="17" xfId="0" applyFont="1" applyBorder="1" applyAlignment="1">
      <alignment/>
    </xf>
    <xf numFmtId="164" fontId="10" fillId="4" borderId="0" xfId="0" applyNumberFormat="1" applyFont="1" applyFill="1" applyBorder="1" applyAlignment="1" applyProtection="1">
      <alignment horizontal="center"/>
      <protection/>
    </xf>
    <xf numFmtId="164" fontId="7" fillId="3" borderId="31" xfId="0" applyNumberFormat="1" applyFont="1" applyFill="1" applyBorder="1" applyAlignment="1" applyProtection="1">
      <alignment vertical="center"/>
      <protection/>
    </xf>
    <xf numFmtId="0" fontId="8" fillId="3" borderId="31" xfId="0" applyFont="1" applyFill="1" applyBorder="1" applyAlignment="1" applyProtection="1">
      <alignment vertical="center"/>
      <protection/>
    </xf>
    <xf numFmtId="164" fontId="8" fillId="3" borderId="31" xfId="0" applyNumberFormat="1" applyFont="1" applyFill="1" applyBorder="1" applyAlignment="1" applyProtection="1">
      <alignment vertical="center"/>
      <protection/>
    </xf>
    <xf numFmtId="164" fontId="8" fillId="0" borderId="31" xfId="0" applyNumberFormat="1" applyFont="1" applyFill="1" applyBorder="1" applyAlignment="1" applyProtection="1">
      <alignment/>
      <protection/>
    </xf>
    <xf numFmtId="164" fontId="8" fillId="0" borderId="22" xfId="0" applyNumberFormat="1" applyFont="1" applyFill="1" applyBorder="1" applyAlignment="1" applyProtection="1">
      <alignment/>
      <protection/>
    </xf>
    <xf numFmtId="164" fontId="6" fillId="0" borderId="4" xfId="0" applyNumberFormat="1" applyFont="1" applyBorder="1" applyAlignment="1">
      <alignment/>
    </xf>
    <xf numFmtId="164" fontId="8" fillId="4" borderId="0" xfId="0" applyNumberFormat="1" applyFont="1" applyFill="1" applyBorder="1" applyAlignment="1" applyProtection="1">
      <alignment horizontal="center"/>
      <protection/>
    </xf>
    <xf numFmtId="164" fontId="9" fillId="4" borderId="0" xfId="0" applyNumberFormat="1" applyFont="1" applyFill="1" applyBorder="1" applyAlignment="1" applyProtection="1">
      <alignment horizontal="left"/>
      <protection/>
    </xf>
    <xf numFmtId="0" fontId="9" fillId="4" borderId="13" xfId="0" applyFont="1" applyFill="1" applyBorder="1" applyAlignment="1" applyProtection="1">
      <alignment/>
      <protection/>
    </xf>
    <xf numFmtId="0" fontId="17" fillId="0" borderId="13" xfId="0" applyFont="1" applyBorder="1" applyAlignment="1">
      <alignment/>
    </xf>
    <xf numFmtId="0" fontId="9" fillId="4" borderId="17" xfId="0" applyFont="1" applyFill="1" applyBorder="1" applyAlignment="1" applyProtection="1">
      <alignment/>
      <protection/>
    </xf>
    <xf numFmtId="0" fontId="17" fillId="0" borderId="4" xfId="0" applyFont="1" applyBorder="1" applyAlignment="1">
      <alignment/>
    </xf>
    <xf numFmtId="164" fontId="9" fillId="4" borderId="4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17" fillId="0" borderId="22" xfId="0" applyFont="1" applyFill="1" applyBorder="1" applyAlignment="1">
      <alignment/>
    </xf>
    <xf numFmtId="164" fontId="9" fillId="0" borderId="22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>
      <alignment/>
    </xf>
    <xf numFmtId="164" fontId="7" fillId="0" borderId="22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41" fontId="4" fillId="0" borderId="14" xfId="16" applyFont="1" applyBorder="1" applyAlignment="1">
      <alignment horizontal="right"/>
    </xf>
    <xf numFmtId="164" fontId="6" fillId="6" borderId="1" xfId="0" applyNumberFormat="1" applyFont="1" applyFill="1" applyBorder="1" applyAlignment="1">
      <alignment/>
    </xf>
    <xf numFmtId="164" fontId="4" fillId="0" borderId="22" xfId="0" applyNumberFormat="1" applyFont="1" applyBorder="1" applyAlignment="1">
      <alignment/>
    </xf>
    <xf numFmtId="164" fontId="7" fillId="5" borderId="25" xfId="0" applyNumberFormat="1" applyFont="1" applyFill="1" applyBorder="1" applyAlignment="1" applyProtection="1">
      <alignment/>
      <protection/>
    </xf>
    <xf numFmtId="3" fontId="4" fillId="0" borderId="22" xfId="0" applyNumberFormat="1" applyFont="1" applyBorder="1" applyAlignment="1">
      <alignment/>
    </xf>
    <xf numFmtId="164" fontId="6" fillId="6" borderId="25" xfId="0" applyNumberFormat="1" applyFont="1" applyFill="1" applyBorder="1" applyAlignment="1">
      <alignment/>
    </xf>
    <xf numFmtId="164" fontId="8" fillId="3" borderId="13" xfId="0" applyNumberFormat="1" applyFont="1" applyFill="1" applyBorder="1" applyAlignment="1" applyProtection="1">
      <alignment vertical="center"/>
      <protection/>
    </xf>
    <xf numFmtId="164" fontId="8" fillId="4" borderId="30" xfId="0" applyNumberFormat="1" applyFont="1" applyFill="1" applyBorder="1" applyAlignment="1" applyProtection="1">
      <alignment/>
      <protection/>
    </xf>
    <xf numFmtId="164" fontId="8" fillId="3" borderId="26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Border="1" applyAlignment="1">
      <alignment/>
    </xf>
    <xf numFmtId="164" fontId="18" fillId="3" borderId="15" xfId="0" applyNumberFormat="1" applyFont="1" applyFill="1" applyBorder="1" applyAlignment="1" applyProtection="1">
      <alignment horizontal="center" vertical="center"/>
      <protection/>
    </xf>
    <xf numFmtId="164" fontId="18" fillId="3" borderId="22" xfId="0" applyNumberFormat="1" applyFont="1" applyFill="1" applyBorder="1" applyAlignment="1" applyProtection="1">
      <alignment vertical="center"/>
      <protection/>
    </xf>
    <xf numFmtId="0" fontId="19" fillId="3" borderId="22" xfId="0" applyFont="1" applyFill="1" applyBorder="1" applyAlignment="1" applyProtection="1">
      <alignment vertical="center"/>
      <protection/>
    </xf>
    <xf numFmtId="164" fontId="19" fillId="3" borderId="17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164" fontId="21" fillId="6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9" fillId="4" borderId="31" xfId="0" applyNumberFormat="1" applyFont="1" applyFill="1" applyBorder="1" applyAlignment="1" applyProtection="1">
      <alignment/>
      <protection/>
    </xf>
    <xf numFmtId="164" fontId="8" fillId="4" borderId="22" xfId="0" applyNumberFormat="1" applyFont="1" applyFill="1" applyBorder="1" applyAlignment="1" applyProtection="1">
      <alignment horizontal="center"/>
      <protection/>
    </xf>
    <xf numFmtId="164" fontId="10" fillId="4" borderId="22" xfId="0" applyNumberFormat="1" applyFont="1" applyFill="1" applyBorder="1" applyAlignment="1" applyProtection="1">
      <alignment/>
      <protection/>
    </xf>
    <xf numFmtId="164" fontId="9" fillId="0" borderId="31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64" fontId="4" fillId="7" borderId="15" xfId="0" applyNumberFormat="1" applyFont="1" applyFill="1" applyBorder="1" applyAlignment="1">
      <alignment/>
    </xf>
    <xf numFmtId="3" fontId="4" fillId="7" borderId="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2"/>
  <sheetViews>
    <sheetView tabSelected="1" zoomScale="75" zoomScaleNormal="75" workbookViewId="0" topLeftCell="A1">
      <selection activeCell="U108" sqref="U108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42.57421875" style="1" customWidth="1"/>
    <col min="5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2" width="24.7109375" style="0" customWidth="1"/>
    <col min="23" max="23" width="5.140625" style="0" customWidth="1"/>
  </cols>
  <sheetData>
    <row r="1" ht="27.75" customHeight="1"/>
    <row r="2" spans="1:22" ht="27.75" customHeight="1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ht="27.75" customHeight="1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48"/>
      <c r="T4" s="147"/>
      <c r="U4" s="147"/>
      <c r="V4" s="147"/>
    </row>
    <row r="5" spans="1:22" ht="27.75" customHeight="1">
      <c r="A5" s="159" t="s">
        <v>106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18" ht="27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s="6" customFormat="1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2" s="6" customFormat="1" ht="15.75" customHeight="1">
      <c r="A10" s="5"/>
      <c r="B10" s="5"/>
      <c r="C10" s="5"/>
      <c r="D10" s="5"/>
      <c r="E10" s="7" t="s">
        <v>2</v>
      </c>
      <c r="F10" s="8" t="s">
        <v>3</v>
      </c>
      <c r="G10" s="9"/>
      <c r="H10" s="8" t="s">
        <v>4</v>
      </c>
      <c r="I10" s="10"/>
      <c r="J10" s="11"/>
      <c r="K10" s="11"/>
      <c r="L10" s="11"/>
      <c r="M10" s="9" t="s">
        <v>5</v>
      </c>
      <c r="N10" s="12" t="s">
        <v>6</v>
      </c>
      <c r="O10" s="9"/>
      <c r="P10" s="9"/>
      <c r="Q10" s="9"/>
      <c r="R10" s="9"/>
      <c r="S10" s="9"/>
      <c r="T10" s="13">
        <v>2001</v>
      </c>
      <c r="U10" s="13">
        <v>2002</v>
      </c>
      <c r="V10" s="13">
        <v>2003</v>
      </c>
    </row>
    <row r="11" spans="1:22" s="6" customFormat="1" ht="15.75" customHeight="1">
      <c r="A11" s="67" t="s">
        <v>7</v>
      </c>
      <c r="B11" s="14" t="s">
        <v>8</v>
      </c>
      <c r="C11" s="15"/>
      <c r="D11" s="16"/>
      <c r="E11" s="17"/>
      <c r="F11" s="17"/>
      <c r="G11" s="17"/>
      <c r="H11" s="18"/>
      <c r="I11" s="19"/>
      <c r="J11" s="20"/>
      <c r="K11" s="17"/>
      <c r="L11" s="17"/>
      <c r="M11" s="18"/>
      <c r="N11" s="19"/>
      <c r="O11" s="19"/>
      <c r="P11" s="21"/>
      <c r="Q11" s="21"/>
      <c r="R11" s="21"/>
      <c r="S11" s="21"/>
      <c r="T11" s="22"/>
      <c r="U11" s="22"/>
      <c r="V11" s="23"/>
    </row>
    <row r="12" spans="1:22" s="6" customFormat="1" ht="15.75" customHeight="1">
      <c r="A12" s="149" t="s">
        <v>9</v>
      </c>
      <c r="B12" s="24"/>
      <c r="C12" s="25"/>
      <c r="D12" s="21"/>
      <c r="E12" s="26"/>
      <c r="F12" s="17"/>
      <c r="G12" s="17"/>
      <c r="H12" s="18"/>
      <c r="I12" s="27"/>
      <c r="J12" s="20"/>
      <c r="K12" s="17"/>
      <c r="L12" s="17"/>
      <c r="M12" s="18"/>
      <c r="N12" s="27"/>
      <c r="O12" s="27"/>
      <c r="P12" s="21"/>
      <c r="Q12" s="21"/>
      <c r="R12" s="21"/>
      <c r="S12" s="21"/>
      <c r="T12" s="116">
        <f>SUM(T13:T24)</f>
        <v>10338532547</v>
      </c>
      <c r="U12" s="116">
        <f>SUM(U13:U24)</f>
        <v>10754213010.713</v>
      </c>
      <c r="V12" s="116">
        <f>SUM(V13:V24)</f>
        <v>11289011790.682634</v>
      </c>
    </row>
    <row r="13" spans="1:22" s="6" customFormat="1" ht="15.75" customHeight="1">
      <c r="A13" s="117" t="s">
        <v>10</v>
      </c>
      <c r="B13" s="36" t="s">
        <v>11</v>
      </c>
      <c r="C13" s="28"/>
      <c r="D13" s="29"/>
      <c r="E13" s="30">
        <v>2140000000</v>
      </c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1"/>
      <c r="R13" s="31"/>
      <c r="S13" s="31"/>
      <c r="T13" s="32">
        <f>2264173000+620433000</f>
        <v>2884606000</v>
      </c>
      <c r="U13" s="156">
        <f>T13+250000000</f>
        <v>3134606000</v>
      </c>
      <c r="V13" s="156">
        <f>U13+250000000</f>
        <v>3384606000</v>
      </c>
    </row>
    <row r="14" spans="1:22" s="6" customFormat="1" ht="15.75" customHeight="1">
      <c r="A14" s="117" t="s">
        <v>12</v>
      </c>
      <c r="B14" s="36" t="s">
        <v>107</v>
      </c>
      <c r="C14" s="28"/>
      <c r="D14" s="34"/>
      <c r="E14" s="35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1"/>
      <c r="R14" s="31"/>
      <c r="S14" s="31"/>
      <c r="T14" s="32">
        <f>166908000+99620232+18258000+10224480+26104575+390660000+328154400</f>
        <v>1039929687</v>
      </c>
      <c r="U14" s="93">
        <f>T14*1.018</f>
        <v>1058648421.366</v>
      </c>
      <c r="V14" s="93">
        <f>U14*1.018</f>
        <v>1077704092.950588</v>
      </c>
    </row>
    <row r="15" spans="1:22" s="6" customFormat="1" ht="15.75" customHeight="1">
      <c r="A15" s="117" t="s">
        <v>13</v>
      </c>
      <c r="B15" s="28" t="s">
        <v>108</v>
      </c>
      <c r="C15" s="38"/>
      <c r="D15" s="37"/>
      <c r="E15" s="35"/>
      <c r="F15" s="30"/>
      <c r="G15" s="30">
        <v>65000000</v>
      </c>
      <c r="H15" s="30"/>
      <c r="I15" s="30"/>
      <c r="J15" s="30"/>
      <c r="K15" s="30"/>
      <c r="L15" s="30"/>
      <c r="M15" s="39"/>
      <c r="N15" s="30"/>
      <c r="O15" s="31"/>
      <c r="P15" s="31"/>
      <c r="Q15" s="31"/>
      <c r="R15" s="31"/>
      <c r="S15" s="31"/>
      <c r="T15" s="32">
        <f>172584000+32728536</f>
        <v>205312536</v>
      </c>
      <c r="U15" s="93">
        <f>T15*1.018</f>
        <v>209008161.648</v>
      </c>
      <c r="V15" s="93">
        <f>U15*1.018</f>
        <v>212770308.557664</v>
      </c>
    </row>
    <row r="16" spans="1:22" s="6" customFormat="1" ht="15.75" customHeight="1">
      <c r="A16" s="117" t="s">
        <v>14</v>
      </c>
      <c r="B16" s="28" t="s">
        <v>15</v>
      </c>
      <c r="C16" s="38"/>
      <c r="D16" s="37"/>
      <c r="E16" s="35"/>
      <c r="F16" s="30"/>
      <c r="G16" s="30"/>
      <c r="H16" s="30">
        <v>6496000</v>
      </c>
      <c r="I16" s="30"/>
      <c r="J16" s="30"/>
      <c r="K16" s="30"/>
      <c r="L16" s="30"/>
      <c r="M16" s="39"/>
      <c r="N16" s="30"/>
      <c r="O16" s="31"/>
      <c r="P16" s="31"/>
      <c r="Q16" s="31"/>
      <c r="R16" s="31"/>
      <c r="S16" s="31"/>
      <c r="T16" s="32">
        <f>220000000+9125000</f>
        <v>229125000</v>
      </c>
      <c r="U16" s="93">
        <f>T16*1.018</f>
        <v>233249250</v>
      </c>
      <c r="V16" s="93">
        <f>U16*1.018</f>
        <v>237447736.5</v>
      </c>
    </row>
    <row r="17" spans="1:22" s="6" customFormat="1" ht="15.75" customHeight="1">
      <c r="A17" s="117" t="s">
        <v>16</v>
      </c>
      <c r="B17" s="28" t="s">
        <v>17</v>
      </c>
      <c r="C17" s="38"/>
      <c r="D17" s="37"/>
      <c r="E17" s="35"/>
      <c r="F17" s="30"/>
      <c r="G17" s="30"/>
      <c r="H17" s="30"/>
      <c r="I17" s="30"/>
      <c r="J17" s="30"/>
      <c r="K17" s="30">
        <v>45000000</v>
      </c>
      <c r="L17" s="30"/>
      <c r="M17" s="39"/>
      <c r="N17" s="30"/>
      <c r="O17" s="31"/>
      <c r="P17" s="31"/>
      <c r="Q17" s="31"/>
      <c r="R17" s="31"/>
      <c r="S17" s="31"/>
      <c r="T17" s="32">
        <f>104024000+22264000</f>
        <v>126288000</v>
      </c>
      <c r="U17" s="93">
        <f>T17*1.018</f>
        <v>128561184</v>
      </c>
      <c r="V17" s="93">
        <f>U17*1.018</f>
        <v>130875285.312</v>
      </c>
    </row>
    <row r="18" spans="1:22" s="6" customFormat="1" ht="15.75" customHeight="1">
      <c r="A18" s="117" t="s">
        <v>18</v>
      </c>
      <c r="B18" s="28" t="s">
        <v>19</v>
      </c>
      <c r="C18" s="38"/>
      <c r="D18" s="37"/>
      <c r="E18" s="35"/>
      <c r="F18" s="30"/>
      <c r="G18" s="30"/>
      <c r="H18" s="30"/>
      <c r="I18" s="30"/>
      <c r="J18" s="30"/>
      <c r="K18" s="30"/>
      <c r="L18" s="30">
        <v>43064000</v>
      </c>
      <c r="M18" s="39"/>
      <c r="N18" s="30"/>
      <c r="O18" s="31"/>
      <c r="P18" s="31"/>
      <c r="Q18" s="31"/>
      <c r="R18" s="31"/>
      <c r="S18" s="31"/>
      <c r="T18" s="32">
        <v>38500000</v>
      </c>
      <c r="U18" s="93">
        <f>T18*1.018</f>
        <v>39193000</v>
      </c>
      <c r="V18" s="93">
        <f>U18*1.018</f>
        <v>39898474</v>
      </c>
    </row>
    <row r="19" spans="1:22" s="6" customFormat="1" ht="15.75" customHeight="1">
      <c r="A19" s="117" t="s">
        <v>20</v>
      </c>
      <c r="B19" s="28" t="s">
        <v>21</v>
      </c>
      <c r="C19" s="38"/>
      <c r="D19" s="37"/>
      <c r="E19" s="35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1"/>
      <c r="R19" s="31"/>
      <c r="S19" s="31"/>
      <c r="T19" s="32">
        <f>310157768+6000000+13100000</f>
        <v>329257768</v>
      </c>
      <c r="U19" s="93">
        <f>T19*1.018</f>
        <v>335184407.824</v>
      </c>
      <c r="V19" s="93">
        <f>U19*1.018</f>
        <v>341217727.164832</v>
      </c>
    </row>
    <row r="20" spans="1:22" s="6" customFormat="1" ht="15.75" customHeight="1">
      <c r="A20" s="117" t="s">
        <v>22</v>
      </c>
      <c r="B20" s="28" t="s">
        <v>23</v>
      </c>
      <c r="C20" s="38"/>
      <c r="D20" s="37"/>
      <c r="E20" s="35"/>
      <c r="F20" s="30"/>
      <c r="G20" s="30"/>
      <c r="H20" s="30"/>
      <c r="I20" s="30"/>
      <c r="J20" s="30"/>
      <c r="K20" s="30"/>
      <c r="L20" s="30"/>
      <c r="M20" s="40"/>
      <c r="N20" s="30">
        <v>15000000</v>
      </c>
      <c r="O20" s="31"/>
      <c r="P20" s="31"/>
      <c r="Q20" s="31"/>
      <c r="R20" s="31"/>
      <c r="S20" s="31"/>
      <c r="T20" s="32">
        <f>215000000+3099000</f>
        <v>218099000</v>
      </c>
      <c r="U20" s="93">
        <f>T20*1.018</f>
        <v>222024782</v>
      </c>
      <c r="V20" s="93">
        <f>U20*1.018</f>
        <v>226021228.076</v>
      </c>
    </row>
    <row r="21" spans="1:22" s="6" customFormat="1" ht="15.75" customHeight="1">
      <c r="A21" s="117" t="s">
        <v>24</v>
      </c>
      <c r="B21" s="28" t="s">
        <v>25</v>
      </c>
      <c r="C21" s="38"/>
      <c r="D21" s="37"/>
      <c r="E21" s="35"/>
      <c r="F21" s="30"/>
      <c r="G21" s="30"/>
      <c r="H21" s="30"/>
      <c r="I21" s="30"/>
      <c r="J21" s="30"/>
      <c r="K21" s="30"/>
      <c r="L21" s="30"/>
      <c r="M21" s="40"/>
      <c r="N21" s="30"/>
      <c r="O21" s="31">
        <v>249996000</v>
      </c>
      <c r="P21" s="31"/>
      <c r="Q21" s="31"/>
      <c r="R21" s="31"/>
      <c r="S21" s="31"/>
      <c r="T21" s="32">
        <v>249996000</v>
      </c>
      <c r="U21" s="93">
        <f>T21*1.018</f>
        <v>254495928</v>
      </c>
      <c r="V21" s="93">
        <f>U21*1.018</f>
        <v>259076854.704</v>
      </c>
    </row>
    <row r="22" spans="1:22" s="6" customFormat="1" ht="15.75" customHeight="1">
      <c r="A22" s="117" t="s">
        <v>26</v>
      </c>
      <c r="B22" s="36" t="s">
        <v>27</v>
      </c>
      <c r="C22" s="28"/>
      <c r="D22" s="37"/>
      <c r="E22" s="35"/>
      <c r="F22" s="30"/>
      <c r="G22" s="30"/>
      <c r="H22" s="30"/>
      <c r="I22" s="30">
        <v>1762300000</v>
      </c>
      <c r="J22" s="41">
        <v>2056000000</v>
      </c>
      <c r="K22" s="30"/>
      <c r="L22" s="30"/>
      <c r="M22" s="30"/>
      <c r="N22" s="30"/>
      <c r="O22" s="31"/>
      <c r="P22" s="31"/>
      <c r="Q22" s="31"/>
      <c r="R22" s="31"/>
      <c r="S22" s="31"/>
      <c r="T22" s="32">
        <f>1953446568+2547951413</f>
        <v>4501397981</v>
      </c>
      <c r="U22" s="156">
        <f>T22*1.025</f>
        <v>4613932930.525</v>
      </c>
      <c r="V22" s="156">
        <f>U22*1.05</f>
        <v>4844629577.0512495</v>
      </c>
    </row>
    <row r="23" spans="1:22" s="6" customFormat="1" ht="15.75" customHeight="1">
      <c r="A23" s="117" t="s">
        <v>28</v>
      </c>
      <c r="B23" s="36" t="s">
        <v>109</v>
      </c>
      <c r="C23" s="28"/>
      <c r="D23" s="36"/>
      <c r="E23" s="30"/>
      <c r="F23" s="30"/>
      <c r="G23" s="30"/>
      <c r="H23" s="30"/>
      <c r="I23" s="30"/>
      <c r="J23" s="41"/>
      <c r="K23" s="30"/>
      <c r="L23" s="30"/>
      <c r="M23" s="30"/>
      <c r="N23" s="30"/>
      <c r="O23" s="31"/>
      <c r="P23" s="31"/>
      <c r="Q23" s="31"/>
      <c r="R23" s="31"/>
      <c r="S23" s="31"/>
      <c r="T23" s="32">
        <f>19886000+8219000</f>
        <v>28105000</v>
      </c>
      <c r="U23" s="93">
        <f>T23*1.018</f>
        <v>28610890</v>
      </c>
      <c r="V23" s="93">
        <f>U23*1.018</f>
        <v>29125886.02</v>
      </c>
    </row>
    <row r="24" spans="1:22" s="6" customFormat="1" ht="15.75" customHeight="1">
      <c r="A24" s="117" t="s">
        <v>29</v>
      </c>
      <c r="B24" s="36" t="s">
        <v>110</v>
      </c>
      <c r="C24" s="38"/>
      <c r="D24" s="36"/>
      <c r="E24" s="30"/>
      <c r="F24" s="30"/>
      <c r="G24" s="30"/>
      <c r="H24" s="30"/>
      <c r="I24" s="30">
        <v>30000000</v>
      </c>
      <c r="J24" s="30">
        <v>35000000</v>
      </c>
      <c r="K24" s="30"/>
      <c r="L24" s="30"/>
      <c r="M24" s="30"/>
      <c r="N24" s="30"/>
      <c r="O24" s="31"/>
      <c r="P24" s="31"/>
      <c r="Q24" s="31"/>
      <c r="R24" s="31"/>
      <c r="S24" s="31"/>
      <c r="T24" s="32">
        <v>487915575</v>
      </c>
      <c r="U24" s="93">
        <f>T24*1.018</f>
        <v>496698055.35</v>
      </c>
      <c r="V24" s="93">
        <f>U24*1.018</f>
        <v>505638620.3463</v>
      </c>
    </row>
    <row r="25" spans="1:22" s="6" customFormat="1" ht="15.75" customHeight="1">
      <c r="A25" s="24" t="s">
        <v>30</v>
      </c>
      <c r="B25" s="42"/>
      <c r="C25" s="28"/>
      <c r="D25" s="36"/>
      <c r="E25" s="43"/>
      <c r="F25" s="43"/>
      <c r="G25" s="43"/>
      <c r="H25" s="43"/>
      <c r="I25" s="44"/>
      <c r="J25" s="43"/>
      <c r="K25" s="43"/>
      <c r="L25" s="43"/>
      <c r="M25" s="43"/>
      <c r="N25" s="45"/>
      <c r="O25" s="46"/>
      <c r="P25" s="31"/>
      <c r="Q25" s="31"/>
      <c r="R25" s="31"/>
      <c r="S25" s="31"/>
      <c r="T25" s="91">
        <f>SUM(E25:S25)</f>
        <v>0</v>
      </c>
      <c r="U25" s="91">
        <f>SUM(F25:T25)</f>
        <v>0</v>
      </c>
      <c r="V25" s="116">
        <f>SUM(G25:U25)</f>
        <v>0</v>
      </c>
    </row>
    <row r="26" spans="1:22" s="6" customFormat="1" ht="15.75" customHeight="1">
      <c r="A26" s="24" t="s">
        <v>31</v>
      </c>
      <c r="B26" s="42"/>
      <c r="C26" s="28"/>
      <c r="D26" s="36"/>
      <c r="E26" s="44"/>
      <c r="F26" s="44"/>
      <c r="G26" s="44"/>
      <c r="H26" s="44"/>
      <c r="I26" s="17"/>
      <c r="J26" s="44"/>
      <c r="K26" s="44"/>
      <c r="L26" s="44"/>
      <c r="M26" s="44"/>
      <c r="N26" s="47"/>
      <c r="O26" s="36"/>
      <c r="P26" s="31"/>
      <c r="Q26" s="31"/>
      <c r="R26" s="31"/>
      <c r="S26" s="31"/>
      <c r="T26" s="91">
        <f>SUM(E26:S26)</f>
        <v>0</v>
      </c>
      <c r="U26" s="91">
        <f>SUM(F26:T26)</f>
        <v>0</v>
      </c>
      <c r="V26" s="116">
        <f>SUM(G26:U26)</f>
        <v>0</v>
      </c>
    </row>
    <row r="27" spans="1:22" s="6" customFormat="1" ht="15.75" customHeight="1">
      <c r="A27" s="24" t="s">
        <v>32</v>
      </c>
      <c r="B27" s="42"/>
      <c r="C27" s="28"/>
      <c r="D27" s="36"/>
      <c r="E27" s="17"/>
      <c r="F27" s="17"/>
      <c r="G27" s="17"/>
      <c r="H27" s="17"/>
      <c r="I27" s="30"/>
      <c r="J27" s="17"/>
      <c r="K27" s="17"/>
      <c r="L27" s="17"/>
      <c r="M27" s="17"/>
      <c r="N27" s="17"/>
      <c r="O27" s="21"/>
      <c r="P27" s="31"/>
      <c r="Q27" s="31"/>
      <c r="R27" s="31"/>
      <c r="S27" s="31"/>
      <c r="T27" s="91">
        <f>SUM(E27:S27)</f>
        <v>0</v>
      </c>
      <c r="U27" s="91">
        <f>SUM(F27:T27)</f>
        <v>0</v>
      </c>
      <c r="V27" s="116">
        <f>SUM(G27:U27)</f>
        <v>0</v>
      </c>
    </row>
    <row r="28" spans="1:22" s="6" customFormat="1" ht="15.75" customHeight="1">
      <c r="A28" s="24" t="s">
        <v>33</v>
      </c>
      <c r="B28" s="42"/>
      <c r="C28" s="28"/>
      <c r="D28" s="36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91"/>
      <c r="U28" s="32"/>
      <c r="V28" s="33"/>
    </row>
    <row r="29" spans="1:22" s="6" customFormat="1" ht="15.75" customHeight="1">
      <c r="A29" s="110" t="s">
        <v>10</v>
      </c>
      <c r="B29" s="48" t="s">
        <v>34</v>
      </c>
      <c r="C29" s="49"/>
      <c r="D29" s="50"/>
      <c r="E29" s="30"/>
      <c r="F29" s="30"/>
      <c r="G29" s="30"/>
      <c r="H29" s="5"/>
      <c r="I29" s="30"/>
      <c r="J29" s="30"/>
      <c r="K29" s="30"/>
      <c r="L29" s="30"/>
      <c r="M29" s="5"/>
      <c r="N29" s="5"/>
      <c r="O29" s="31"/>
      <c r="P29" s="31"/>
      <c r="Q29" s="31"/>
      <c r="R29" s="31"/>
      <c r="S29" s="31"/>
      <c r="T29" s="90">
        <f>SUM(T30:T33)</f>
        <v>3880772643</v>
      </c>
      <c r="U29" s="90">
        <f>SUM(U30:U33)</f>
        <v>3691451698.574</v>
      </c>
      <c r="V29" s="90">
        <f>SUM(V30:V33)</f>
        <v>3493508977.148332</v>
      </c>
    </row>
    <row r="30" spans="1:22" s="6" customFormat="1" ht="15.75" customHeight="1">
      <c r="A30" s="117"/>
      <c r="B30" s="28" t="s">
        <v>111</v>
      </c>
      <c r="C30" s="38"/>
      <c r="D30" s="36"/>
      <c r="E30" s="30">
        <f>305000000+E122</f>
        <v>353981203.5</v>
      </c>
      <c r="F30" s="30">
        <f>210000000+F122</f>
        <v>216049197.8</v>
      </c>
      <c r="G30" s="30">
        <f>35000000+G122</f>
        <v>36152579.32</v>
      </c>
      <c r="H30" s="30">
        <f>225000000+3600000</f>
        <v>228600000</v>
      </c>
      <c r="I30" s="44">
        <f>I122</f>
        <v>3223927</v>
      </c>
      <c r="J30" s="44">
        <f>J122</f>
        <v>1903169.36</v>
      </c>
      <c r="K30" s="30">
        <f>20000000+70000000+K122</f>
        <v>90563832.4</v>
      </c>
      <c r="L30" s="30">
        <f>L122</f>
        <v>535052.8</v>
      </c>
      <c r="M30" s="30">
        <f>368675852+M122</f>
        <v>368957768.2</v>
      </c>
      <c r="N30" s="30">
        <f>200000000+N122+68756792</f>
        <v>269038708.2</v>
      </c>
      <c r="O30" s="31">
        <f>O122</f>
        <v>1793108.48</v>
      </c>
      <c r="P30" s="31">
        <f>P122</f>
        <v>0</v>
      </c>
      <c r="Q30" s="31"/>
      <c r="R30" s="31"/>
      <c r="S30" s="31"/>
      <c r="T30" s="155">
        <v>509714000</v>
      </c>
      <c r="U30" s="156">
        <f>T30-250000000</f>
        <v>259714000</v>
      </c>
      <c r="V30" s="156">
        <v>0</v>
      </c>
    </row>
    <row r="31" spans="1:22" s="6" customFormat="1" ht="15.75" customHeight="1">
      <c r="A31" s="117"/>
      <c r="B31" s="28" t="s">
        <v>113</v>
      </c>
      <c r="C31" s="38"/>
      <c r="D31" s="36"/>
      <c r="E31" s="44">
        <v>764572000</v>
      </c>
      <c r="F31" s="51"/>
      <c r="G31" s="44"/>
      <c r="H31" s="44"/>
      <c r="I31" s="43"/>
      <c r="J31" s="44"/>
      <c r="K31" s="44"/>
      <c r="L31" s="44"/>
      <c r="M31" s="44"/>
      <c r="N31" s="5"/>
      <c r="O31" s="31"/>
      <c r="P31" s="30"/>
      <c r="Q31" s="31"/>
      <c r="R31" s="31"/>
      <c r="S31" s="31"/>
      <c r="T31" s="32">
        <f>454203000+119200000+107900000+44102500</f>
        <v>725405500</v>
      </c>
      <c r="U31" s="93">
        <f>T31*1.018</f>
        <v>738462799</v>
      </c>
      <c r="V31" s="93">
        <f>U31*1.018</f>
        <v>751755129.382</v>
      </c>
    </row>
    <row r="32" spans="1:22" s="6" customFormat="1" ht="15.75" customHeight="1">
      <c r="A32" s="117"/>
      <c r="B32" s="28" t="s">
        <v>114</v>
      </c>
      <c r="C32" s="38"/>
      <c r="D32" s="36"/>
      <c r="E32" s="43">
        <v>2260000000</v>
      </c>
      <c r="F32" s="51">
        <v>400000000</v>
      </c>
      <c r="G32" s="44">
        <f>400000000*0.6</f>
        <v>240000000</v>
      </c>
      <c r="H32" s="43"/>
      <c r="I32" s="43"/>
      <c r="J32" s="43"/>
      <c r="K32" s="43"/>
      <c r="L32" s="43"/>
      <c r="M32" s="43">
        <v>84000000</v>
      </c>
      <c r="N32" s="45"/>
      <c r="O32" s="31"/>
      <c r="P32" s="31">
        <f>60000*365*8</f>
        <v>175200000</v>
      </c>
      <c r="Q32" s="31"/>
      <c r="R32" s="31"/>
      <c r="S32" s="31"/>
      <c r="T32" s="32">
        <f>2392366000+147235000</f>
        <v>2539601000</v>
      </c>
      <c r="U32" s="93">
        <f>T32*1.018</f>
        <v>2585313818</v>
      </c>
      <c r="V32" s="93">
        <f>U32*1.018</f>
        <v>2631849466.724</v>
      </c>
    </row>
    <row r="33" spans="1:22" s="6" customFormat="1" ht="15.75" customHeight="1">
      <c r="A33" s="117"/>
      <c r="B33" s="52" t="s">
        <v>112</v>
      </c>
      <c r="C33" s="53"/>
      <c r="D33" s="5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31"/>
      <c r="P33" s="31"/>
      <c r="Q33" s="31"/>
      <c r="R33" s="31"/>
      <c r="S33" s="31"/>
      <c r="T33" s="32">
        <f>66857143+17445000+21750000</f>
        <v>106052143</v>
      </c>
      <c r="U33" s="93">
        <f>T33*1.018</f>
        <v>107961081.574</v>
      </c>
      <c r="V33" s="93">
        <f>U33*1.018</f>
        <v>109904381.04233201</v>
      </c>
    </row>
    <row r="34" spans="1:22" s="6" customFormat="1" ht="15.75" customHeight="1">
      <c r="A34" s="110" t="s">
        <v>12</v>
      </c>
      <c r="B34" s="48" t="s">
        <v>35</v>
      </c>
      <c r="C34" s="49"/>
      <c r="D34" s="5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90">
        <f>SUM(T35:T36)</f>
        <v>1628056587</v>
      </c>
      <c r="U34" s="90">
        <f>SUM(U35:U36)</f>
        <v>1657361605.566</v>
      </c>
      <c r="V34" s="90">
        <f>SUM(V35:V36)</f>
        <v>1687194114.466188</v>
      </c>
    </row>
    <row r="35" spans="1:22" s="6" customFormat="1" ht="15.75" customHeight="1">
      <c r="A35" s="117"/>
      <c r="B35" s="28" t="s">
        <v>115</v>
      </c>
      <c r="C35" s="38"/>
      <c r="D35" s="36"/>
      <c r="E35" s="30">
        <f>305000000+E127</f>
        <v>305000000</v>
      </c>
      <c r="F35" s="30">
        <f>210000000+F127</f>
        <v>210000000</v>
      </c>
      <c r="G35" s="30">
        <f>35000000+G127</f>
        <v>35000000</v>
      </c>
      <c r="H35" s="30">
        <f>225000000+3600000</f>
        <v>228600000</v>
      </c>
      <c r="I35" s="44">
        <f>I127</f>
        <v>0</v>
      </c>
      <c r="J35" s="44">
        <f>J127</f>
        <v>0</v>
      </c>
      <c r="K35" s="30">
        <f>20000000+70000000+K127</f>
        <v>90000000</v>
      </c>
      <c r="L35" s="30">
        <f>L127</f>
        <v>0</v>
      </c>
      <c r="M35" s="30">
        <f>368675852+M127</f>
        <v>368675852</v>
      </c>
      <c r="N35" s="30">
        <f>200000000+N127+68756792</f>
        <v>268756792</v>
      </c>
      <c r="O35" s="31">
        <f>O127</f>
        <v>0</v>
      </c>
      <c r="P35" s="31">
        <f>P127</f>
        <v>0</v>
      </c>
      <c r="Q35" s="31"/>
      <c r="R35" s="31"/>
      <c r="S35" s="31"/>
      <c r="T35" s="32">
        <v>1505051527</v>
      </c>
      <c r="U35" s="93">
        <f>T35*1.018</f>
        <v>1532142454.486</v>
      </c>
      <c r="V35" s="93">
        <f>U35*1.018</f>
        <v>1559721018.666748</v>
      </c>
    </row>
    <row r="36" spans="1:22" s="6" customFormat="1" ht="15.75" customHeight="1">
      <c r="A36" s="117"/>
      <c r="B36" s="28" t="s">
        <v>36</v>
      </c>
      <c r="C36" s="38"/>
      <c r="D36" s="36"/>
      <c r="E36" s="44">
        <v>764572000</v>
      </c>
      <c r="F36" s="51"/>
      <c r="G36" s="44"/>
      <c r="H36" s="44"/>
      <c r="I36" s="43"/>
      <c r="J36" s="44"/>
      <c r="K36" s="44"/>
      <c r="L36" s="44"/>
      <c r="M36" s="44"/>
      <c r="N36" s="5"/>
      <c r="O36" s="31"/>
      <c r="P36" s="30"/>
      <c r="Q36" s="31"/>
      <c r="R36" s="31"/>
      <c r="S36" s="31"/>
      <c r="T36" s="87">
        <f>109460500+2835000+3150000+7559560</f>
        <v>123005060</v>
      </c>
      <c r="U36" s="93">
        <f>T36*1.018</f>
        <v>125219151.08</v>
      </c>
      <c r="V36" s="93">
        <f>U36*1.018</f>
        <v>127473095.79944</v>
      </c>
    </row>
    <row r="37" spans="1:22" s="6" customFormat="1" ht="15.75" customHeight="1">
      <c r="A37" s="150"/>
      <c r="B37" s="28"/>
      <c r="C37" s="38"/>
      <c r="D37" s="36"/>
      <c r="E37" s="21"/>
      <c r="F37" s="131"/>
      <c r="G37" s="21"/>
      <c r="H37" s="21"/>
      <c r="I37" s="99"/>
      <c r="J37" s="21"/>
      <c r="K37" s="21"/>
      <c r="L37" s="21"/>
      <c r="M37" s="21"/>
      <c r="N37" s="5"/>
      <c r="O37" s="86"/>
      <c r="P37" s="19"/>
      <c r="Q37" s="86"/>
      <c r="R37" s="86"/>
      <c r="S37" s="86"/>
      <c r="T37" s="133"/>
      <c r="U37" s="133"/>
      <c r="V37" s="133"/>
    </row>
    <row r="38" spans="1:22" s="6" customFormat="1" ht="15.75" customHeight="1">
      <c r="A38" s="31"/>
      <c r="B38" s="59" t="s">
        <v>37</v>
      </c>
      <c r="C38" s="59"/>
      <c r="D38" s="35"/>
      <c r="E38" s="60">
        <f>SUM(E13:E34)</f>
        <v>5518553203.5</v>
      </c>
      <c r="F38" s="60">
        <f>SUM(F13:F34)</f>
        <v>616049197.8</v>
      </c>
      <c r="G38" s="60">
        <f>SUM(G13:G34)</f>
        <v>341152579.32</v>
      </c>
      <c r="H38" s="60">
        <f>SUM(H13:H34)</f>
        <v>235096000</v>
      </c>
      <c r="I38" s="60">
        <f>SUM(I13:I34)</f>
        <v>1795523927</v>
      </c>
      <c r="J38" s="60">
        <f>SUM(J13:J34)</f>
        <v>2092903169.36</v>
      </c>
      <c r="K38" s="60">
        <f>SUM(K13:K34)</f>
        <v>135563832.4</v>
      </c>
      <c r="L38" s="60">
        <f>SUM(L13:L34)</f>
        <v>43599052.8</v>
      </c>
      <c r="M38" s="60">
        <f>SUM(M13:M34)</f>
        <v>452957768.2</v>
      </c>
      <c r="N38" s="60">
        <f>SUM(N13:N34)</f>
        <v>284038708.2</v>
      </c>
      <c r="O38" s="60">
        <f>SUM(O13:O34)</f>
        <v>251789108.48</v>
      </c>
      <c r="P38" s="60">
        <f>SUM(P13:P34)</f>
        <v>175200000</v>
      </c>
      <c r="Q38" s="60">
        <f>SUM(Q13:Q34)</f>
        <v>0</v>
      </c>
      <c r="R38" s="60">
        <f>SUM(R13:R34)</f>
        <v>0</v>
      </c>
      <c r="S38" s="60">
        <f>SUM(S13:S34)</f>
        <v>0</v>
      </c>
      <c r="T38" s="132">
        <f>SUM(T12+T25+T26+T27+T29+T34)</f>
        <v>15847361777</v>
      </c>
      <c r="U38" s="132">
        <f>SUM(U12+U25+U26+U27+U29+U34)</f>
        <v>16103026314.852999</v>
      </c>
      <c r="V38" s="132">
        <f>SUM(V12+V25+V26+V27+V29+V34)</f>
        <v>16469714882.297155</v>
      </c>
    </row>
    <row r="39" spans="1:22" ht="15.75">
      <c r="A39" s="114"/>
      <c r="B39" s="64" t="s">
        <v>38</v>
      </c>
      <c r="C39" s="65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  <c r="U39" s="61"/>
      <c r="V39" s="61"/>
    </row>
    <row r="40" spans="1:22" s="6" customFormat="1" ht="15.75" customHeight="1">
      <c r="A40" s="38"/>
      <c r="B40" s="5"/>
      <c r="C40" s="5"/>
      <c r="D40" s="5"/>
      <c r="E40" s="7" t="s">
        <v>2</v>
      </c>
      <c r="F40" s="8" t="s">
        <v>3</v>
      </c>
      <c r="G40" s="9"/>
      <c r="H40" s="8" t="s">
        <v>4</v>
      </c>
      <c r="I40" s="10"/>
      <c r="J40" s="11"/>
      <c r="K40" s="11"/>
      <c r="L40" s="11"/>
      <c r="M40" s="9" t="s">
        <v>5</v>
      </c>
      <c r="N40" s="12" t="s">
        <v>6</v>
      </c>
      <c r="O40" s="9"/>
      <c r="P40" s="9"/>
      <c r="Q40" s="9"/>
      <c r="R40" s="9"/>
      <c r="S40" s="9"/>
      <c r="T40" s="13">
        <v>2001</v>
      </c>
      <c r="U40" s="13">
        <v>2002</v>
      </c>
      <c r="V40" s="13">
        <v>2003</v>
      </c>
    </row>
    <row r="41" spans="1:22" s="6" customFormat="1" ht="15.75" customHeight="1">
      <c r="A41" s="67" t="s">
        <v>39</v>
      </c>
      <c r="B41" s="68" t="s">
        <v>40</v>
      </c>
      <c r="C41" s="69"/>
      <c r="D41" s="70"/>
      <c r="E41" s="71"/>
      <c r="F41" s="71"/>
      <c r="G41" s="71"/>
      <c r="H41" s="71"/>
      <c r="I41" s="72"/>
      <c r="J41" s="72"/>
      <c r="K41" s="72"/>
      <c r="L41" s="72"/>
      <c r="M41" s="72"/>
      <c r="N41" s="63"/>
      <c r="O41" s="73"/>
      <c r="P41" s="73"/>
      <c r="Q41" s="73"/>
      <c r="R41" s="73"/>
      <c r="S41" s="73"/>
      <c r="T41" s="129"/>
      <c r="U41" s="129"/>
      <c r="V41" s="129"/>
    </row>
    <row r="42" spans="1:22" s="6" customFormat="1" ht="15.75" customHeight="1">
      <c r="A42" s="149" t="s">
        <v>41</v>
      </c>
      <c r="B42" s="48"/>
      <c r="C42" s="49"/>
      <c r="D42" s="50"/>
      <c r="E42" s="74"/>
      <c r="F42" s="17"/>
      <c r="G42" s="17"/>
      <c r="H42" s="17"/>
      <c r="I42" s="17"/>
      <c r="J42" s="17"/>
      <c r="K42" s="17"/>
      <c r="L42" s="17"/>
      <c r="M42" s="17"/>
      <c r="N42" s="18"/>
      <c r="O42" s="55"/>
      <c r="P42" s="55"/>
      <c r="Q42" s="55"/>
      <c r="R42" s="55"/>
      <c r="S42" s="55"/>
      <c r="T42" s="130">
        <f>SUM(T43:T55)</f>
        <v>4293956797</v>
      </c>
      <c r="U42" s="130">
        <f>SUM(U43:U55)</f>
        <v>4377719606.693999</v>
      </c>
      <c r="V42" s="130">
        <f>SUM(V43:V55)</f>
        <v>4529129769.659052</v>
      </c>
    </row>
    <row r="43" spans="1:22" s="6" customFormat="1" ht="15.75" customHeight="1">
      <c r="A43" s="21"/>
      <c r="B43" s="28" t="s">
        <v>116</v>
      </c>
      <c r="C43" s="38"/>
      <c r="D43" s="36"/>
      <c r="E43" s="75">
        <v>455000000</v>
      </c>
      <c r="F43" s="75"/>
      <c r="G43" s="27"/>
      <c r="H43" s="75"/>
      <c r="I43" s="75"/>
      <c r="J43" s="75"/>
      <c r="K43" s="75"/>
      <c r="L43" s="75"/>
      <c r="M43" s="75"/>
      <c r="N43" s="27">
        <v>3150000</v>
      </c>
      <c r="O43" s="75"/>
      <c r="P43" s="75"/>
      <c r="Q43" s="75"/>
      <c r="R43" s="75"/>
      <c r="S43" s="75"/>
      <c r="T43" s="93">
        <v>451000000</v>
      </c>
      <c r="U43" s="93">
        <f>T43*1.018</f>
        <v>459118000</v>
      </c>
      <c r="V43" s="93">
        <f>U43*1.018</f>
        <v>467382124</v>
      </c>
    </row>
    <row r="44" spans="1:22" s="6" customFormat="1" ht="15.75" customHeight="1">
      <c r="A44" s="21"/>
      <c r="B44" s="28" t="s">
        <v>117</v>
      </c>
      <c r="C44" s="38"/>
      <c r="D44" s="36"/>
      <c r="E44" s="44">
        <v>405000000</v>
      </c>
      <c r="F44" s="44"/>
      <c r="G44" s="44">
        <v>3000000</v>
      </c>
      <c r="H44" s="44">
        <v>1000000</v>
      </c>
      <c r="I44" s="44"/>
      <c r="J44" s="44"/>
      <c r="K44" s="44"/>
      <c r="L44" s="44">
        <v>2000000</v>
      </c>
      <c r="M44" s="44"/>
      <c r="N44" s="76"/>
      <c r="O44" s="57"/>
      <c r="P44" s="57"/>
      <c r="Q44" s="57"/>
      <c r="R44" s="57"/>
      <c r="S44" s="57"/>
      <c r="T44" s="93">
        <v>102330747</v>
      </c>
      <c r="U44" s="93">
        <f>T44*1.018</f>
        <v>104172700.446</v>
      </c>
      <c r="V44" s="93">
        <f>U44*1.018</f>
        <v>106047809.05402799</v>
      </c>
    </row>
    <row r="45" spans="1:22" s="6" customFormat="1" ht="15.75" customHeight="1">
      <c r="A45" s="21"/>
      <c r="B45" s="28" t="s">
        <v>118</v>
      </c>
      <c r="C45" s="38"/>
      <c r="D45" s="36"/>
      <c r="E45" s="44">
        <v>17000000</v>
      </c>
      <c r="F45" s="44"/>
      <c r="G45" s="44">
        <v>17400000</v>
      </c>
      <c r="H45" s="44"/>
      <c r="I45" s="44"/>
      <c r="J45" s="44"/>
      <c r="K45" s="44"/>
      <c r="L45" s="44"/>
      <c r="M45" s="44"/>
      <c r="N45" s="76"/>
      <c r="O45" s="31"/>
      <c r="P45" s="31"/>
      <c r="Q45" s="31"/>
      <c r="R45" s="31"/>
      <c r="S45" s="31"/>
      <c r="T45" s="93">
        <v>4262300</v>
      </c>
      <c r="U45" s="93">
        <f>T45*1.018</f>
        <v>4339021.4</v>
      </c>
      <c r="V45" s="93">
        <f>U45*1.018</f>
        <v>4417123.785200001</v>
      </c>
    </row>
    <row r="46" spans="1:22" s="6" customFormat="1" ht="15.75" customHeight="1">
      <c r="A46" s="21"/>
      <c r="B46" s="28" t="s">
        <v>119</v>
      </c>
      <c r="C46" s="38"/>
      <c r="D46" s="36"/>
      <c r="E46" s="39"/>
      <c r="F46" s="58"/>
      <c r="G46" s="44"/>
      <c r="H46" s="44"/>
      <c r="I46" s="44">
        <v>1315000000</v>
      </c>
      <c r="J46" s="77">
        <v>1550000000</v>
      </c>
      <c r="K46" s="44"/>
      <c r="L46" s="44"/>
      <c r="M46" s="44"/>
      <c r="N46" s="76"/>
      <c r="O46" s="31"/>
      <c r="P46" s="31"/>
      <c r="Q46" s="31"/>
      <c r="R46" s="31"/>
      <c r="S46" s="31"/>
      <c r="T46" s="93">
        <v>7148200</v>
      </c>
      <c r="U46" s="93">
        <f>T46*1.018</f>
        <v>7276867.600000001</v>
      </c>
      <c r="V46" s="93">
        <f>U46*1.018</f>
        <v>7407851.2168000005</v>
      </c>
    </row>
    <row r="47" spans="1:22" s="6" customFormat="1" ht="15.75" customHeight="1">
      <c r="A47" s="21"/>
      <c r="B47" s="28" t="s">
        <v>120</v>
      </c>
      <c r="C47" s="38"/>
      <c r="D47" s="36"/>
      <c r="E47" s="39"/>
      <c r="F47" s="58"/>
      <c r="G47" s="44"/>
      <c r="H47" s="44"/>
      <c r="I47" s="44"/>
      <c r="J47" s="44"/>
      <c r="K47" s="44"/>
      <c r="L47" s="44"/>
      <c r="M47" s="44"/>
      <c r="N47" s="76"/>
      <c r="O47" s="31"/>
      <c r="P47" s="31"/>
      <c r="Q47" s="31"/>
      <c r="R47" s="31"/>
      <c r="S47" s="31"/>
      <c r="T47" s="93">
        <v>3235793674</v>
      </c>
      <c r="U47" s="156">
        <f>T47*1.02</f>
        <v>3300509547.48</v>
      </c>
      <c r="V47" s="156">
        <f>U47*1.04</f>
        <v>3432529929.3792</v>
      </c>
    </row>
    <row r="48" spans="1:22" s="6" customFormat="1" ht="15.75" customHeight="1">
      <c r="A48" s="21"/>
      <c r="B48" s="28" t="s">
        <v>121</v>
      </c>
      <c r="C48" s="38"/>
      <c r="D48" s="36"/>
      <c r="E48" s="44">
        <v>15000000</v>
      </c>
      <c r="F48" s="44">
        <v>2000000</v>
      </c>
      <c r="G48" s="44">
        <v>3500000</v>
      </c>
      <c r="H48" s="44">
        <v>2000000</v>
      </c>
      <c r="I48" s="44">
        <v>500000</v>
      </c>
      <c r="J48" s="44">
        <v>500000</v>
      </c>
      <c r="K48" s="44">
        <v>500000</v>
      </c>
      <c r="L48" s="44">
        <v>500000</v>
      </c>
      <c r="M48" s="44">
        <v>6500000</v>
      </c>
      <c r="N48" s="76">
        <v>5500000</v>
      </c>
      <c r="O48" s="31">
        <v>500000</v>
      </c>
      <c r="P48" s="31">
        <v>1500000</v>
      </c>
      <c r="Q48" s="31"/>
      <c r="R48" s="31"/>
      <c r="S48" s="31"/>
      <c r="T48" s="93">
        <v>75110233</v>
      </c>
      <c r="U48" s="93">
        <f>T48*1.018</f>
        <v>76462217.194</v>
      </c>
      <c r="V48" s="93">
        <f>U48*1.018</f>
        <v>77838537.103492</v>
      </c>
    </row>
    <row r="49" spans="1:22" s="6" customFormat="1" ht="15.75" customHeight="1">
      <c r="A49" s="21"/>
      <c r="B49" s="28" t="s">
        <v>122</v>
      </c>
      <c r="C49" s="38"/>
      <c r="D49" s="36"/>
      <c r="E49" s="44">
        <v>7500000</v>
      </c>
      <c r="F49" s="44">
        <v>3150000</v>
      </c>
      <c r="G49" s="44">
        <v>2500000</v>
      </c>
      <c r="H49" s="44">
        <v>500000</v>
      </c>
      <c r="I49" s="44">
        <v>500000</v>
      </c>
      <c r="J49" s="44">
        <v>500000</v>
      </c>
      <c r="K49" s="44">
        <v>1000000</v>
      </c>
      <c r="L49" s="44">
        <v>500000</v>
      </c>
      <c r="M49" s="44">
        <v>1500000</v>
      </c>
      <c r="N49" s="76">
        <v>4000000</v>
      </c>
      <c r="O49" s="31">
        <v>500000</v>
      </c>
      <c r="P49" s="31">
        <v>500000</v>
      </c>
      <c r="Q49" s="31"/>
      <c r="R49" s="31"/>
      <c r="S49" s="31"/>
      <c r="T49" s="93">
        <v>71304288</v>
      </c>
      <c r="U49" s="93">
        <f>T49*1.018</f>
        <v>72587765.184</v>
      </c>
      <c r="V49" s="93">
        <f>U49*1.018</f>
        <v>73894344.957312</v>
      </c>
    </row>
    <row r="50" spans="1:22" s="6" customFormat="1" ht="13.5" customHeight="1">
      <c r="A50" s="21"/>
      <c r="B50" s="28" t="s">
        <v>123</v>
      </c>
      <c r="C50" s="38"/>
      <c r="D50" s="36"/>
      <c r="E50" s="44"/>
      <c r="F50" s="44"/>
      <c r="G50" s="44"/>
      <c r="H50" s="44"/>
      <c r="I50" s="44"/>
      <c r="J50" s="44"/>
      <c r="K50" s="44"/>
      <c r="L50" s="44"/>
      <c r="M50" s="44"/>
      <c r="N50" s="76"/>
      <c r="O50" s="31"/>
      <c r="P50" s="31"/>
      <c r="Q50" s="31"/>
      <c r="R50" s="31"/>
      <c r="S50" s="31">
        <v>40000000</v>
      </c>
      <c r="T50" s="93">
        <v>32599799</v>
      </c>
      <c r="U50" s="93">
        <f>T50*1.018</f>
        <v>33186595.382</v>
      </c>
      <c r="V50" s="93">
        <f>U50*1.018</f>
        <v>33783954.098876</v>
      </c>
    </row>
    <row r="51" spans="1:22" s="6" customFormat="1" ht="15.75" customHeight="1">
      <c r="A51" s="21"/>
      <c r="B51" s="28" t="s">
        <v>42</v>
      </c>
      <c r="C51" s="38"/>
      <c r="D51" s="36"/>
      <c r="E51" s="44">
        <v>2100000</v>
      </c>
      <c r="F51" s="77">
        <v>11500000</v>
      </c>
      <c r="G51" s="44">
        <v>2100000</v>
      </c>
      <c r="H51" s="44"/>
      <c r="I51" s="44"/>
      <c r="J51" s="44"/>
      <c r="K51" s="44">
        <v>12500000</v>
      </c>
      <c r="L51" s="44">
        <v>1050000</v>
      </c>
      <c r="M51" s="44">
        <v>500000</v>
      </c>
      <c r="N51" s="76"/>
      <c r="O51" s="31"/>
      <c r="P51" s="31"/>
      <c r="Q51" s="31"/>
      <c r="R51" s="31"/>
      <c r="S51" s="31"/>
      <c r="T51" s="93">
        <v>7032857</v>
      </c>
      <c r="U51" s="93">
        <f>T51*1.018</f>
        <v>7159448.426</v>
      </c>
      <c r="V51" s="93">
        <f>U51*1.018</f>
        <v>7288318.497668</v>
      </c>
    </row>
    <row r="52" spans="1:22" s="6" customFormat="1" ht="15.75" customHeight="1">
      <c r="A52" s="21"/>
      <c r="B52" s="28" t="s">
        <v>43</v>
      </c>
      <c r="C52" s="38"/>
      <c r="D52" s="36"/>
      <c r="E52" s="44"/>
      <c r="F52" s="44"/>
      <c r="G52" s="44"/>
      <c r="H52" s="44"/>
      <c r="I52" s="44"/>
      <c r="J52" s="44"/>
      <c r="K52" s="44"/>
      <c r="L52" s="44"/>
      <c r="M52" s="44"/>
      <c r="N52" s="76"/>
      <c r="O52" s="31"/>
      <c r="P52" s="31"/>
      <c r="Q52" s="31"/>
      <c r="R52" s="31"/>
      <c r="S52" s="31"/>
      <c r="T52" s="93">
        <v>6044590</v>
      </c>
      <c r="U52" s="93">
        <f>T52*1.018</f>
        <v>6153392.62</v>
      </c>
      <c r="V52" s="93">
        <f>U52*1.018</f>
        <v>6264153.68716</v>
      </c>
    </row>
    <row r="53" spans="1:22" s="6" customFormat="1" ht="15.75" customHeight="1">
      <c r="A53" s="21"/>
      <c r="B53" s="28" t="s">
        <v>44</v>
      </c>
      <c r="C53" s="38"/>
      <c r="D53" s="36"/>
      <c r="E53" s="44">
        <v>210000000</v>
      </c>
      <c r="F53" s="44">
        <v>3000000</v>
      </c>
      <c r="G53" s="44"/>
      <c r="H53" s="44">
        <v>8000000</v>
      </c>
      <c r="I53" s="44"/>
      <c r="J53" s="44"/>
      <c r="K53" s="44"/>
      <c r="L53" s="44"/>
      <c r="M53" s="44">
        <v>8000000</v>
      </c>
      <c r="N53" s="76"/>
      <c r="O53" s="31"/>
      <c r="P53" s="31"/>
      <c r="Q53" s="31"/>
      <c r="R53" s="31"/>
      <c r="S53" s="31"/>
      <c r="T53" s="93">
        <v>30690029</v>
      </c>
      <c r="U53" s="93">
        <f>T53*1.018</f>
        <v>31242449.522</v>
      </c>
      <c r="V53" s="93">
        <f>U53*1.018</f>
        <v>31804813.613396</v>
      </c>
    </row>
    <row r="54" spans="1:22" s="6" customFormat="1" ht="15.75" customHeight="1">
      <c r="A54" s="21"/>
      <c r="B54" s="28" t="s">
        <v>45</v>
      </c>
      <c r="C54" s="38"/>
      <c r="D54" s="36"/>
      <c r="E54" s="44">
        <v>15000000</v>
      </c>
      <c r="F54" s="44"/>
      <c r="G54" s="44"/>
      <c r="H54" s="44">
        <v>750000</v>
      </c>
      <c r="I54" s="77"/>
      <c r="J54" s="77"/>
      <c r="K54" s="44"/>
      <c r="L54" s="44"/>
      <c r="M54" s="44"/>
      <c r="N54" s="76"/>
      <c r="O54" s="31"/>
      <c r="P54" s="31"/>
      <c r="Q54" s="31"/>
      <c r="R54" s="31"/>
      <c r="S54" s="31"/>
      <c r="T54" s="93">
        <v>254690080</v>
      </c>
      <c r="U54" s="93">
        <f>T54*1.018</f>
        <v>259274501.44</v>
      </c>
      <c r="V54" s="93">
        <f>U54*1.018</f>
        <v>263941442.46592</v>
      </c>
    </row>
    <row r="55" spans="1:22" s="6" customFormat="1" ht="15.75" customHeight="1">
      <c r="A55" s="94"/>
      <c r="B55" s="99" t="s">
        <v>124</v>
      </c>
      <c r="C55" s="9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93">
        <v>15950000</v>
      </c>
      <c r="U55" s="93">
        <f>T55*1.018</f>
        <v>16237100</v>
      </c>
      <c r="V55" s="93">
        <f>U55*1.018</f>
        <v>16529367.8</v>
      </c>
    </row>
    <row r="56" spans="1:22" s="6" customFormat="1" ht="15.75" customHeight="1">
      <c r="A56" s="24" t="s">
        <v>46</v>
      </c>
      <c r="B56" s="100"/>
      <c r="C56" s="101"/>
      <c r="D56" s="102"/>
      <c r="E56" s="44">
        <v>35000000</v>
      </c>
      <c r="F56" s="44">
        <v>500000</v>
      </c>
      <c r="G56" s="44">
        <v>2750000</v>
      </c>
      <c r="H56" s="44">
        <v>4500000</v>
      </c>
      <c r="I56" s="44">
        <v>3885000</v>
      </c>
      <c r="J56" s="43">
        <v>3000000</v>
      </c>
      <c r="K56" s="44"/>
      <c r="L56" s="44"/>
      <c r="M56" s="44">
        <v>4000000</v>
      </c>
      <c r="N56" s="76">
        <v>9000000</v>
      </c>
      <c r="O56" s="31"/>
      <c r="P56" s="31">
        <v>2900000</v>
      </c>
      <c r="Q56" s="31"/>
      <c r="R56" s="31"/>
      <c r="S56" s="31"/>
      <c r="T56" s="130">
        <f>SUM(T57:T103)</f>
        <v>5539247140</v>
      </c>
      <c r="U56" s="130">
        <f>SUM(U57:U103)</f>
        <v>5638953588.520001</v>
      </c>
      <c r="V56" s="130">
        <f>SUM(V57:V103)</f>
        <v>5740454753.113361</v>
      </c>
    </row>
    <row r="57" spans="1:22" s="6" customFormat="1" ht="15.75" customHeight="1">
      <c r="A57" s="21"/>
      <c r="B57" s="28" t="s">
        <v>125</v>
      </c>
      <c r="C57" s="38"/>
      <c r="D57" s="36"/>
      <c r="E57" s="77">
        <v>86000000</v>
      </c>
      <c r="F57" s="44"/>
      <c r="G57" s="44">
        <v>9714000</v>
      </c>
      <c r="H57" s="44">
        <v>3000000</v>
      </c>
      <c r="I57" s="44">
        <v>2650000</v>
      </c>
      <c r="J57" s="44">
        <v>400000</v>
      </c>
      <c r="K57" s="44"/>
      <c r="L57" s="44"/>
      <c r="M57" s="44">
        <v>4925000</v>
      </c>
      <c r="N57" s="76">
        <v>500000</v>
      </c>
      <c r="O57" s="30"/>
      <c r="P57" s="31">
        <v>3555000</v>
      </c>
      <c r="Q57" s="31"/>
      <c r="R57" s="31"/>
      <c r="S57" s="31"/>
      <c r="T57" s="93">
        <v>1638480</v>
      </c>
      <c r="U57" s="93">
        <f>T57*1.018</f>
        <v>1667972.6400000001</v>
      </c>
      <c r="V57" s="93">
        <f>U57*1.018</f>
        <v>1697996.14752</v>
      </c>
    </row>
    <row r="58" spans="1:22" s="6" customFormat="1" ht="15.75" customHeight="1">
      <c r="A58" s="21"/>
      <c r="B58" s="28" t="s">
        <v>126</v>
      </c>
      <c r="C58" s="38"/>
      <c r="D58" s="36"/>
      <c r="E58" s="77"/>
      <c r="F58" s="44"/>
      <c r="G58" s="44"/>
      <c r="H58" s="44"/>
      <c r="I58" s="44"/>
      <c r="J58" s="44"/>
      <c r="K58" s="44"/>
      <c r="L58" s="44"/>
      <c r="M58" s="44"/>
      <c r="N58" s="76">
        <v>4500000</v>
      </c>
      <c r="O58" s="27"/>
      <c r="P58" s="31"/>
      <c r="Q58" s="31"/>
      <c r="R58" s="31"/>
      <c r="S58" s="31"/>
      <c r="T58" s="93">
        <v>7479250</v>
      </c>
      <c r="U58" s="93">
        <f>T58*1.018</f>
        <v>7613876.5</v>
      </c>
      <c r="V58" s="93">
        <f>U58*1.018</f>
        <v>7750926.277</v>
      </c>
    </row>
    <row r="59" spans="1:22" s="6" customFormat="1" ht="15.75" customHeight="1">
      <c r="A59" s="21"/>
      <c r="B59" s="28" t="s">
        <v>127</v>
      </c>
      <c r="C59" s="38"/>
      <c r="D59" s="36"/>
      <c r="E59" s="77">
        <v>200000</v>
      </c>
      <c r="F59" s="44">
        <v>200000</v>
      </c>
      <c r="G59" s="44">
        <v>200000</v>
      </c>
      <c r="H59" s="44">
        <v>200000</v>
      </c>
      <c r="I59" s="44">
        <v>200000</v>
      </c>
      <c r="J59" s="44">
        <v>200000</v>
      </c>
      <c r="K59" s="44">
        <v>200000</v>
      </c>
      <c r="L59" s="44">
        <v>200000</v>
      </c>
      <c r="M59" s="44">
        <v>200000</v>
      </c>
      <c r="N59" s="76">
        <v>200000</v>
      </c>
      <c r="O59" s="27">
        <v>200000</v>
      </c>
      <c r="P59" s="31">
        <v>200000</v>
      </c>
      <c r="Q59" s="31"/>
      <c r="R59" s="31"/>
      <c r="S59" s="31"/>
      <c r="T59" s="93">
        <v>18309204</v>
      </c>
      <c r="U59" s="93">
        <f>T59*1.018</f>
        <v>18638769.672000002</v>
      </c>
      <c r="V59" s="93">
        <f>U59*1.018</f>
        <v>18974267.526096</v>
      </c>
    </row>
    <row r="60" spans="1:22" s="6" customFormat="1" ht="15.75" customHeight="1">
      <c r="A60" s="21"/>
      <c r="B60" s="52" t="s">
        <v>47</v>
      </c>
      <c r="C60" s="53"/>
      <c r="D60" s="46"/>
      <c r="E60" s="43">
        <v>88000000</v>
      </c>
      <c r="F60" s="79"/>
      <c r="G60" s="43">
        <v>4200000</v>
      </c>
      <c r="H60" s="44">
        <v>5000000</v>
      </c>
      <c r="I60" s="43">
        <v>1000000</v>
      </c>
      <c r="J60" s="43">
        <v>1000000</v>
      </c>
      <c r="K60" s="43"/>
      <c r="L60" s="43"/>
      <c r="M60" s="80">
        <v>40000000</v>
      </c>
      <c r="N60" s="78">
        <v>30000000</v>
      </c>
      <c r="O60" s="30"/>
      <c r="P60" s="31">
        <v>27000000</v>
      </c>
      <c r="Q60" s="31"/>
      <c r="R60" s="31"/>
      <c r="S60" s="31"/>
      <c r="T60" s="93">
        <v>128392063</v>
      </c>
      <c r="U60" s="93">
        <f>T60*1.018</f>
        <v>130703120.134</v>
      </c>
      <c r="V60" s="93">
        <f>U60*1.018</f>
        <v>133055776.296412</v>
      </c>
    </row>
    <row r="61" spans="1:22" s="6" customFormat="1" ht="15.75" customHeight="1">
      <c r="A61" s="21"/>
      <c r="B61" s="28" t="s">
        <v>48</v>
      </c>
      <c r="C61" s="38"/>
      <c r="D61" s="36"/>
      <c r="E61" s="77">
        <v>25000000</v>
      </c>
      <c r="F61" s="44">
        <v>500000</v>
      </c>
      <c r="G61" s="44">
        <v>800000</v>
      </c>
      <c r="H61" s="44">
        <v>1800000</v>
      </c>
      <c r="I61" s="44">
        <v>350000</v>
      </c>
      <c r="J61" s="77">
        <v>1000000</v>
      </c>
      <c r="K61" s="44"/>
      <c r="L61" s="44"/>
      <c r="M61" s="44">
        <v>1000000</v>
      </c>
      <c r="N61" s="76">
        <v>500000</v>
      </c>
      <c r="O61" s="27"/>
      <c r="P61" s="31">
        <v>800000</v>
      </c>
      <c r="Q61" s="31"/>
      <c r="R61" s="31"/>
      <c r="S61" s="31"/>
      <c r="T61" s="93">
        <v>105867658</v>
      </c>
      <c r="U61" s="93">
        <f>T61*1.018</f>
        <v>107773275.844</v>
      </c>
      <c r="V61" s="93">
        <f>U61*1.018</f>
        <v>109713194.809192</v>
      </c>
    </row>
    <row r="62" spans="1:22" s="6" customFormat="1" ht="15.75" customHeight="1">
      <c r="A62" s="21"/>
      <c r="B62" s="28" t="s">
        <v>128</v>
      </c>
      <c r="C62" s="38"/>
      <c r="D62" s="36"/>
      <c r="E62" s="77">
        <f>32744250+3000000</f>
        <v>35744250</v>
      </c>
      <c r="F62" s="44">
        <v>4851000</v>
      </c>
      <c r="G62" s="44">
        <v>2182950</v>
      </c>
      <c r="H62" s="44">
        <v>2129400</v>
      </c>
      <c r="I62" s="44">
        <v>10914750</v>
      </c>
      <c r="J62" s="44">
        <v>14553000</v>
      </c>
      <c r="K62" s="44">
        <v>727650</v>
      </c>
      <c r="L62" s="44">
        <v>693000</v>
      </c>
      <c r="M62" s="44">
        <v>2079000</v>
      </c>
      <c r="N62" s="76">
        <v>1000000</v>
      </c>
      <c r="O62" s="76">
        <v>1000000</v>
      </c>
      <c r="P62" s="76">
        <v>1000000</v>
      </c>
      <c r="Q62" s="76"/>
      <c r="R62" s="76"/>
      <c r="S62" s="76"/>
      <c r="T62" s="93">
        <v>140373043</v>
      </c>
      <c r="U62" s="93">
        <f>T62*1.018</f>
        <v>142899757.774</v>
      </c>
      <c r="V62" s="93">
        <f>U62*1.018</f>
        <v>145471953.413932</v>
      </c>
    </row>
    <row r="63" spans="1:22" s="6" customFormat="1" ht="15.75" customHeight="1">
      <c r="A63" s="21"/>
      <c r="B63" s="28" t="s">
        <v>129</v>
      </c>
      <c r="C63" s="38"/>
      <c r="D63" s="81"/>
      <c r="E63" s="44">
        <f>25573000-2200000</f>
        <v>23373000</v>
      </c>
      <c r="F63" s="44">
        <v>4350000</v>
      </c>
      <c r="G63" s="44">
        <v>1750000</v>
      </c>
      <c r="H63" s="44">
        <v>1975000</v>
      </c>
      <c r="I63" s="44">
        <f>8134000-3000000</f>
        <v>5134000</v>
      </c>
      <c r="J63" s="44">
        <f>11900000-3000000</f>
        <v>8900000</v>
      </c>
      <c r="K63" s="44">
        <v>592000</v>
      </c>
      <c r="L63" s="44">
        <v>590000</v>
      </c>
      <c r="M63" s="44">
        <v>1584000</v>
      </c>
      <c r="N63" s="44">
        <v>592000</v>
      </c>
      <c r="O63" s="44">
        <v>592000</v>
      </c>
      <c r="P63" s="44">
        <v>592000</v>
      </c>
      <c r="Q63" s="44"/>
      <c r="R63" s="44"/>
      <c r="S63" s="44"/>
      <c r="T63" s="93">
        <v>52064751</v>
      </c>
      <c r="U63" s="93">
        <f>T63*1.018</f>
        <v>53001916.518</v>
      </c>
      <c r="V63" s="93">
        <f>U63*1.018</f>
        <v>53955951.015324</v>
      </c>
    </row>
    <row r="64" spans="1:22" s="6" customFormat="1" ht="15.75" customHeight="1">
      <c r="A64" s="21"/>
      <c r="B64" s="28" t="s">
        <v>49</v>
      </c>
      <c r="C64" s="38"/>
      <c r="D64" s="36"/>
      <c r="E64" s="44">
        <v>55000000</v>
      </c>
      <c r="F64" s="44">
        <v>2000000</v>
      </c>
      <c r="G64" s="44"/>
      <c r="H64" s="44"/>
      <c r="I64" s="44">
        <v>1500000</v>
      </c>
      <c r="J64" s="44">
        <v>1000000</v>
      </c>
      <c r="K64" s="44"/>
      <c r="L64" s="44"/>
      <c r="M64" s="44"/>
      <c r="N64" s="44"/>
      <c r="O64" s="44">
        <v>500000</v>
      </c>
      <c r="P64" s="44"/>
      <c r="Q64" s="44"/>
      <c r="R64" s="44"/>
      <c r="S64" s="44"/>
      <c r="T64" s="93">
        <v>182400000</v>
      </c>
      <c r="U64" s="93">
        <f>T64*1.018</f>
        <v>185683200</v>
      </c>
      <c r="V64" s="93">
        <f>U64*1.018</f>
        <v>189025497.6</v>
      </c>
    </row>
    <row r="65" spans="1:22" s="6" customFormat="1" ht="15.75" customHeight="1">
      <c r="A65" s="21"/>
      <c r="B65" s="28" t="s">
        <v>50</v>
      </c>
      <c r="C65" s="38"/>
      <c r="D65" s="36"/>
      <c r="E65" s="82">
        <f>48800000+6600000+2200000</f>
        <v>57600000</v>
      </c>
      <c r="F65" s="82">
        <v>2200000</v>
      </c>
      <c r="G65" s="82">
        <v>2200000</v>
      </c>
      <c r="H65" s="82">
        <v>2200000</v>
      </c>
      <c r="I65" s="83">
        <f>11350033-5000000</f>
        <v>6350033</v>
      </c>
      <c r="J65" s="84">
        <f>12430524-7000000</f>
        <v>5430524</v>
      </c>
      <c r="K65" s="44">
        <v>2200000</v>
      </c>
      <c r="L65" s="44"/>
      <c r="M65" s="44">
        <v>2200000</v>
      </c>
      <c r="N65" s="44">
        <v>2200000</v>
      </c>
      <c r="O65" s="44">
        <v>2200000</v>
      </c>
      <c r="P65" s="44">
        <v>2200000</v>
      </c>
      <c r="Q65" s="44"/>
      <c r="R65" s="44"/>
      <c r="S65" s="44"/>
      <c r="T65" s="93">
        <v>64749600</v>
      </c>
      <c r="U65" s="93">
        <f>T65*1.018</f>
        <v>65915092.800000004</v>
      </c>
      <c r="V65" s="93">
        <f>U65*1.018</f>
        <v>67101564.470400006</v>
      </c>
    </row>
    <row r="66" spans="1:22" s="6" customFormat="1" ht="15.75" customHeight="1">
      <c r="A66" s="21"/>
      <c r="B66" s="28" t="s">
        <v>51</v>
      </c>
      <c r="C66" s="38"/>
      <c r="D66" s="36"/>
      <c r="E66" s="44">
        <f>(47250000-5000000)-1500000</f>
        <v>40750000</v>
      </c>
      <c r="F66" s="44"/>
      <c r="G66" s="44">
        <v>5000000</v>
      </c>
      <c r="H66" s="44"/>
      <c r="I66" s="44"/>
      <c r="J66" s="44"/>
      <c r="K66" s="44"/>
      <c r="L66" s="44"/>
      <c r="M66" s="44"/>
      <c r="N66" s="76"/>
      <c r="O66" s="27"/>
      <c r="P66" s="31">
        <v>1500000</v>
      </c>
      <c r="Q66" s="31"/>
      <c r="R66" s="31"/>
      <c r="S66" s="31"/>
      <c r="T66" s="93">
        <v>39156264</v>
      </c>
      <c r="U66" s="93">
        <f>T66*1.018</f>
        <v>39861076.752000004</v>
      </c>
      <c r="V66" s="93">
        <f>U66*1.018</f>
        <v>40578576.133536</v>
      </c>
    </row>
    <row r="67" spans="1:22" s="6" customFormat="1" ht="15.75" customHeight="1">
      <c r="A67" s="21"/>
      <c r="B67" s="28" t="s">
        <v>52</v>
      </c>
      <c r="C67" s="38"/>
      <c r="D67" s="36"/>
      <c r="E67" s="44">
        <v>80000000</v>
      </c>
      <c r="F67" s="44"/>
      <c r="G67" s="44">
        <v>14000000</v>
      </c>
      <c r="H67" s="44">
        <v>5500000</v>
      </c>
      <c r="I67" s="44"/>
      <c r="J67" s="44"/>
      <c r="K67" s="44"/>
      <c r="L67" s="44"/>
      <c r="M67" s="44"/>
      <c r="N67" s="76"/>
      <c r="O67" s="27"/>
      <c r="P67" s="31">
        <v>5000000</v>
      </c>
      <c r="Q67" s="31"/>
      <c r="R67" s="31"/>
      <c r="S67" s="31"/>
      <c r="T67" s="93">
        <v>122580431</v>
      </c>
      <c r="U67" s="93">
        <f>T67*1.018</f>
        <v>124786878.758</v>
      </c>
      <c r="V67" s="93">
        <f>U67*1.018</f>
        <v>127033042.575644</v>
      </c>
    </row>
    <row r="68" spans="1:22" s="6" customFormat="1" ht="15.75" customHeight="1">
      <c r="A68" s="21"/>
      <c r="B68" s="28" t="s">
        <v>53</v>
      </c>
      <c r="C68" s="38"/>
      <c r="D68" s="36"/>
      <c r="E68" s="44">
        <v>35000000</v>
      </c>
      <c r="F68" s="44">
        <v>2000000</v>
      </c>
      <c r="G68" s="44">
        <v>2000000</v>
      </c>
      <c r="H68" s="44"/>
      <c r="I68" s="44"/>
      <c r="J68" s="44"/>
      <c r="K68" s="44"/>
      <c r="L68" s="44"/>
      <c r="M68" s="44"/>
      <c r="N68" s="76"/>
      <c r="O68" s="27"/>
      <c r="P68" s="31"/>
      <c r="Q68" s="31"/>
      <c r="R68" s="31"/>
      <c r="S68" s="31"/>
      <c r="T68" s="93">
        <v>640305000</v>
      </c>
      <c r="U68" s="93">
        <f>T68*1.018</f>
        <v>651830490</v>
      </c>
      <c r="V68" s="93">
        <f>U68*1.018</f>
        <v>663563438.82</v>
      </c>
    </row>
    <row r="69" spans="1:22" s="6" customFormat="1" ht="15.75" customHeight="1">
      <c r="A69" s="21"/>
      <c r="B69" s="28" t="s">
        <v>130</v>
      </c>
      <c r="C69" s="38"/>
      <c r="D69" s="36"/>
      <c r="E69" s="44">
        <v>205000000</v>
      </c>
      <c r="F69" s="77">
        <v>5000000</v>
      </c>
      <c r="G69" s="44">
        <v>35000000</v>
      </c>
      <c r="H69" s="44">
        <v>45150000</v>
      </c>
      <c r="I69" s="44">
        <v>8767500</v>
      </c>
      <c r="J69" s="44">
        <v>8767500</v>
      </c>
      <c r="K69" s="44"/>
      <c r="L69" s="44"/>
      <c r="M69" s="44">
        <v>31500000</v>
      </c>
      <c r="N69" s="76">
        <v>14000000</v>
      </c>
      <c r="O69" s="27"/>
      <c r="P69" s="76">
        <v>24500000</v>
      </c>
      <c r="Q69" s="30"/>
      <c r="R69" s="30"/>
      <c r="S69" s="30"/>
      <c r="T69" s="93">
        <v>191977000</v>
      </c>
      <c r="U69" s="93">
        <f>T69*1.018</f>
        <v>195432586</v>
      </c>
      <c r="V69" s="93">
        <f>U69*1.018</f>
        <v>198950372.548</v>
      </c>
    </row>
    <row r="70" spans="1:22" s="6" customFormat="1" ht="15.75" customHeight="1">
      <c r="A70" s="21"/>
      <c r="B70" s="28" t="s">
        <v>131</v>
      </c>
      <c r="C70" s="38"/>
      <c r="D70" s="36"/>
      <c r="E70" s="44">
        <v>62500000</v>
      </c>
      <c r="F70" s="44"/>
      <c r="G70" s="44">
        <v>7800000</v>
      </c>
      <c r="H70" s="44"/>
      <c r="I70" s="44"/>
      <c r="J70" s="44">
        <v>75000000</v>
      </c>
      <c r="K70" s="44"/>
      <c r="L70" s="44"/>
      <c r="M70" s="44"/>
      <c r="N70" s="76">
        <v>136000000</v>
      </c>
      <c r="O70" s="27"/>
      <c r="P70" s="31"/>
      <c r="Q70" s="31"/>
      <c r="R70" s="31"/>
      <c r="S70" s="31"/>
      <c r="T70" s="93">
        <v>16640000</v>
      </c>
      <c r="U70" s="93">
        <f>T70*1.018</f>
        <v>16939520</v>
      </c>
      <c r="V70" s="93">
        <f>U70*1.018</f>
        <v>17244431.36</v>
      </c>
    </row>
    <row r="71" spans="1:22" s="6" customFormat="1" ht="15.75" customHeight="1">
      <c r="A71" s="21"/>
      <c r="B71" s="28" t="s">
        <v>132</v>
      </c>
      <c r="C71" s="38"/>
      <c r="D71" s="36"/>
      <c r="E71" s="44">
        <v>63000000</v>
      </c>
      <c r="F71" s="44"/>
      <c r="G71" s="44"/>
      <c r="H71" s="44">
        <v>120000000</v>
      </c>
      <c r="I71" s="44"/>
      <c r="J71" s="44"/>
      <c r="K71" s="44"/>
      <c r="L71" s="44"/>
      <c r="M71" s="44"/>
      <c r="N71" s="76">
        <f>60000000</f>
        <v>60000000</v>
      </c>
      <c r="O71" s="44"/>
      <c r="P71" s="44"/>
      <c r="Q71" s="44"/>
      <c r="R71" s="44">
        <v>54000000</v>
      </c>
      <c r="S71" s="44">
        <v>54000000</v>
      </c>
      <c r="T71" s="93">
        <v>22500000</v>
      </c>
      <c r="U71" s="93">
        <f>T71*1.018</f>
        <v>22905000</v>
      </c>
      <c r="V71" s="93">
        <f>U71*1.018</f>
        <v>23317290</v>
      </c>
    </row>
    <row r="72" spans="1:22" s="6" customFormat="1" ht="15.75" customHeight="1">
      <c r="A72" s="21"/>
      <c r="B72" s="28" t="s">
        <v>54</v>
      </c>
      <c r="C72" s="38"/>
      <c r="D72" s="36"/>
      <c r="E72" s="44">
        <v>3675000</v>
      </c>
      <c r="F72" s="44"/>
      <c r="G72" s="44">
        <v>500000</v>
      </c>
      <c r="H72" s="44">
        <v>7600000</v>
      </c>
      <c r="I72" s="44"/>
      <c r="J72" s="44"/>
      <c r="K72" s="44"/>
      <c r="L72" s="44"/>
      <c r="M72" s="44"/>
      <c r="N72" s="76"/>
      <c r="O72" s="27"/>
      <c r="P72" s="31"/>
      <c r="Q72" s="31"/>
      <c r="R72" s="31"/>
      <c r="S72" s="31"/>
      <c r="T72" s="93">
        <v>18628571</v>
      </c>
      <c r="U72" s="93">
        <f>T72*1.018</f>
        <v>18963885.278</v>
      </c>
      <c r="V72" s="93">
        <f>U72*1.018</f>
        <v>19305235.213004</v>
      </c>
    </row>
    <row r="73" spans="1:22" s="6" customFormat="1" ht="15.75" customHeight="1">
      <c r="A73" s="21"/>
      <c r="B73" s="28" t="s">
        <v>133</v>
      </c>
      <c r="C73" s="38"/>
      <c r="D73" s="36"/>
      <c r="E73" s="44"/>
      <c r="F73" s="44">
        <v>100000000</v>
      </c>
      <c r="G73" s="44">
        <v>30000000</v>
      </c>
      <c r="H73" s="44">
        <v>18000000</v>
      </c>
      <c r="I73" s="44"/>
      <c r="J73" s="44"/>
      <c r="K73" s="44"/>
      <c r="L73" s="44"/>
      <c r="M73" s="44"/>
      <c r="N73" s="76"/>
      <c r="O73" s="27"/>
      <c r="P73" s="31">
        <f>12*12000*365</f>
        <v>52560000</v>
      </c>
      <c r="Q73" s="31"/>
      <c r="R73" s="31"/>
      <c r="S73" s="31"/>
      <c r="T73" s="93">
        <v>73500000</v>
      </c>
      <c r="U73" s="93">
        <f>T73*1.018</f>
        <v>74823000</v>
      </c>
      <c r="V73" s="93">
        <f>U73*1.018</f>
        <v>76169814</v>
      </c>
    </row>
    <row r="74" spans="1:22" s="6" customFormat="1" ht="15.75" customHeight="1">
      <c r="A74" s="21"/>
      <c r="B74" s="28" t="s">
        <v>134</v>
      </c>
      <c r="C74" s="38"/>
      <c r="D74" s="36"/>
      <c r="E74" s="44"/>
      <c r="F74" s="44">
        <v>80000000</v>
      </c>
      <c r="G74" s="44"/>
      <c r="H74" s="44"/>
      <c r="I74" s="44"/>
      <c r="J74" s="44"/>
      <c r="K74" s="44"/>
      <c r="L74" s="44"/>
      <c r="M74" s="44"/>
      <c r="N74" s="76"/>
      <c r="O74" s="27"/>
      <c r="P74" s="31">
        <v>1500000</v>
      </c>
      <c r="Q74" s="31"/>
      <c r="R74" s="31"/>
      <c r="S74" s="31"/>
      <c r="T74" s="93">
        <v>7875000</v>
      </c>
      <c r="U74" s="93">
        <f>T74*1.018</f>
        <v>8016750</v>
      </c>
      <c r="V74" s="93">
        <f>U74*1.018</f>
        <v>8161051.5</v>
      </c>
    </row>
    <row r="75" spans="1:22" s="6" customFormat="1" ht="15.75" customHeight="1">
      <c r="A75" s="21"/>
      <c r="B75" s="28" t="s">
        <v>135</v>
      </c>
      <c r="C75" s="38"/>
      <c r="D75" s="36"/>
      <c r="E75" s="44">
        <v>30000000</v>
      </c>
      <c r="F75" s="44"/>
      <c r="G75" s="44"/>
      <c r="H75" s="44"/>
      <c r="I75" s="44"/>
      <c r="J75" s="44"/>
      <c r="K75" s="44"/>
      <c r="L75" s="44"/>
      <c r="M75" s="44"/>
      <c r="N75" s="76"/>
      <c r="O75" s="27"/>
      <c r="P75" s="31"/>
      <c r="Q75" s="31"/>
      <c r="R75" s="31"/>
      <c r="S75" s="31"/>
      <c r="T75" s="93">
        <v>261691769</v>
      </c>
      <c r="U75" s="93">
        <f>T75*1.018</f>
        <v>266402220.842</v>
      </c>
      <c r="V75" s="93">
        <f>U75*1.018</f>
        <v>271197460.817156</v>
      </c>
    </row>
    <row r="76" spans="1:22" s="6" customFormat="1" ht="15.75" customHeight="1">
      <c r="A76" s="21"/>
      <c r="B76" s="28" t="s">
        <v>136</v>
      </c>
      <c r="C76" s="38"/>
      <c r="D76" s="36"/>
      <c r="E76" s="44"/>
      <c r="F76" s="44">
        <v>460000000</v>
      </c>
      <c r="G76" s="44"/>
      <c r="H76" s="44"/>
      <c r="I76" s="44"/>
      <c r="J76" s="44"/>
      <c r="K76" s="44"/>
      <c r="L76" s="44"/>
      <c r="M76" s="44"/>
      <c r="N76" s="76"/>
      <c r="O76" s="27"/>
      <c r="P76" s="31"/>
      <c r="Q76" s="31"/>
      <c r="R76" s="31"/>
      <c r="S76" s="31"/>
      <c r="T76" s="93">
        <v>45257143</v>
      </c>
      <c r="U76" s="93">
        <f>T76*1.018</f>
        <v>46071771.574</v>
      </c>
      <c r="V76" s="93">
        <f>U76*1.018</f>
        <v>46901063.462332</v>
      </c>
    </row>
    <row r="77" spans="1:22" s="6" customFormat="1" ht="15.75" customHeight="1">
      <c r="A77" s="21"/>
      <c r="B77" s="28" t="s">
        <v>137</v>
      </c>
      <c r="C77" s="38"/>
      <c r="D77" s="36"/>
      <c r="E77" s="44">
        <v>2600000</v>
      </c>
      <c r="F77" s="44">
        <v>10500000</v>
      </c>
      <c r="G77" s="44">
        <v>1700000</v>
      </c>
      <c r="H77" s="44"/>
      <c r="I77" s="44"/>
      <c r="J77" s="44"/>
      <c r="K77" s="44">
        <v>2100000</v>
      </c>
      <c r="L77" s="44">
        <v>500000</v>
      </c>
      <c r="M77" s="44"/>
      <c r="N77" s="76"/>
      <c r="O77" s="27"/>
      <c r="P77" s="31"/>
      <c r="Q77" s="31"/>
      <c r="R77" s="31"/>
      <c r="S77" s="31"/>
      <c r="T77" s="93">
        <v>1505051527</v>
      </c>
      <c r="U77" s="93">
        <f>T77*1.018</f>
        <v>1532142454.486</v>
      </c>
      <c r="V77" s="93">
        <f>U77*1.018</f>
        <v>1559721018.666748</v>
      </c>
    </row>
    <row r="78" spans="1:22" s="6" customFormat="1" ht="15.75" customHeight="1">
      <c r="A78" s="21"/>
      <c r="B78" s="28" t="s">
        <v>55</v>
      </c>
      <c r="C78" s="38"/>
      <c r="D78" s="36"/>
      <c r="E78" s="44">
        <v>1500000</v>
      </c>
      <c r="F78" s="44">
        <v>9450000</v>
      </c>
      <c r="G78" s="44">
        <v>1500000</v>
      </c>
      <c r="H78" s="44"/>
      <c r="I78" s="44"/>
      <c r="J78" s="44"/>
      <c r="K78" s="44">
        <v>1700000</v>
      </c>
      <c r="L78" s="44">
        <v>530000</v>
      </c>
      <c r="M78" s="44"/>
      <c r="N78" s="76"/>
      <c r="O78" s="27"/>
      <c r="P78" s="31"/>
      <c r="Q78" s="31"/>
      <c r="R78" s="31"/>
      <c r="S78" s="31"/>
      <c r="T78" s="93">
        <v>72574088</v>
      </c>
      <c r="U78" s="93">
        <f>T78*1.018</f>
        <v>73880421.584</v>
      </c>
      <c r="V78" s="93">
        <f>U78*1.018</f>
        <v>75210269.17251201</v>
      </c>
    </row>
    <row r="79" spans="1:22" s="6" customFormat="1" ht="15.75" customHeight="1">
      <c r="A79" s="21"/>
      <c r="B79" s="28" t="s">
        <v>138</v>
      </c>
      <c r="C79" s="38"/>
      <c r="D79" s="36"/>
      <c r="E79" s="44">
        <v>1100000</v>
      </c>
      <c r="F79" s="44">
        <v>3990000</v>
      </c>
      <c r="G79" s="44"/>
      <c r="H79" s="44"/>
      <c r="I79" s="44"/>
      <c r="J79" s="44"/>
      <c r="K79" s="44"/>
      <c r="L79" s="44"/>
      <c r="M79" s="44"/>
      <c r="N79" s="76"/>
      <c r="O79" s="27"/>
      <c r="P79" s="31"/>
      <c r="Q79" s="31"/>
      <c r="R79" s="31"/>
      <c r="S79" s="31"/>
      <c r="T79" s="93">
        <v>5747400</v>
      </c>
      <c r="U79" s="93">
        <f>T79*1.018</f>
        <v>5850853.2</v>
      </c>
      <c r="V79" s="93">
        <f>U79*1.018</f>
        <v>5956168.5576</v>
      </c>
    </row>
    <row r="80" spans="1:22" s="6" customFormat="1" ht="15.75" customHeight="1">
      <c r="A80" s="21"/>
      <c r="B80" s="28" t="s">
        <v>139</v>
      </c>
      <c r="C80" s="38"/>
      <c r="D80" s="36"/>
      <c r="E80" s="44">
        <v>13000000</v>
      </c>
      <c r="F80" s="44">
        <v>6000000</v>
      </c>
      <c r="G80" s="44">
        <v>1000000</v>
      </c>
      <c r="H80" s="44">
        <v>1100000</v>
      </c>
      <c r="I80" s="44">
        <v>2000000</v>
      </c>
      <c r="J80" s="44">
        <v>2000000</v>
      </c>
      <c r="K80" s="44">
        <v>1400000</v>
      </c>
      <c r="L80" s="44">
        <v>50000</v>
      </c>
      <c r="M80" s="44">
        <v>2150000</v>
      </c>
      <c r="N80" s="76">
        <v>8000000</v>
      </c>
      <c r="O80" s="27"/>
      <c r="P80" s="31">
        <v>450000</v>
      </c>
      <c r="Q80" s="31">
        <v>500000</v>
      </c>
      <c r="R80" s="31">
        <v>2000000</v>
      </c>
      <c r="S80" s="31"/>
      <c r="T80" s="93">
        <v>995603576</v>
      </c>
      <c r="U80" s="93">
        <f>T80*1.018</f>
        <v>1013524440.368</v>
      </c>
      <c r="V80" s="93">
        <f>U80*1.018</f>
        <v>1031767880.2946241</v>
      </c>
    </row>
    <row r="81" spans="1:22" s="6" customFormat="1" ht="15.75" customHeight="1">
      <c r="A81" s="21"/>
      <c r="B81" s="28" t="s">
        <v>140</v>
      </c>
      <c r="C81" s="38"/>
      <c r="D81" s="36"/>
      <c r="E81" s="44">
        <v>8500000</v>
      </c>
      <c r="F81" s="44">
        <v>7350000</v>
      </c>
      <c r="G81" s="44">
        <v>750000</v>
      </c>
      <c r="H81" s="44">
        <v>100000</v>
      </c>
      <c r="I81" s="44">
        <v>300000</v>
      </c>
      <c r="J81" s="44">
        <v>300000</v>
      </c>
      <c r="K81" s="44">
        <v>100000</v>
      </c>
      <c r="L81" s="44"/>
      <c r="M81" s="44">
        <v>850000</v>
      </c>
      <c r="N81" s="76">
        <v>2800000</v>
      </c>
      <c r="O81" s="27">
        <v>2800000</v>
      </c>
      <c r="P81" s="31"/>
      <c r="Q81" s="31"/>
      <c r="R81" s="31"/>
      <c r="S81" s="31"/>
      <c r="T81" s="93">
        <v>8167000</v>
      </c>
      <c r="U81" s="93">
        <f>T81*1.018</f>
        <v>8314006</v>
      </c>
      <c r="V81" s="93">
        <f>U81*1.018</f>
        <v>8463658.108000001</v>
      </c>
    </row>
    <row r="82" spans="1:22" s="6" customFormat="1" ht="15.75" customHeight="1">
      <c r="A82" s="21"/>
      <c r="B82" s="52" t="s">
        <v>141</v>
      </c>
      <c r="C82" s="53"/>
      <c r="D82" s="54"/>
      <c r="E82" s="44">
        <v>5500000</v>
      </c>
      <c r="F82" s="44">
        <v>3500000</v>
      </c>
      <c r="G82" s="44">
        <v>2500000</v>
      </c>
      <c r="H82" s="44">
        <v>750000</v>
      </c>
      <c r="I82" s="44">
        <v>5000000</v>
      </c>
      <c r="J82" s="44">
        <v>4500000</v>
      </c>
      <c r="K82" s="44">
        <v>600000</v>
      </c>
      <c r="L82" s="44"/>
      <c r="M82" s="44">
        <v>735000</v>
      </c>
      <c r="N82" s="76">
        <v>1500000</v>
      </c>
      <c r="O82" s="27">
        <v>2100000</v>
      </c>
      <c r="P82" s="31">
        <v>2500000</v>
      </c>
      <c r="Q82" s="31"/>
      <c r="R82" s="31"/>
      <c r="S82" s="31"/>
      <c r="T82" s="93">
        <v>452013366</v>
      </c>
      <c r="U82" s="93">
        <f>T82*1.018</f>
        <v>460149606.588</v>
      </c>
      <c r="V82" s="93">
        <f>U82*1.018</f>
        <v>468432299.506584</v>
      </c>
    </row>
    <row r="83" spans="1:22" s="6" customFormat="1" ht="15.75" customHeight="1">
      <c r="A83" s="21"/>
      <c r="B83" s="52" t="s">
        <v>56</v>
      </c>
      <c r="C83" s="53"/>
      <c r="D83" s="46"/>
      <c r="E83" s="43">
        <v>500000</v>
      </c>
      <c r="F83" s="43">
        <v>500000</v>
      </c>
      <c r="G83" s="43">
        <v>500000</v>
      </c>
      <c r="H83" s="43"/>
      <c r="I83" s="43"/>
      <c r="J83" s="43"/>
      <c r="K83" s="43"/>
      <c r="L83" s="43"/>
      <c r="M83" s="43">
        <v>0</v>
      </c>
      <c r="N83" s="78">
        <v>500000</v>
      </c>
      <c r="O83" s="30"/>
      <c r="P83" s="31"/>
      <c r="Q83" s="31"/>
      <c r="R83" s="31"/>
      <c r="S83" s="31"/>
      <c r="T83" s="93">
        <v>9470553</v>
      </c>
      <c r="U83" s="93">
        <f>T83*1.018</f>
        <v>9641022.954</v>
      </c>
      <c r="V83" s="93">
        <f>U83*1.018</f>
        <v>9814561.367172</v>
      </c>
    </row>
    <row r="84" spans="1:22" s="6" customFormat="1" ht="15.75" customHeight="1">
      <c r="A84" s="21"/>
      <c r="B84" s="28" t="s">
        <v>57</v>
      </c>
      <c r="C84" s="38"/>
      <c r="D84" s="36"/>
      <c r="E84" s="44">
        <v>1000000</v>
      </c>
      <c r="F84" s="44"/>
      <c r="G84" s="44"/>
      <c r="H84" s="44"/>
      <c r="I84" s="44"/>
      <c r="J84" s="44"/>
      <c r="K84" s="44"/>
      <c r="L84" s="44"/>
      <c r="M84" s="44">
        <v>1000000</v>
      </c>
      <c r="N84" s="76">
        <v>1000000</v>
      </c>
      <c r="O84" s="27"/>
      <c r="P84" s="31"/>
      <c r="Q84" s="31"/>
      <c r="R84" s="31"/>
      <c r="S84" s="31"/>
      <c r="T84" s="93">
        <v>9936840</v>
      </c>
      <c r="U84" s="93">
        <f>T84*1.018</f>
        <v>10115703.120000001</v>
      </c>
      <c r="V84" s="93">
        <f>U84*1.018</f>
        <v>10297785.776160002</v>
      </c>
    </row>
    <row r="85" spans="1:22" s="6" customFormat="1" ht="15.75" customHeight="1">
      <c r="A85" s="21"/>
      <c r="B85" s="28" t="s">
        <v>58</v>
      </c>
      <c r="C85" s="38"/>
      <c r="D85" s="36"/>
      <c r="E85" s="44">
        <v>8000000</v>
      </c>
      <c r="F85" s="44"/>
      <c r="G85" s="44"/>
      <c r="H85" s="44"/>
      <c r="I85" s="44">
        <v>1500000</v>
      </c>
      <c r="J85" s="44">
        <v>1500000</v>
      </c>
      <c r="K85" s="44"/>
      <c r="L85" s="44"/>
      <c r="M85" s="44">
        <v>500000</v>
      </c>
      <c r="N85" s="76">
        <v>500000</v>
      </c>
      <c r="O85" s="27"/>
      <c r="P85" s="31">
        <v>200000</v>
      </c>
      <c r="Q85" s="31"/>
      <c r="R85" s="31"/>
      <c r="S85" s="31"/>
      <c r="T85" s="93">
        <v>18754602</v>
      </c>
      <c r="U85" s="93">
        <f>T85*1.018</f>
        <v>19092184.836</v>
      </c>
      <c r="V85" s="93">
        <f>U85*1.018</f>
        <v>19435844.163048</v>
      </c>
    </row>
    <row r="86" spans="1:22" s="6" customFormat="1" ht="15.75" customHeight="1">
      <c r="A86" s="21"/>
      <c r="B86" s="28" t="s">
        <v>59</v>
      </c>
      <c r="C86" s="38"/>
      <c r="D86" s="36"/>
      <c r="E86" s="44"/>
      <c r="F86" s="44"/>
      <c r="G86" s="44"/>
      <c r="H86" s="44"/>
      <c r="I86" s="44">
        <v>9000000</v>
      </c>
      <c r="J86" s="44">
        <v>9000000</v>
      </c>
      <c r="K86" s="44"/>
      <c r="L86" s="44"/>
      <c r="M86" s="44"/>
      <c r="N86" s="76"/>
      <c r="O86" s="27"/>
      <c r="P86" s="31"/>
      <c r="Q86" s="31"/>
      <c r="R86" s="31"/>
      <c r="S86" s="31"/>
      <c r="T86" s="93">
        <v>63914643</v>
      </c>
      <c r="U86" s="93">
        <f>T86*1.018</f>
        <v>65065106.574</v>
      </c>
      <c r="V86" s="93">
        <f>U86*1.018</f>
        <v>66236278.492332004</v>
      </c>
    </row>
    <row r="87" spans="1:22" ht="15.75">
      <c r="A87" s="21"/>
      <c r="B87" s="98" t="s">
        <v>60</v>
      </c>
      <c r="C87" s="39"/>
      <c r="D87" s="30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93">
        <v>4959518</v>
      </c>
      <c r="U87" s="93">
        <f>T87*1.018</f>
        <v>5048789.324</v>
      </c>
      <c r="V87" s="93">
        <f>U87*1.018</f>
        <v>5139667.531832</v>
      </c>
    </row>
    <row r="88" spans="1:22" ht="15.75">
      <c r="A88" s="21"/>
      <c r="B88" s="98" t="s">
        <v>61</v>
      </c>
      <c r="C88" s="39"/>
      <c r="D88" s="30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93">
        <v>29099563</v>
      </c>
      <c r="U88" s="93">
        <f>T88*1.018</f>
        <v>29623355.134</v>
      </c>
      <c r="V88" s="93">
        <f>U88*1.018</f>
        <v>30156575.526412</v>
      </c>
    </row>
    <row r="89" spans="1:22" ht="15.75">
      <c r="A89" s="21"/>
      <c r="B89" s="98" t="s">
        <v>142</v>
      </c>
      <c r="C89" s="39"/>
      <c r="D89" s="30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93">
        <v>6408911</v>
      </c>
      <c r="U89" s="93">
        <f>T89*1.018</f>
        <v>6524271.398</v>
      </c>
      <c r="V89" s="93">
        <f>U89*1.018</f>
        <v>6641708.283164</v>
      </c>
    </row>
    <row r="90" spans="1:22" ht="15.75">
      <c r="A90" s="21"/>
      <c r="B90" s="98" t="s">
        <v>62</v>
      </c>
      <c r="C90" s="39"/>
      <c r="D90" s="30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93">
        <v>2208730</v>
      </c>
      <c r="U90" s="93">
        <f>T90*1.018</f>
        <v>2248487.14</v>
      </c>
      <c r="V90" s="93">
        <f>U90*1.018</f>
        <v>2288959.90852</v>
      </c>
    </row>
    <row r="91" spans="1:22" ht="15.75">
      <c r="A91" s="21"/>
      <c r="B91" s="98" t="s">
        <v>143</v>
      </c>
      <c r="C91" s="39"/>
      <c r="D91" s="30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93">
        <v>22782333</v>
      </c>
      <c r="U91" s="93">
        <f>T91*1.018</f>
        <v>23192414.994</v>
      </c>
      <c r="V91" s="93">
        <f>U91*1.018</f>
        <v>23609878.463891998</v>
      </c>
    </row>
    <row r="92" spans="1:22" ht="15.75">
      <c r="A92" s="21"/>
      <c r="B92" s="98" t="s">
        <v>144</v>
      </c>
      <c r="C92" s="39"/>
      <c r="D92" s="30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93">
        <v>74000000</v>
      </c>
      <c r="U92" s="93">
        <f>T92*1.018</f>
        <v>75332000</v>
      </c>
      <c r="V92" s="93">
        <f>U92*1.018</f>
        <v>76687976</v>
      </c>
    </row>
    <row r="93" spans="1:22" ht="15.75">
      <c r="A93" s="21"/>
      <c r="B93" s="98" t="s">
        <v>145</v>
      </c>
      <c r="C93" s="39"/>
      <c r="D93" s="30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93">
        <v>19933755</v>
      </c>
      <c r="U93" s="93">
        <f>T93*1.018</f>
        <v>20292562.59</v>
      </c>
      <c r="V93" s="93">
        <f>U93*1.018</f>
        <v>20657828.716620002</v>
      </c>
    </row>
    <row r="94" spans="1:22" ht="15.75">
      <c r="A94" s="21"/>
      <c r="B94" s="98" t="s">
        <v>146</v>
      </c>
      <c r="C94" s="39"/>
      <c r="D94" s="30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93">
        <v>519078</v>
      </c>
      <c r="U94" s="93">
        <f>T94*1.018</f>
        <v>528421.404</v>
      </c>
      <c r="V94" s="93">
        <f>U94*1.018</f>
        <v>537932.989272</v>
      </c>
    </row>
    <row r="95" spans="1:22" ht="15.75">
      <c r="A95" s="21"/>
      <c r="B95" s="98" t="s">
        <v>147</v>
      </c>
      <c r="C95" s="39"/>
      <c r="D95" s="30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93">
        <v>5400000</v>
      </c>
      <c r="U95" s="93">
        <f>T95*1.018</f>
        <v>5497200</v>
      </c>
      <c r="V95" s="93">
        <f>U95*1.018</f>
        <v>5596149.6</v>
      </c>
    </row>
    <row r="96" spans="1:22" ht="15.75">
      <c r="A96" s="21"/>
      <c r="B96" s="98" t="s">
        <v>148</v>
      </c>
      <c r="C96" s="39"/>
      <c r="D96" s="30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93">
        <v>4969517</v>
      </c>
      <c r="U96" s="93">
        <f>T96*1.018</f>
        <v>5058968.306</v>
      </c>
      <c r="V96" s="93">
        <f>U96*1.018</f>
        <v>5150029.735508</v>
      </c>
    </row>
    <row r="97" spans="1:22" ht="15.75">
      <c r="A97" s="21"/>
      <c r="B97" s="98" t="s">
        <v>149</v>
      </c>
      <c r="C97" s="39"/>
      <c r="D97" s="30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93">
        <v>6901917</v>
      </c>
      <c r="U97" s="93">
        <f>T97*1.018</f>
        <v>7026151.506</v>
      </c>
      <c r="V97" s="93">
        <f>U97*1.018</f>
        <v>7152622.233108</v>
      </c>
    </row>
    <row r="98" spans="1:22" ht="15.75">
      <c r="A98" s="21"/>
      <c r="B98" s="98" t="s">
        <v>97</v>
      </c>
      <c r="C98" s="39"/>
      <c r="D98" s="30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93">
        <v>780000</v>
      </c>
      <c r="U98" s="93">
        <f>T98*1.018</f>
        <v>794040</v>
      </c>
      <c r="V98" s="93">
        <f>U98*1.018</f>
        <v>808332.72</v>
      </c>
    </row>
    <row r="99" spans="1:22" ht="15.75">
      <c r="A99" s="21"/>
      <c r="B99" s="98" t="s">
        <v>150</v>
      </c>
      <c r="C99" s="39"/>
      <c r="D99" s="30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93">
        <v>54779110</v>
      </c>
      <c r="U99" s="93">
        <f>T99*1.018</f>
        <v>55765133.980000004</v>
      </c>
      <c r="V99" s="93">
        <f>U99*1.018</f>
        <v>56768906.39164001</v>
      </c>
    </row>
    <row r="100" spans="1:22" ht="15.75">
      <c r="A100" s="21"/>
      <c r="B100" s="98" t="s">
        <v>151</v>
      </c>
      <c r="C100" s="39"/>
      <c r="D100" s="30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93">
        <v>2134457</v>
      </c>
      <c r="U100" s="93">
        <f>T100*1.018</f>
        <v>2172877.2260000003</v>
      </c>
      <c r="V100" s="93">
        <f>U100*1.018</f>
        <v>2211989.0160680003</v>
      </c>
    </row>
    <row r="101" spans="1:22" ht="15.75">
      <c r="A101" s="21"/>
      <c r="B101" s="98" t="s">
        <v>152</v>
      </c>
      <c r="C101" s="39"/>
      <c r="D101" s="30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93">
        <v>20751429</v>
      </c>
      <c r="U101" s="93">
        <f>T101*1.018</f>
        <v>21124954.722</v>
      </c>
      <c r="V101" s="93">
        <f>U101*1.018</f>
        <v>21505203.906996</v>
      </c>
    </row>
    <row r="102" spans="1:22" ht="15.75">
      <c r="A102" s="21"/>
      <c r="B102" s="98" t="s">
        <v>153</v>
      </c>
      <c r="C102" s="39"/>
      <c r="D102" s="30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93">
        <v>0</v>
      </c>
      <c r="U102" s="93">
        <f>T102*1.018</f>
        <v>0</v>
      </c>
      <c r="V102" s="93">
        <f>U102*1.018</f>
        <v>0</v>
      </c>
    </row>
    <row r="103" spans="1:22" ht="15.75">
      <c r="A103" s="21"/>
      <c r="B103" s="98" t="s">
        <v>154</v>
      </c>
      <c r="C103" s="39"/>
      <c r="D103" s="30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93">
        <v>1000000</v>
      </c>
      <c r="U103" s="93">
        <f>T103*1.018</f>
        <v>1018000</v>
      </c>
      <c r="V103" s="93">
        <f>U103*1.018</f>
        <v>1036324</v>
      </c>
    </row>
    <row r="104" spans="1:22" ht="15.75">
      <c r="A104" s="118" t="s">
        <v>177</v>
      </c>
      <c r="B104" s="25"/>
      <c r="C104" s="66"/>
      <c r="D104" s="21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130">
        <f>SUM(T105:T115)</f>
        <v>933561747</v>
      </c>
      <c r="U104" s="130">
        <f>SUM(U105:U115)</f>
        <v>950365858.446</v>
      </c>
      <c r="V104" s="130">
        <f>SUM(V105:V115)</f>
        <v>967472443.898028</v>
      </c>
    </row>
    <row r="105" spans="1:22" ht="15.75">
      <c r="A105" s="21"/>
      <c r="B105" s="98" t="s">
        <v>42</v>
      </c>
      <c r="C105" s="39"/>
      <c r="D105" s="30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93">
        <v>16769008</v>
      </c>
      <c r="U105" s="93">
        <f>T105*1.018</f>
        <v>17070850.144</v>
      </c>
      <c r="V105" s="93">
        <f>U105*1.018</f>
        <v>17378125.446592003</v>
      </c>
    </row>
    <row r="106" spans="1:22" ht="15.75">
      <c r="A106" s="21"/>
      <c r="B106" s="98" t="s">
        <v>155</v>
      </c>
      <c r="C106" s="39"/>
      <c r="D106" s="30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93">
        <v>7523424</v>
      </c>
      <c r="U106" s="93">
        <f>T106*1.018</f>
        <v>7658845.632</v>
      </c>
      <c r="V106" s="93">
        <f>U106*1.018</f>
        <v>7796704.853376</v>
      </c>
    </row>
    <row r="107" spans="1:22" ht="15.75">
      <c r="A107" s="21"/>
      <c r="B107" s="98" t="s">
        <v>156</v>
      </c>
      <c r="C107" s="39"/>
      <c r="D107" s="30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93">
        <v>52699805</v>
      </c>
      <c r="U107" s="93">
        <f>T107*1.018</f>
        <v>53648401.49</v>
      </c>
      <c r="V107" s="93">
        <f>U107*1.018</f>
        <v>54614072.71682</v>
      </c>
    </row>
    <row r="108" spans="1:22" ht="15.75">
      <c r="A108" s="21"/>
      <c r="B108" s="98" t="s">
        <v>157</v>
      </c>
      <c r="C108" s="39"/>
      <c r="D108" s="30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93">
        <v>165839973</v>
      </c>
      <c r="U108" s="93">
        <f>T108*1.018</f>
        <v>168825092.514</v>
      </c>
      <c r="V108" s="93">
        <f>U108*1.018</f>
        <v>171863944.179252</v>
      </c>
    </row>
    <row r="109" spans="1:22" ht="15.75">
      <c r="A109" s="21"/>
      <c r="B109" s="98" t="s">
        <v>158</v>
      </c>
      <c r="C109" s="39"/>
      <c r="D109" s="30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93">
        <v>71328572</v>
      </c>
      <c r="U109" s="93">
        <f>T109*1.018</f>
        <v>72612486.296</v>
      </c>
      <c r="V109" s="93">
        <f>U109*1.018</f>
        <v>73919511.049328</v>
      </c>
    </row>
    <row r="110" spans="1:22" ht="15.75">
      <c r="A110" s="21"/>
      <c r="B110" s="98" t="s">
        <v>159</v>
      </c>
      <c r="C110" s="39"/>
      <c r="D110" s="30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93">
        <v>399950268</v>
      </c>
      <c r="U110" s="93">
        <f>T110*1.018</f>
        <v>407149372.824</v>
      </c>
      <c r="V110" s="93">
        <f>U110*1.018</f>
        <v>414478061.534832</v>
      </c>
    </row>
    <row r="111" spans="1:22" ht="15.75">
      <c r="A111" s="21"/>
      <c r="B111" s="98" t="s">
        <v>160</v>
      </c>
      <c r="C111" s="39"/>
      <c r="D111" s="30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93">
        <v>47778286</v>
      </c>
      <c r="U111" s="93">
        <f>T111*1.018</f>
        <v>48638295.148</v>
      </c>
      <c r="V111" s="93">
        <f>U111*1.018</f>
        <v>49513784.460664004</v>
      </c>
    </row>
    <row r="112" spans="1:22" ht="15.75">
      <c r="A112" s="21"/>
      <c r="B112" s="98" t="s">
        <v>161</v>
      </c>
      <c r="C112" s="39"/>
      <c r="D112" s="30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93">
        <v>81000000</v>
      </c>
      <c r="U112" s="93">
        <f>T112*1.018</f>
        <v>82458000</v>
      </c>
      <c r="V112" s="93">
        <f>U112*1.018</f>
        <v>83942244</v>
      </c>
    </row>
    <row r="113" spans="1:22" ht="15.75">
      <c r="A113" s="21"/>
      <c r="B113" s="98" t="s">
        <v>162</v>
      </c>
      <c r="C113" s="39"/>
      <c r="D113" s="30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93">
        <v>1524898</v>
      </c>
      <c r="U113" s="93">
        <f>T113*1.018</f>
        <v>1552346.164</v>
      </c>
      <c r="V113" s="93">
        <f>U113*1.018</f>
        <v>1580288.3949520001</v>
      </c>
    </row>
    <row r="114" spans="1:22" ht="15.75">
      <c r="A114" s="21"/>
      <c r="B114" s="98" t="s">
        <v>163</v>
      </c>
      <c r="C114" s="39"/>
      <c r="D114" s="30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93">
        <v>33947513</v>
      </c>
      <c r="U114" s="93">
        <f>T114*1.018</f>
        <v>34558568.234</v>
      </c>
      <c r="V114" s="93">
        <f>U114*1.018</f>
        <v>35180622.462212</v>
      </c>
    </row>
    <row r="115" spans="1:22" s="6" customFormat="1" ht="15.75" customHeight="1">
      <c r="A115" s="21"/>
      <c r="B115" s="98" t="s">
        <v>164</v>
      </c>
      <c r="C115" s="3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93">
        <v>55200000</v>
      </c>
      <c r="U115" s="93">
        <f>T115*1.018</f>
        <v>56193600</v>
      </c>
      <c r="V115" s="93">
        <f>U115*1.018</f>
        <v>57205084.800000004</v>
      </c>
    </row>
    <row r="116" spans="1:22" s="6" customFormat="1" ht="15.75" customHeight="1">
      <c r="A116" s="24" t="s">
        <v>63</v>
      </c>
      <c r="B116" s="100"/>
      <c r="C116" s="101"/>
      <c r="D116" s="102"/>
      <c r="E116" s="44"/>
      <c r="F116" s="44"/>
      <c r="G116" s="44"/>
      <c r="H116" s="44"/>
      <c r="I116" s="44"/>
      <c r="J116" s="44"/>
      <c r="K116" s="44"/>
      <c r="L116" s="44"/>
      <c r="M116" s="44"/>
      <c r="N116" s="76"/>
      <c r="O116" s="57"/>
      <c r="P116" s="30"/>
      <c r="Q116" s="30"/>
      <c r="R116" s="30"/>
      <c r="S116" s="36"/>
      <c r="T116" s="130">
        <f>SUM(T117:T119)</f>
        <v>71632484</v>
      </c>
      <c r="U116" s="130">
        <f>SUM(U117:U119)</f>
        <v>72921868.712</v>
      </c>
      <c r="V116" s="130">
        <f>SUM(V117:V119)</f>
        <v>74234462.348816</v>
      </c>
    </row>
    <row r="117" spans="1:22" s="6" customFormat="1" ht="15.75" customHeight="1">
      <c r="A117" s="21"/>
      <c r="B117" s="98" t="s">
        <v>64</v>
      </c>
      <c r="C117" s="3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93">
        <v>62864220</v>
      </c>
      <c r="U117" s="93">
        <f>T117*1.018</f>
        <v>63995775.96</v>
      </c>
      <c r="V117" s="93">
        <f>U117*1.018</f>
        <v>65147699.92728</v>
      </c>
    </row>
    <row r="118" spans="1:22" s="6" customFormat="1" ht="15.75" customHeight="1">
      <c r="A118" s="94"/>
      <c r="B118" s="35" t="s">
        <v>65</v>
      </c>
      <c r="C118" s="97"/>
      <c r="D118" s="30"/>
      <c r="E118" s="104">
        <v>0.02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93">
        <v>6301047</v>
      </c>
      <c r="U118" s="93">
        <f>T118*1.018</f>
        <v>6414465.846</v>
      </c>
      <c r="V118" s="93">
        <f>U118*1.018</f>
        <v>6529926.231228</v>
      </c>
    </row>
    <row r="119" spans="1:22" s="6" customFormat="1" ht="15.75" customHeight="1">
      <c r="A119" s="21"/>
      <c r="B119" s="98" t="s">
        <v>66</v>
      </c>
      <c r="C119" s="39"/>
      <c r="D119" s="30"/>
      <c r="E119" s="30">
        <f>2348259459+15737334+94415004+28191620+29855304+15737334-28191620-26752640-28191620</f>
        <v>2449060175</v>
      </c>
      <c r="F119" s="30">
        <f>360088856-G119</f>
        <v>302459890</v>
      </c>
      <c r="G119" s="30">
        <f>28856668+28772298</f>
        <v>57628966</v>
      </c>
      <c r="H119" s="30"/>
      <c r="I119" s="30">
        <f>77282140+42003905+41910305</f>
        <v>161196350</v>
      </c>
      <c r="J119" s="30">
        <f>42896474+23532401+28729593</f>
        <v>95158468</v>
      </c>
      <c r="K119" s="30">
        <v>28191620</v>
      </c>
      <c r="L119" s="30">
        <v>26752640</v>
      </c>
      <c r="M119" s="30">
        <v>14095810</v>
      </c>
      <c r="N119" s="30">
        <v>14095810</v>
      </c>
      <c r="O119" s="30">
        <f>30474843+28772298+30408283</f>
        <v>89655424</v>
      </c>
      <c r="P119" s="30"/>
      <c r="Q119" s="30"/>
      <c r="R119" s="30"/>
      <c r="S119" s="30"/>
      <c r="T119" s="93">
        <v>2467217</v>
      </c>
      <c r="U119" s="93">
        <f>T119*1.018</f>
        <v>2511626.906</v>
      </c>
      <c r="V119" s="93">
        <f>U119*1.018</f>
        <v>2556836.190308</v>
      </c>
    </row>
    <row r="120" spans="1:22" s="6" customFormat="1" ht="15.75" customHeight="1">
      <c r="A120" s="24" t="s">
        <v>67</v>
      </c>
      <c r="B120" s="108"/>
      <c r="C120" s="105"/>
      <c r="D120" s="106"/>
      <c r="E120" s="30">
        <v>8544450</v>
      </c>
      <c r="F120" s="41">
        <f>8080000-1150000</f>
        <v>6930000</v>
      </c>
      <c r="G120" s="30">
        <v>1150000</v>
      </c>
      <c r="H120" s="30"/>
      <c r="I120" s="30">
        <v>500000</v>
      </c>
      <c r="J120" s="30">
        <v>500000</v>
      </c>
      <c r="K120" s="30">
        <v>1500000</v>
      </c>
      <c r="L120" s="30">
        <v>505000</v>
      </c>
      <c r="M120" s="30"/>
      <c r="N120" s="30"/>
      <c r="O120" s="30">
        <v>1010000</v>
      </c>
      <c r="P120" s="30"/>
      <c r="Q120" s="30"/>
      <c r="R120" s="30"/>
      <c r="S120" s="30"/>
      <c r="T120" s="130">
        <f>SUM(T121:T127)</f>
        <v>4463926234</v>
      </c>
      <c r="U120" s="130">
        <f>SUM(U121:U127)</f>
        <v>4544276906.212001</v>
      </c>
      <c r="V120" s="130">
        <f>SUM(V121:V127)</f>
        <v>4626073890.523817</v>
      </c>
    </row>
    <row r="121" spans="1:22" s="6" customFormat="1" ht="15.75" customHeight="1">
      <c r="A121" s="21"/>
      <c r="B121" s="98" t="s">
        <v>68</v>
      </c>
      <c r="C121" s="39"/>
      <c r="D121" s="30"/>
      <c r="E121" s="30">
        <f>32896912-K121</f>
        <v>27468112</v>
      </c>
      <c r="F121" s="41">
        <f>17675000-G121</f>
        <v>14335000</v>
      </c>
      <c r="G121" s="30">
        <v>3340000</v>
      </c>
      <c r="H121" s="30"/>
      <c r="I121" s="30">
        <f>52*5*3*17400</f>
        <v>13572000</v>
      </c>
      <c r="J121" s="30">
        <f>52*5*2*17400</f>
        <v>9048000</v>
      </c>
      <c r="K121" s="30">
        <f>3*52*2*17400</f>
        <v>5428800</v>
      </c>
      <c r="L121" s="30"/>
      <c r="M121" s="30"/>
      <c r="N121" s="30"/>
      <c r="O121" s="30">
        <v>7214430</v>
      </c>
      <c r="P121" s="30"/>
      <c r="Q121" s="30"/>
      <c r="R121" s="30"/>
      <c r="S121" s="30"/>
      <c r="T121" s="93">
        <v>3154734701</v>
      </c>
      <c r="U121" s="93">
        <f>T121*1.018</f>
        <v>3211519925.618</v>
      </c>
      <c r="V121" s="93">
        <f>U121*1.018</f>
        <v>3269327284.2791243</v>
      </c>
    </row>
    <row r="122" spans="1:22" s="6" customFormat="1" ht="15.75" customHeight="1">
      <c r="A122" s="21"/>
      <c r="B122" s="98" t="s">
        <v>165</v>
      </c>
      <c r="C122" s="39"/>
      <c r="D122" s="30"/>
      <c r="E122" s="30">
        <f>E119*0.02</f>
        <v>48981203.5</v>
      </c>
      <c r="F122" s="30">
        <f>F119*0.02</f>
        <v>6049197.8</v>
      </c>
      <c r="G122" s="30">
        <f>G119*0.02</f>
        <v>1152579.32</v>
      </c>
      <c r="H122" s="30"/>
      <c r="I122" s="30">
        <f>I119*0.02</f>
        <v>3223927</v>
      </c>
      <c r="J122" s="30">
        <f>J119*0.02</f>
        <v>1903169.36</v>
      </c>
      <c r="K122" s="30">
        <f>K119*0.02</f>
        <v>563832.4</v>
      </c>
      <c r="L122" s="30">
        <f>L119*0.02</f>
        <v>535052.8</v>
      </c>
      <c r="M122" s="30">
        <f>M119*0.02</f>
        <v>281916.2</v>
      </c>
      <c r="N122" s="30">
        <f>N119*0.02</f>
        <v>281916.2</v>
      </c>
      <c r="O122" s="30">
        <f>O119*0.02</f>
        <v>1793108.48</v>
      </c>
      <c r="P122" s="30"/>
      <c r="Q122" s="30"/>
      <c r="R122" s="30"/>
      <c r="S122" s="30"/>
      <c r="T122" s="93">
        <v>10280679</v>
      </c>
      <c r="U122" s="93">
        <f>T122*1.018</f>
        <v>10465731.222000001</v>
      </c>
      <c r="V122" s="93">
        <f>U122*1.018</f>
        <v>10654114.383996</v>
      </c>
    </row>
    <row r="123" spans="1:22" s="6" customFormat="1" ht="15.75" customHeight="1">
      <c r="A123" s="21"/>
      <c r="B123" s="98" t="s">
        <v>166</v>
      </c>
      <c r="C123" s="39"/>
      <c r="D123" s="30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93">
        <v>799437599</v>
      </c>
      <c r="U123" s="93">
        <f>T123*1.018</f>
        <v>813827475.7820001</v>
      </c>
      <c r="V123" s="93">
        <f>U123*1.018</f>
        <v>828476370.3460761</v>
      </c>
    </row>
    <row r="124" spans="1:22" s="6" customFormat="1" ht="15.75" customHeight="1">
      <c r="A124" s="94"/>
      <c r="B124" s="35" t="s">
        <v>167</v>
      </c>
      <c r="C124" s="97"/>
      <c r="D124" s="30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93">
        <v>56642975</v>
      </c>
      <c r="U124" s="93">
        <f>T124*1.018</f>
        <v>57662548.550000004</v>
      </c>
      <c r="V124" s="93">
        <f>U124*1.018</f>
        <v>58700474.42390001</v>
      </c>
    </row>
    <row r="125" spans="1:22" s="6" customFormat="1" ht="15.75" customHeight="1">
      <c r="A125" s="94"/>
      <c r="B125" s="98" t="s">
        <v>69</v>
      </c>
      <c r="C125" s="3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93">
        <v>258247374</v>
      </c>
      <c r="U125" s="93">
        <f>T125*1.018</f>
        <v>262895826.732</v>
      </c>
      <c r="V125" s="93">
        <f>U125*1.018</f>
        <v>267627951.613176</v>
      </c>
    </row>
    <row r="126" spans="1:22" s="6" customFormat="1" ht="15.75" customHeight="1">
      <c r="A126" s="94"/>
      <c r="B126" s="98" t="s">
        <v>168</v>
      </c>
      <c r="C126" s="39"/>
      <c r="D126" s="30"/>
      <c r="E126" s="30">
        <v>63000000</v>
      </c>
      <c r="F126" s="30"/>
      <c r="G126" s="30"/>
      <c r="H126" s="30">
        <v>20000000</v>
      </c>
      <c r="I126" s="30">
        <v>9000000</v>
      </c>
      <c r="J126" s="30">
        <v>13000000</v>
      </c>
      <c r="K126" s="30"/>
      <c r="L126" s="30"/>
      <c r="M126" s="30">
        <v>25000000</v>
      </c>
      <c r="N126" s="30"/>
      <c r="O126" s="30"/>
      <c r="P126" s="30"/>
      <c r="Q126" s="30"/>
      <c r="R126" s="30"/>
      <c r="S126" s="30"/>
      <c r="T126" s="93">
        <v>17766073</v>
      </c>
      <c r="U126" s="93">
        <f>T126*1.018</f>
        <v>18085862.314</v>
      </c>
      <c r="V126" s="93">
        <f>U126*1.018</f>
        <v>18411407.835652</v>
      </c>
    </row>
    <row r="127" spans="1:22" s="6" customFormat="1" ht="15.75" customHeight="1">
      <c r="A127" s="94"/>
      <c r="B127" s="98" t="s">
        <v>169</v>
      </c>
      <c r="C127" s="3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93">
        <v>166816833</v>
      </c>
      <c r="U127" s="93">
        <f>T127*1.018</f>
        <v>169819535.994</v>
      </c>
      <c r="V127" s="93">
        <f>U127*1.018</f>
        <v>172876287.641892</v>
      </c>
    </row>
    <row r="128" spans="1:22" s="6" customFormat="1" ht="15.75" customHeight="1">
      <c r="A128" s="24" t="s">
        <v>70</v>
      </c>
      <c r="B128" s="25"/>
      <c r="C128" s="66"/>
      <c r="D128" s="21"/>
      <c r="E128" s="17"/>
      <c r="F128" s="17"/>
      <c r="G128" s="17"/>
      <c r="H128" s="17"/>
      <c r="I128" s="17"/>
      <c r="J128" s="17"/>
      <c r="K128" s="17"/>
      <c r="L128" s="17"/>
      <c r="M128" s="17"/>
      <c r="N128" s="18"/>
      <c r="O128" s="56"/>
      <c r="P128" s="19"/>
      <c r="Q128" s="21"/>
      <c r="R128" s="19"/>
      <c r="S128" s="19"/>
      <c r="T128" s="130">
        <f>SUM(T129:T131)</f>
        <v>140168843</v>
      </c>
      <c r="U128" s="130">
        <f>SUM(U129:U131)</f>
        <v>142691882.174</v>
      </c>
      <c r="V128" s="130">
        <f>SUM(V129:V131)</f>
        <v>145260336.053132</v>
      </c>
    </row>
    <row r="129" spans="1:22" s="6" customFormat="1" ht="15.75" customHeight="1">
      <c r="A129" s="94"/>
      <c r="B129" s="35" t="s">
        <v>178</v>
      </c>
      <c r="C129" s="97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93">
        <v>140168843</v>
      </c>
      <c r="U129" s="93">
        <f>T129*1.018</f>
        <v>142691882.174</v>
      </c>
      <c r="V129" s="93">
        <f>U129*1.018</f>
        <v>145260336.053132</v>
      </c>
    </row>
    <row r="130" spans="1:22" s="6" customFormat="1" ht="15.75" customHeight="1">
      <c r="A130" s="94"/>
      <c r="B130" s="98" t="s">
        <v>71</v>
      </c>
      <c r="C130" s="39"/>
      <c r="D130" s="30"/>
      <c r="E130" s="30">
        <v>-45000000</v>
      </c>
      <c r="F130" s="30"/>
      <c r="G130" s="30"/>
      <c r="H130" s="30"/>
      <c r="I130" s="30">
        <v>-187000000</v>
      </c>
      <c r="J130" s="30">
        <v>-195000000</v>
      </c>
      <c r="K130" s="30"/>
      <c r="L130" s="30"/>
      <c r="M130" s="30"/>
      <c r="N130" s="30"/>
      <c r="O130" s="30"/>
      <c r="P130" s="30"/>
      <c r="Q130" s="30"/>
      <c r="R130" s="30"/>
      <c r="S130" s="30"/>
      <c r="T130" s="93">
        <v>0</v>
      </c>
      <c r="U130" s="93">
        <f>T130*1.018</f>
        <v>0</v>
      </c>
      <c r="V130" s="93">
        <f>U130*1.018</f>
        <v>0</v>
      </c>
    </row>
    <row r="131" spans="1:22" s="6" customFormat="1" ht="15.75" customHeight="1">
      <c r="A131" s="94"/>
      <c r="B131" s="98" t="s">
        <v>72</v>
      </c>
      <c r="C131" s="3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93">
        <v>0</v>
      </c>
      <c r="U131" s="93">
        <f>T131*1.018</f>
        <v>0</v>
      </c>
      <c r="V131" s="93">
        <f>U131*1.018</f>
        <v>0</v>
      </c>
    </row>
    <row r="132" spans="1:22" s="6" customFormat="1" ht="15.75" customHeight="1">
      <c r="A132" s="24" t="s">
        <v>73</v>
      </c>
      <c r="B132" s="119" t="s">
        <v>74</v>
      </c>
      <c r="C132" s="120"/>
      <c r="D132" s="42"/>
      <c r="E132" s="44"/>
      <c r="F132" s="44"/>
      <c r="G132" s="44"/>
      <c r="H132" s="44"/>
      <c r="I132" s="44"/>
      <c r="J132" s="44"/>
      <c r="K132" s="44"/>
      <c r="L132" s="44"/>
      <c r="M132" s="44"/>
      <c r="N132" s="76"/>
      <c r="O132" s="57"/>
      <c r="P132" s="27"/>
      <c r="Q132" s="36"/>
      <c r="R132" s="27"/>
      <c r="S132" s="36"/>
      <c r="T132" s="130">
        <f>SUM(T133:T134)</f>
        <v>-18508280</v>
      </c>
      <c r="U132" s="130">
        <f>SUM(U133:U134)</f>
        <v>-18841429.03999996</v>
      </c>
      <c r="V132" s="130">
        <f>SUM(V133:V134)</f>
        <v>-19180574.76271999</v>
      </c>
    </row>
    <row r="133" spans="1:22" s="6" customFormat="1" ht="15.75" customHeight="1">
      <c r="A133" s="94"/>
      <c r="B133" s="98" t="s">
        <v>75</v>
      </c>
      <c r="C133" s="3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93">
        <v>621491720</v>
      </c>
      <c r="U133" s="93">
        <f>T133*1.018</f>
        <v>632678570.96</v>
      </c>
      <c r="V133" s="93">
        <f>U133*1.018</f>
        <v>644066785.23728</v>
      </c>
    </row>
    <row r="134" spans="1:22" s="6" customFormat="1" ht="15.75" customHeight="1">
      <c r="A134" s="94"/>
      <c r="B134" s="35" t="s">
        <v>76</v>
      </c>
      <c r="C134" s="97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93">
        <v>-640000000</v>
      </c>
      <c r="U134" s="93">
        <f>T134*1.018</f>
        <v>-651520000</v>
      </c>
      <c r="V134" s="93">
        <f>U134*1.018</f>
        <v>-663247360</v>
      </c>
    </row>
    <row r="135" spans="1:22" s="6" customFormat="1" ht="15.75" customHeight="1">
      <c r="A135" s="24" t="s">
        <v>77</v>
      </c>
      <c r="B135" s="121" t="s">
        <v>78</v>
      </c>
      <c r="C135" s="122"/>
      <c r="D135" s="123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130">
        <f>SUM(T136)</f>
        <v>0</v>
      </c>
      <c r="U135" s="130">
        <f>SUM(U136)</f>
        <v>0</v>
      </c>
      <c r="V135" s="130">
        <f>SUM(V136)</f>
        <v>0</v>
      </c>
    </row>
    <row r="136" spans="1:22" s="6" customFormat="1" ht="15.75" customHeight="1">
      <c r="A136" s="94"/>
      <c r="B136" s="35" t="s">
        <v>79</v>
      </c>
      <c r="C136" s="97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93">
        <v>0</v>
      </c>
      <c r="U136" s="93">
        <f>T136*1.018</f>
        <v>0</v>
      </c>
      <c r="V136" s="93">
        <f>U136*1.018</f>
        <v>0</v>
      </c>
    </row>
    <row r="137" spans="1:22" s="6" customFormat="1" ht="15.75" customHeight="1">
      <c r="A137" s="24" t="s">
        <v>80</v>
      </c>
      <c r="B137" s="121" t="s">
        <v>81</v>
      </c>
      <c r="C137" s="122"/>
      <c r="D137" s="123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130">
        <f>SUM(T138)</f>
        <v>0</v>
      </c>
      <c r="U137" s="130">
        <f>SUM(U138)</f>
        <v>0</v>
      </c>
      <c r="V137" s="130">
        <f>SUM(V138)</f>
        <v>0</v>
      </c>
    </row>
    <row r="138" spans="1:22" s="6" customFormat="1" ht="15.75" customHeight="1">
      <c r="A138" s="94"/>
      <c r="B138" s="98" t="s">
        <v>82</v>
      </c>
      <c r="C138" s="3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93">
        <v>0</v>
      </c>
      <c r="U138" s="93">
        <f>T138*1.018</f>
        <v>0</v>
      </c>
      <c r="V138" s="93">
        <f>U138*1.018</f>
        <v>0</v>
      </c>
    </row>
    <row r="139" spans="1:22" s="6" customFormat="1" ht="15.75" customHeight="1">
      <c r="A139" s="24" t="s">
        <v>83</v>
      </c>
      <c r="B139" s="121" t="s">
        <v>84</v>
      </c>
      <c r="C139" s="122"/>
      <c r="D139" s="123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130">
        <f>SUM(T140:T148)</f>
        <v>86427043</v>
      </c>
      <c r="U139" s="130">
        <f>SUM(U140:U148)</f>
        <v>87982729.77399999</v>
      </c>
      <c r="V139" s="130">
        <f>SUM(V140:V148)</f>
        <v>89566418.90993202</v>
      </c>
    </row>
    <row r="140" spans="1:22" s="6" customFormat="1" ht="15.75" customHeight="1">
      <c r="A140" s="94"/>
      <c r="B140" s="98" t="s">
        <v>85</v>
      </c>
      <c r="C140" s="39"/>
      <c r="D140" s="30"/>
      <c r="E140" s="30">
        <v>30600000</v>
      </c>
      <c r="F140" s="30"/>
      <c r="G140" s="30"/>
      <c r="H140" s="30">
        <v>1500000</v>
      </c>
      <c r="I140" s="30">
        <v>700000</v>
      </c>
      <c r="J140" s="30">
        <v>800000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93">
        <v>5303406</v>
      </c>
      <c r="U140" s="93">
        <f>T140*1.018</f>
        <v>5398867.308</v>
      </c>
      <c r="V140" s="93">
        <f>U140*1.018</f>
        <v>5496046.919544</v>
      </c>
    </row>
    <row r="141" spans="1:22" s="6" customFormat="1" ht="15.75" customHeight="1">
      <c r="A141" s="94"/>
      <c r="B141" s="98" t="s">
        <v>86</v>
      </c>
      <c r="C141" s="39"/>
      <c r="D141" s="30"/>
      <c r="E141" s="30">
        <v>5100000</v>
      </c>
      <c r="F141" s="30"/>
      <c r="G141" s="30">
        <v>1020000</v>
      </c>
      <c r="H141" s="30">
        <v>525000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93">
        <v>2436000</v>
      </c>
      <c r="U141" s="93">
        <f>T141*1.018</f>
        <v>2479848</v>
      </c>
      <c r="V141" s="93">
        <f>U141*1.018</f>
        <v>2524485.264</v>
      </c>
    </row>
    <row r="142" spans="1:22" s="6" customFormat="1" ht="15.75" customHeight="1">
      <c r="A142" s="94"/>
      <c r="B142" s="98" t="s">
        <v>170</v>
      </c>
      <c r="C142" s="39"/>
      <c r="D142" s="30"/>
      <c r="E142" s="30">
        <f>16000000+9000000</f>
        <v>25000000</v>
      </c>
      <c r="F142" s="30">
        <v>1000000</v>
      </c>
      <c r="G142" s="30">
        <v>500000</v>
      </c>
      <c r="H142" s="30">
        <v>3000000</v>
      </c>
      <c r="I142" s="30">
        <v>1500000</v>
      </c>
      <c r="J142" s="30">
        <v>1500000</v>
      </c>
      <c r="K142" s="30">
        <v>500000</v>
      </c>
      <c r="L142" s="30">
        <v>500000</v>
      </c>
      <c r="M142" s="30">
        <v>3000000</v>
      </c>
      <c r="N142" s="30">
        <v>500000</v>
      </c>
      <c r="O142" s="30">
        <v>500000</v>
      </c>
      <c r="P142" s="30">
        <v>3000000</v>
      </c>
      <c r="Q142" s="30"/>
      <c r="R142" s="30"/>
      <c r="S142" s="30"/>
      <c r="T142" s="93">
        <v>2503209</v>
      </c>
      <c r="U142" s="93">
        <f>T142*1.018</f>
        <v>2548266.762</v>
      </c>
      <c r="V142" s="93">
        <f>U142*1.018</f>
        <v>2594135.563716</v>
      </c>
    </row>
    <row r="143" spans="1:22" s="6" customFormat="1" ht="15.75" customHeight="1">
      <c r="A143" s="94"/>
      <c r="B143" s="98" t="s">
        <v>171</v>
      </c>
      <c r="C143" s="39"/>
      <c r="D143" s="30"/>
      <c r="E143" s="30">
        <v>1020000</v>
      </c>
      <c r="F143" s="30"/>
      <c r="G143" s="30"/>
      <c r="H143" s="30"/>
      <c r="I143" s="30">
        <v>1000000</v>
      </c>
      <c r="J143" s="30">
        <v>1000000</v>
      </c>
      <c r="K143" s="30"/>
      <c r="L143" s="30"/>
      <c r="M143" s="30"/>
      <c r="N143" s="30"/>
      <c r="O143" s="30"/>
      <c r="P143" s="30"/>
      <c r="Q143" s="30"/>
      <c r="R143" s="30"/>
      <c r="S143" s="30"/>
      <c r="T143" s="93">
        <v>30160827</v>
      </c>
      <c r="U143" s="93">
        <f>T143*1.018</f>
        <v>30703721.886</v>
      </c>
      <c r="V143" s="93">
        <f>U143*1.018</f>
        <v>31256388.879948</v>
      </c>
    </row>
    <row r="144" spans="1:22" s="6" customFormat="1" ht="15.75" customHeight="1">
      <c r="A144" s="94"/>
      <c r="B144" s="98" t="s">
        <v>172</v>
      </c>
      <c r="C144" s="39"/>
      <c r="D144" s="30"/>
      <c r="E144" s="30">
        <v>1428000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93">
        <v>8195086</v>
      </c>
      <c r="U144" s="93">
        <f>T144*1.018</f>
        <v>8342597.548</v>
      </c>
      <c r="V144" s="93">
        <f>U144*1.018</f>
        <v>8492764.303864</v>
      </c>
    </row>
    <row r="145" spans="1:22" s="6" customFormat="1" ht="15.75" customHeight="1">
      <c r="A145" s="110"/>
      <c r="B145" s="107" t="s">
        <v>87</v>
      </c>
      <c r="C145" s="3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93">
        <v>9000000</v>
      </c>
      <c r="U145" s="93">
        <f>T145*1.018</f>
        <v>9162000</v>
      </c>
      <c r="V145" s="93">
        <f>U145*1.018</f>
        <v>9326916</v>
      </c>
    </row>
    <row r="146" spans="1:22" s="6" customFormat="1" ht="15.75" customHeight="1">
      <c r="A146" s="21"/>
      <c r="B146" s="109" t="s">
        <v>173</v>
      </c>
      <c r="C146" s="39"/>
      <c r="D146" s="30"/>
      <c r="E146" s="30"/>
      <c r="F146" s="30"/>
      <c r="G146" s="30"/>
      <c r="H146" s="30"/>
      <c r="I146" s="30">
        <v>12000000</v>
      </c>
      <c r="J146" s="30">
        <v>12000000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93">
        <v>23155114</v>
      </c>
      <c r="U146" s="93">
        <f>T146*1.018</f>
        <v>23571906.052</v>
      </c>
      <c r="V146" s="93">
        <f>U146*1.018</f>
        <v>23996200.360936</v>
      </c>
    </row>
    <row r="147" spans="1:22" s="6" customFormat="1" ht="15.75" customHeight="1">
      <c r="A147" s="94"/>
      <c r="B147" s="109" t="s">
        <v>174</v>
      </c>
      <c r="C147" s="39"/>
      <c r="D147" s="30"/>
      <c r="E147" s="30">
        <v>22700000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93">
        <v>2030000</v>
      </c>
      <c r="U147" s="93">
        <f>T147*1.018</f>
        <v>2066540</v>
      </c>
      <c r="V147" s="93">
        <f>U147*1.018</f>
        <v>2103737.72</v>
      </c>
    </row>
    <row r="148" spans="1:22" s="6" customFormat="1" ht="15.75" customHeight="1">
      <c r="A148" s="94"/>
      <c r="B148" s="89" t="s">
        <v>88</v>
      </c>
      <c r="C148" s="23"/>
      <c r="D148" s="19"/>
      <c r="E148" s="19">
        <v>2000000</v>
      </c>
      <c r="F148" s="19">
        <v>2000000</v>
      </c>
      <c r="G148" s="19">
        <v>2000000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92">
        <v>3643401</v>
      </c>
      <c r="U148" s="93">
        <f>T148*1.018</f>
        <v>3708982.218</v>
      </c>
      <c r="V148" s="93">
        <f>U148*1.018</f>
        <v>3775743.897924</v>
      </c>
    </row>
    <row r="149" spans="1:22" s="6" customFormat="1" ht="15.75" customHeight="1">
      <c r="A149" s="102"/>
      <c r="B149" s="53"/>
      <c r="C149" s="53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135"/>
      <c r="U149" s="135"/>
      <c r="V149" s="135"/>
    </row>
    <row r="150" spans="1:22" s="6" customFormat="1" ht="15.75" customHeight="1">
      <c r="A150" s="31"/>
      <c r="B150" s="59" t="s">
        <v>37</v>
      </c>
      <c r="C150" s="59"/>
      <c r="D150" s="29"/>
      <c r="E150" s="134">
        <f>SUM(E125:E146)</f>
        <v>81148000</v>
      </c>
      <c r="F150" s="134">
        <f>SUM(F125:F146)</f>
        <v>1000000</v>
      </c>
      <c r="G150" s="134">
        <f>SUM(G125:G146)</f>
        <v>1520000</v>
      </c>
      <c r="H150" s="134">
        <f>SUM(H125:H146)</f>
        <v>25025000</v>
      </c>
      <c r="I150" s="134">
        <f>SUM(I125:I146)</f>
        <v>-162800000</v>
      </c>
      <c r="J150" s="134">
        <f>SUM(J125:J146)</f>
        <v>-166700000</v>
      </c>
      <c r="K150" s="134">
        <f>SUM(K125:K146)</f>
        <v>500000</v>
      </c>
      <c r="L150" s="134">
        <f>SUM(L125:L146)</f>
        <v>500000</v>
      </c>
      <c r="M150" s="134">
        <f>SUM(M125:M146)</f>
        <v>28000000</v>
      </c>
      <c r="N150" s="134">
        <f>SUM(N125:N146)</f>
        <v>500000</v>
      </c>
      <c r="O150" s="134">
        <f>SUM(O125:O146)</f>
        <v>500000</v>
      </c>
      <c r="P150" s="134">
        <f>SUM(P125:P146)</f>
        <v>3000000</v>
      </c>
      <c r="Q150" s="134">
        <f>SUM(Q125:Q146)</f>
        <v>0</v>
      </c>
      <c r="R150" s="134">
        <f>SUM(R125:R146)</f>
        <v>0</v>
      </c>
      <c r="S150" s="134">
        <f>SUM(S125:S146)</f>
        <v>0</v>
      </c>
      <c r="T150" s="136">
        <f>SUM(T42+T56+T104+T116+T120+T128+T132+T135+T137+T139)</f>
        <v>15510412008</v>
      </c>
      <c r="U150" s="136">
        <f>SUM(U42+U56+U104+U116+U120+U128+U132+U135+U137+U139)</f>
        <v>15796071011.491999</v>
      </c>
      <c r="V150" s="136">
        <f>SUM(V42+V56+V104+V116+V120+V128+V132+V135+V137+V139)</f>
        <v>16153011499.743416</v>
      </c>
    </row>
    <row r="151" spans="1:22" s="6" customFormat="1" ht="15.75" customHeight="1">
      <c r="A151" s="151"/>
      <c r="B151" s="53"/>
      <c r="C151" s="53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135"/>
      <c r="U151" s="135"/>
      <c r="V151" s="135"/>
    </row>
    <row r="152" spans="1:22" s="88" customFormat="1" ht="15.75">
      <c r="A152" s="67" t="s">
        <v>89</v>
      </c>
      <c r="B152" s="68" t="s">
        <v>90</v>
      </c>
      <c r="C152" s="69"/>
      <c r="D152" s="137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140">
        <f>SUM(T155-T154-T153)</f>
        <v>0</v>
      </c>
      <c r="U152" s="140">
        <f>SUM(U155-U154-U153)</f>
        <v>0</v>
      </c>
      <c r="V152" s="140">
        <f>SUM(V155-V154-V153)</f>
        <v>0</v>
      </c>
    </row>
    <row r="153" spans="1:22" s="88" customFormat="1" ht="15.75">
      <c r="A153" s="152" t="s">
        <v>91</v>
      </c>
      <c r="B153" s="125" t="s">
        <v>92</v>
      </c>
      <c r="C153" s="125"/>
      <c r="D153" s="126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93">
        <v>0</v>
      </c>
      <c r="U153" s="93">
        <f>T153*1.018</f>
        <v>0</v>
      </c>
      <c r="V153" s="93">
        <f>U153*1.018</f>
        <v>0</v>
      </c>
    </row>
    <row r="154" spans="1:22" s="88" customFormat="1" ht="15.75">
      <c r="A154" s="124" t="s">
        <v>93</v>
      </c>
      <c r="B154" s="125" t="s">
        <v>94</v>
      </c>
      <c r="C154" s="125"/>
      <c r="D154" s="126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93">
        <v>0</v>
      </c>
      <c r="U154" s="93">
        <f>T154*1.018</f>
        <v>0</v>
      </c>
      <c r="V154" s="93">
        <f>U154*1.018</f>
        <v>0</v>
      </c>
    </row>
    <row r="155" spans="1:22" s="88" customFormat="1" ht="15.75">
      <c r="A155" s="153" t="s">
        <v>95</v>
      </c>
      <c r="B155" s="125" t="s">
        <v>96</v>
      </c>
      <c r="C155" s="125"/>
      <c r="D155" s="126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93">
        <v>0</v>
      </c>
      <c r="U155" s="93">
        <f>T155*1.018</f>
        <v>0</v>
      </c>
      <c r="V155" s="93">
        <f>U155*1.018</f>
        <v>0</v>
      </c>
    </row>
    <row r="156" spans="1:22" s="88" customFormat="1" ht="15.75">
      <c r="A156" s="67" t="s">
        <v>98</v>
      </c>
      <c r="B156" s="68" t="s">
        <v>176</v>
      </c>
      <c r="C156" s="69"/>
      <c r="D156" s="70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130">
        <v>0</v>
      </c>
      <c r="U156" s="130">
        <v>0</v>
      </c>
      <c r="V156" s="130">
        <v>0</v>
      </c>
    </row>
    <row r="157" spans="1:22" s="88" customFormat="1" ht="15.75">
      <c r="A157" s="115"/>
      <c r="B157" s="64"/>
      <c r="C157" s="64"/>
      <c r="D157" s="6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93"/>
      <c r="U157" s="93"/>
      <c r="V157" s="93"/>
    </row>
    <row r="158" spans="1:22" s="88" customFormat="1" ht="15.75">
      <c r="A158" s="67" t="s">
        <v>99</v>
      </c>
      <c r="B158" s="111" t="s">
        <v>100</v>
      </c>
      <c r="C158" s="112"/>
      <c r="D158" s="11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130">
        <f>SUM(-T159+T160)</f>
        <v>0</v>
      </c>
      <c r="U158" s="130">
        <f>SUM(-U159+U160)</f>
        <v>0</v>
      </c>
      <c r="V158" s="130">
        <f>SUM(-V159+V160)</f>
        <v>0</v>
      </c>
    </row>
    <row r="159" spans="1:22" s="88" customFormat="1" ht="15.75">
      <c r="A159" s="152" t="s">
        <v>101</v>
      </c>
      <c r="B159" s="125" t="s">
        <v>102</v>
      </c>
      <c r="C159" s="127"/>
      <c r="D159" s="12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93">
        <v>0</v>
      </c>
      <c r="U159" s="93">
        <f>T159*1.018</f>
        <v>0</v>
      </c>
      <c r="V159" s="93">
        <f>U159*1.018</f>
        <v>0</v>
      </c>
    </row>
    <row r="160" spans="1:22" s="6" customFormat="1" ht="15.75" customHeight="1">
      <c r="A160" s="24" t="s">
        <v>103</v>
      </c>
      <c r="B160" s="119" t="s">
        <v>104</v>
      </c>
      <c r="C160" s="59"/>
      <c r="D160" s="96"/>
      <c r="E160" s="138"/>
      <c r="F160" s="19"/>
      <c r="G160" s="19"/>
      <c r="H160" s="19"/>
      <c r="I160" s="19"/>
      <c r="J160" s="19"/>
      <c r="K160" s="19"/>
      <c r="L160" s="19"/>
      <c r="M160" s="19"/>
      <c r="N160" s="19"/>
      <c r="O160" s="86"/>
      <c r="P160" s="19"/>
      <c r="Q160" s="86"/>
      <c r="R160" s="86"/>
      <c r="S160" s="86"/>
      <c r="T160" s="92">
        <v>0</v>
      </c>
      <c r="U160" s="93">
        <f>T160*1.018</f>
        <v>0</v>
      </c>
      <c r="V160" s="93">
        <f>U160*1.018</f>
        <v>0</v>
      </c>
    </row>
    <row r="161" spans="1:22" s="6" customFormat="1" ht="15.75" customHeight="1">
      <c r="A161" s="42"/>
      <c r="B161" s="119"/>
      <c r="C161" s="59"/>
      <c r="D161" s="9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135"/>
      <c r="U161" s="135"/>
      <c r="V161" s="135"/>
    </row>
    <row r="162" spans="1:22" s="6" customFormat="1" ht="15.75" customHeight="1">
      <c r="A162" s="67" t="s">
        <v>105</v>
      </c>
      <c r="B162" s="68" t="s">
        <v>175</v>
      </c>
      <c r="C162" s="69"/>
      <c r="D162" s="139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36"/>
      <c r="P162" s="27"/>
      <c r="Q162" s="57"/>
      <c r="R162" s="57"/>
      <c r="S162" s="57"/>
      <c r="T162" s="140">
        <v>280200000</v>
      </c>
      <c r="U162" s="130">
        <f>T162*1.018</f>
        <v>285243600</v>
      </c>
      <c r="V162" s="130">
        <f>U162*1.018</f>
        <v>290377984.8</v>
      </c>
    </row>
    <row r="163" spans="1:22" ht="15.75" customHeight="1">
      <c r="A163" s="154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5"/>
      <c r="U163" s="5"/>
      <c r="V163" s="5"/>
    </row>
    <row r="164" spans="1:22" ht="24.75" customHeight="1">
      <c r="A164" s="141"/>
      <c r="B164" s="142" t="s">
        <v>179</v>
      </c>
      <c r="C164" s="143"/>
      <c r="D164" s="144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6">
        <f>SUM(T38-T150-T152-T156-T158-T162)</f>
        <v>56749769</v>
      </c>
      <c r="U164" s="146">
        <f>SUM(U38-U150-U152-U156-U158-U162)</f>
        <v>21711703.36100006</v>
      </c>
      <c r="V164" s="146">
        <f>SUM(V38-V150-V152-V156-V158-V162)</f>
        <v>26325397.753739536</v>
      </c>
    </row>
    <row r="165" spans="1:22" ht="15.75" customHeight="1">
      <c r="A165" s="154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5"/>
      <c r="U165" s="5"/>
      <c r="V165" s="5"/>
    </row>
    <row r="166" spans="1:22" ht="15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5"/>
      <c r="U166" s="5"/>
      <c r="V166" s="5"/>
    </row>
    <row r="167" spans="1:22" ht="15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5"/>
      <c r="U167" s="5"/>
      <c r="V167" s="5"/>
    </row>
    <row r="168" spans="1:22" ht="15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5"/>
      <c r="U168" s="5"/>
      <c r="V168" s="5"/>
    </row>
    <row r="169" spans="1:22" ht="15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5"/>
      <c r="U169" s="5"/>
      <c r="V169" s="5"/>
    </row>
    <row r="170" spans="1:22" ht="15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5"/>
      <c r="U170" s="5"/>
      <c r="V170" s="5"/>
    </row>
    <row r="171" spans="1:22" ht="15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5"/>
      <c r="U171" s="5"/>
      <c r="V171" s="5"/>
    </row>
    <row r="172" spans="1:22" ht="15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5"/>
      <c r="U172" s="5"/>
      <c r="V172" s="5"/>
    </row>
    <row r="173" spans="1:22" ht="15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5"/>
      <c r="U173" s="5"/>
      <c r="V173" s="5"/>
    </row>
    <row r="174" spans="1:22" ht="15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5"/>
      <c r="U174" s="5"/>
      <c r="V174" s="5"/>
    </row>
    <row r="175" spans="1:22" ht="15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5"/>
      <c r="U175" s="5"/>
      <c r="V175" s="5"/>
    </row>
    <row r="176" spans="1:22" ht="15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5"/>
      <c r="U176" s="5"/>
      <c r="V176" s="5"/>
    </row>
    <row r="177" spans="1:22" ht="15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5"/>
      <c r="U177" s="5"/>
      <c r="V177" s="5"/>
    </row>
    <row r="178" spans="1:22" ht="15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5"/>
      <c r="U178" s="5"/>
      <c r="V178" s="5"/>
    </row>
    <row r="179" spans="1:22" ht="15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5"/>
      <c r="U179" s="5"/>
      <c r="V179" s="5"/>
    </row>
    <row r="180" spans="1:22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5"/>
      <c r="U180" s="5"/>
      <c r="V180" s="5"/>
    </row>
    <row r="181" spans="1:22" ht="15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5"/>
      <c r="U181" s="5"/>
      <c r="V181" s="5"/>
    </row>
    <row r="182" spans="1:22" ht="15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5"/>
      <c r="U182" s="5"/>
      <c r="V182" s="5"/>
    </row>
    <row r="183" spans="1:22" ht="15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5"/>
      <c r="U183" s="5"/>
      <c r="V183" s="5"/>
    </row>
    <row r="184" spans="1:19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</sheetData>
  <mergeCells count="3">
    <mergeCell ref="A2:V2"/>
    <mergeCell ref="A3:V3"/>
    <mergeCell ref="A5:V5"/>
  </mergeCells>
  <printOptions/>
  <pageMargins left="1.1811023622047245" right="0.7874015748031497" top="0.984251968503937" bottom="0.984251968503937" header="0.5118110236220472" footer="0.5118110236220472"/>
  <pageSetup fitToHeight="2" fitToWidth="1" orientation="portrait" paperSize="9" scale="52" r:id="rId1"/>
  <rowBreaks count="2" manualBreakCount="2">
    <brk id="38" max="22" man="1"/>
    <brk id="11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2001-01-24T14:04:47Z</cp:lastPrinted>
  <dcterms:created xsi:type="dcterms:W3CDTF">2000-01-12T12:55:58Z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