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Triennale 2009-2011" sheetId="1" r:id="rId1"/>
    <sheet name=" relazione triennale" sheetId="2" r:id="rId2"/>
  </sheets>
  <definedNames/>
  <calcPr fullCalcOnLoad="1"/>
</workbook>
</file>

<file path=xl/sharedStrings.xml><?xml version="1.0" encoding="utf-8"?>
<sst xmlns="http://schemas.openxmlformats.org/spreadsheetml/2006/main" count="288" uniqueCount="161">
  <si>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</si>
  <si>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</si>
  <si>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</si>
  <si>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</si>
  <si>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</si>
  <si>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</si>
  <si>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</si>
  <si>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</si>
  <si>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</si>
  <si>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</si>
  <si>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</si>
  <si>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</si>
  <si>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d)</t>
  </si>
  <si>
    <t>f)</t>
  </si>
  <si>
    <t>h)</t>
  </si>
  <si>
    <t>l)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</si>
  <si>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</si>
  <si>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</si>
  <si>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</si>
  <si>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</si>
  <si>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</si>
  <si>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</si>
  <si>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</si>
  <si>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</si>
  <si>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</si>
  <si>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</si>
  <si>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7) Costi per servizi</t>
  </si>
  <si>
    <t xml:space="preserve"> 8) Costi per godimento beni di terzi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</si>
  <si>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</si>
  <si>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</si>
  <si>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</si>
  <si>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</si>
  <si>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</si>
  <si>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</si>
  <si>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</si>
  <si>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</si>
  <si>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</si>
  <si>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</si>
  <si>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</si>
  <si>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</si>
  <si>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</si>
  <si>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</si>
  <si>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</si>
  <si>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</si>
  <si>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</si>
  <si>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</si>
  <si>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</si>
  <si>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</si>
  <si>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</si>
  <si>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</si>
  <si>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</si>
  <si>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</si>
  <si>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</si>
  <si>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</si>
  <si>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</si>
  <si>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</si>
  <si>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 xml:space="preserve"> 21)</t>
  </si>
  <si>
    <t>Oneri</t>
  </si>
  <si>
    <t xml:space="preserve"> 22)</t>
  </si>
  <si>
    <t>RETT. DI VALORE DI ATTIVITA' FINANZIARIE</t>
  </si>
  <si>
    <t>AVANZO / DISAVANZO DI GESTIONE</t>
  </si>
  <si>
    <t xml:space="preserve"> - Ammortamento immob.immateriali</t>
  </si>
  <si>
    <t xml:space="preserve">Imposte dell'esercizio </t>
  </si>
  <si>
    <t xml:space="preserve"> - Ammortamento immob materiali</t>
  </si>
  <si>
    <t>Il bilancio triennale è stato effettuato in ragione delle seguenti variazioni:</t>
  </si>
  <si>
    <t>RICAVI</t>
  </si>
  <si>
    <t>C.D.I.</t>
  </si>
  <si>
    <t>COSTI</t>
  </si>
  <si>
    <t>R.S.A. "ISABELLA D'ESTE" E "LUIGI BIANCHI"</t>
  </si>
  <si>
    <t>IMPOSTE D'ESERCIZIO</t>
  </si>
  <si>
    <t>c)</t>
  </si>
  <si>
    <t xml:space="preserve"> - Altri accantonamenti </t>
  </si>
  <si>
    <t>FISIOTERAPIA</t>
  </si>
  <si>
    <t>S.A.D. e VOUCHER</t>
  </si>
  <si>
    <t>TRASPORTO PROTETTO</t>
  </si>
  <si>
    <t>Costi del personale</t>
  </si>
  <si>
    <t>I</t>
  </si>
  <si>
    <t>e)</t>
  </si>
  <si>
    <t>g)</t>
  </si>
  <si>
    <t>AREA INTEGRAZIONE SOCIALE</t>
  </si>
  <si>
    <t>AREA MINORI</t>
  </si>
  <si>
    <t>COMUNITA' ALLOGGIO HANDICAP</t>
  </si>
  <si>
    <t>PROVENTI AFFITTI E CONTRATTO DI SERVIZIO FARMACIE</t>
  </si>
  <si>
    <t>QUOTE FORFETTARIE SSN</t>
  </si>
  <si>
    <t>CONTRIBUTO PIANO DI ZONA</t>
  </si>
  <si>
    <t>CONTRIBUTO REGIONE LOMBARDIA EX-CIRCOLARE 4</t>
  </si>
  <si>
    <t>Fisioterapia</t>
  </si>
  <si>
    <t>SAD e Voucher</t>
  </si>
  <si>
    <t>Centro Diurno Integrato</t>
  </si>
  <si>
    <t>Area Minori</t>
  </si>
  <si>
    <t>RSA "Isabella D'Este"</t>
  </si>
  <si>
    <t>RSA "Luigi Bianchi"</t>
  </si>
  <si>
    <t xml:space="preserve">      -</t>
  </si>
  <si>
    <t>di cui: contributi in conto esercizio</t>
  </si>
  <si>
    <t xml:space="preserve"> contributo Fondo Sanitario Regionale</t>
  </si>
  <si>
    <t xml:space="preserve"> contributo Regionale per lavori I.D'Este</t>
  </si>
  <si>
    <t>R.S.A. "Luigi Bianchi"</t>
  </si>
  <si>
    <t>contributo Fondo Sanitario Regionale</t>
  </si>
  <si>
    <t xml:space="preserve"> contributo Regionale per lavori L.Bianchi</t>
  </si>
  <si>
    <t>S.A.D. - Voucher</t>
  </si>
  <si>
    <t>contributo ASL ex circolare 4</t>
  </si>
  <si>
    <t>contributo Piano di Zona Dormitorio</t>
  </si>
  <si>
    <t xml:space="preserve">Area Minori </t>
  </si>
  <si>
    <t>Servizio Affidi</t>
  </si>
  <si>
    <t>contributo Piano di Zona</t>
  </si>
  <si>
    <t>Altri ricavi e proventi Contratto di Servizio Farm.</t>
  </si>
  <si>
    <t>Altri ricavi e proventi affitti Farmacie Mantovane Srl</t>
  </si>
  <si>
    <t xml:space="preserve">Altri ricavi e proventi </t>
  </si>
  <si>
    <t>Ristorazione</t>
  </si>
  <si>
    <t>Servizio Trasporto Protetto</t>
  </si>
  <si>
    <t>-</t>
  </si>
  <si>
    <t>Costi comuni</t>
  </si>
  <si>
    <t>Compensi C.d.A.</t>
  </si>
  <si>
    <t>Compensi Collegio Revisori</t>
  </si>
  <si>
    <t xml:space="preserve"> - Oneri sociali (al netto fiscalizzazione)</t>
  </si>
  <si>
    <t xml:space="preserve"> - Trattamento di quiescienza e simili</t>
  </si>
  <si>
    <t>MARGINE OPERATIVO LORDO</t>
  </si>
  <si>
    <t>IRAP</t>
  </si>
  <si>
    <t>IRES</t>
  </si>
  <si>
    <t>Compensi Amministratori e Collegio Revisori</t>
  </si>
  <si>
    <t>ALTRI RICAVI PER PERSONALE IN DISTACCO/COMANDO</t>
  </si>
  <si>
    <t>Proventi</t>
  </si>
  <si>
    <t>progetto Alzheimer</t>
  </si>
  <si>
    <t xml:space="preserve">Area Integrazione Sociale </t>
  </si>
  <si>
    <t>Contributo  Ente Proprietario</t>
  </si>
  <si>
    <t>Contributo Ente proprietario</t>
  </si>
  <si>
    <t>Bilancio di Previsione Triennale  2009 - 2010 - 2011</t>
  </si>
  <si>
    <t xml:space="preserve">C. A. H. Viale Gorizia </t>
  </si>
  <si>
    <t>Studentato</t>
  </si>
  <si>
    <t xml:space="preserve"> - Altri costi per il personale </t>
  </si>
  <si>
    <t>NOTE AL TRIENNALE  2009 - 2010 - 2011</t>
  </si>
  <si>
    <r>
      <t xml:space="preserve">Per gli anni 2010 e 2011 </t>
    </r>
    <r>
      <rPr>
        <b/>
        <sz val="10"/>
        <rFont val="Arial"/>
        <family val="2"/>
      </rPr>
      <t>NESSUN AUMENTO</t>
    </r>
  </si>
  <si>
    <r>
      <t xml:space="preserve">Le rette per gli anni 2009 - 2010 - 2011 </t>
    </r>
    <r>
      <rPr>
        <b/>
        <sz val="10"/>
        <rFont val="Arial"/>
        <family val="2"/>
      </rPr>
      <t>NESSUN AUMENTO</t>
    </r>
  </si>
  <si>
    <r>
      <t xml:space="preserve">Aumentato nel 2010 - 2011 euro 200 x 4 posti letto ( Via Vesci) x 365 giorni = </t>
    </r>
    <r>
      <rPr>
        <b/>
        <sz val="10"/>
        <rFont val="Arial"/>
        <family val="2"/>
      </rPr>
      <t>12.000</t>
    </r>
  </si>
  <si>
    <t>NESSUN AUMENTO RETTE PER 2009 - 2010 - 2011</t>
  </si>
  <si>
    <r>
      <t xml:space="preserve">Anno 2009   </t>
    </r>
    <r>
      <rPr>
        <b/>
        <sz val="10"/>
        <rFont val="Arial"/>
        <family val="2"/>
      </rPr>
      <t>480.000</t>
    </r>
    <r>
      <rPr>
        <sz val="10"/>
        <rFont val="Arial"/>
        <family val="2"/>
      </rPr>
      <t xml:space="preserve"> - Anno 2010    - Anno 2011   </t>
    </r>
  </si>
  <si>
    <r>
      <t xml:space="preserve">Per l'anno 2009 c'è il nuovo affitto delle farmacia Gramsci di 75.000 mentre la Farmacia Due Pini è rimasto invariato pari ad euro 60.000 per un totale di </t>
    </r>
    <r>
      <rPr>
        <b/>
        <sz val="10"/>
        <rFont val="Arial"/>
        <family val="2"/>
      </rPr>
      <t>135.000,00</t>
    </r>
    <r>
      <rPr>
        <sz val="10"/>
        <rFont val="Arial"/>
        <family val="0"/>
      </rPr>
      <t xml:space="preserve"> e il contratto di servizio a </t>
    </r>
    <r>
      <rPr>
        <b/>
        <sz val="10"/>
        <rFont val="Arial"/>
        <family val="2"/>
      </rPr>
      <t>50.000,00</t>
    </r>
    <r>
      <rPr>
        <sz val="10"/>
        <rFont val="Arial"/>
        <family val="0"/>
      </rPr>
      <t xml:space="preserve">. </t>
    </r>
  </si>
  <si>
    <t>Nessun aumento per gli anni 2010 e 2011</t>
  </si>
  <si>
    <t>Nessun aumento per gli anni  2009 - 2010 - 2011</t>
  </si>
  <si>
    <t>NESSUN AUMENTO PER IL 2009 - 2010 - 2011</t>
  </si>
  <si>
    <t>E' stato previsto un' aumento rispetto al 2010 e 2011 del 1% .</t>
  </si>
  <si>
    <t>STUDENTATO</t>
  </si>
  <si>
    <t>Tra gli altri proventi abbiamo stimato interessi attivi di conto corrente di tesoreria pari ad 28.615,00 per l'anno 2009 mentre per l'anno 2010 la stima è pari a 25.000,00 e per il 2011 è di 21.300,00.</t>
  </si>
  <si>
    <t>Tra gli interessi ed altri oneri finanziari abbiamo calcolato interessi passivi su mutui pari ad 99.575,00 per l'anno 2009 mentre per l'anno 2010 l'importo è pari ad euro 98.315,00 e per il 2011 è di 97.016,00</t>
  </si>
  <si>
    <r>
      <t xml:space="preserve">Per l'anno </t>
    </r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IRAP</t>
    </r>
    <r>
      <rPr>
        <sz val="10"/>
        <rFont val="Arial"/>
        <family val="2"/>
      </rPr>
      <t xml:space="preserve"> 109.300,00 e </t>
    </r>
    <r>
      <rPr>
        <b/>
        <sz val="10"/>
        <rFont val="Arial"/>
        <family val="2"/>
      </rPr>
      <t>IRES</t>
    </r>
    <r>
      <rPr>
        <sz val="10"/>
        <rFont val="Arial"/>
        <family val="2"/>
      </rPr>
      <t xml:space="preserve"> 114.650,00. Per l'anno </t>
    </r>
    <r>
      <rPr>
        <b/>
        <sz val="10"/>
        <rFont val="Arial"/>
        <family val="2"/>
      </rPr>
      <t>2010 IRAP</t>
    </r>
    <r>
      <rPr>
        <sz val="10"/>
        <rFont val="Arial"/>
        <family val="2"/>
      </rPr>
      <t xml:space="preserve"> 111.845,00 e IRES 119.315,00. Per l'anno </t>
    </r>
    <r>
      <rPr>
        <b/>
        <sz val="10"/>
        <rFont val="Arial"/>
        <family val="2"/>
      </rPr>
      <t>2011 IRAP</t>
    </r>
    <r>
      <rPr>
        <sz val="10"/>
        <rFont val="Arial"/>
        <family val="2"/>
      </rPr>
      <t xml:space="preserve"> 112.730,00 e IRES 123.492,00</t>
    </r>
  </si>
  <si>
    <t>Per l'anno 2009 è stato previsto un aumento di euro 1,50 tasso di saturazione 99%</t>
  </si>
  <si>
    <r>
      <t xml:space="preserve">Aumentato tasso di saturazione per arrivare al 80% nel 2010 e 2011 pari ad euro </t>
    </r>
    <r>
      <rPr>
        <b/>
        <sz val="10"/>
        <rFont val="Arial"/>
        <family val="2"/>
      </rPr>
      <t>249.600.</t>
    </r>
  </si>
  <si>
    <t xml:space="preserve">Per l'anno 2009 è pari a quello del 2008 cosi come per il 2010 e il 2011 </t>
  </si>
  <si>
    <t>I costi d'esercizio per l'anno 2009 relativi agli acquisti, servizi, ammortamenti e oneri diversi di gestione sono aumentati del 1% ad eccezzione delle gare d'appalto già espletate e che verranno espletate entro quest'anno. quindi ho verificato voce per voce dal bilancio di previsione anno 2009 moltiplicando l'importo per l'1%; per gli anni 2010 e 2011 relativi agli acquisti, servizi, ammortamenti e oneri diversi di gestione sono aumentati del 1%. Nel costo godimento di terzi è stato messo l'affitto dell'immobile dello Studentato che il Comune ci chiede pari ad euro 118.000</t>
  </si>
  <si>
    <r>
      <t xml:space="preserve">Per l'anno 2009 inserito tra i Progetti dell'Assessorato: Licata, Angeloni, Rovesta e n° 2 Educatori per un importo pari ad euro </t>
    </r>
    <r>
      <rPr>
        <b/>
        <sz val="10"/>
        <rFont val="Arial"/>
        <family val="2"/>
      </rPr>
      <t>148.620,00 + Longhini 50% fino a Maggio e 100% da Giugno a Dicembre 2009 per euro 21.047 + rivalsa bolli 7.979 per un totale di euro 177.646</t>
    </r>
  </si>
  <si>
    <r>
      <t xml:space="preserve">Per gli anni 2010 e 2011 inserito tra i Progetti dell'Assessorato: Licata, Angeloni, Rovesta e n° 2 Educatori per un importo pari ad euro </t>
    </r>
    <r>
      <rPr>
        <b/>
        <sz val="10"/>
        <rFont val="Arial"/>
        <family val="2"/>
      </rPr>
      <t>148.620,00 + Longhini 50% fino a Maggio e 100% da Giugno a Dicembre 2009 per euro 21.047 + rivalsa bolli 7.979 per un totale di euro 177.646 aumentato dell'1%</t>
    </r>
  </si>
  <si>
    <r>
      <t xml:space="preserve">Tra i proventi da partecipazione troviamo gli utili delle Farmacie Mantovane Srl che per l'anno 2009 è previsto pari ad €. 222.679,24 mentre per l'anno 2010 è previsto un aumento del 13% pari ad euro </t>
    </r>
    <r>
      <rPr>
        <b/>
        <sz val="10"/>
        <rFont val="Arial"/>
        <family val="2"/>
      </rPr>
      <t>251.627</t>
    </r>
    <r>
      <rPr>
        <sz val="10"/>
        <rFont val="Arial"/>
        <family val="0"/>
      </rPr>
      <t xml:space="preserve"> e per l'anno 2011 è previsto un aumento del 12% pari ad euro </t>
    </r>
    <r>
      <rPr>
        <b/>
        <sz val="10"/>
        <rFont val="Arial"/>
        <family val="2"/>
      </rPr>
      <t>281.822</t>
    </r>
    <r>
      <rPr>
        <sz val="10"/>
        <rFont val="Arial"/>
        <family val="0"/>
      </rPr>
      <t>.</t>
    </r>
  </si>
  <si>
    <r>
      <t xml:space="preserve">Per l' anno 2010 </t>
    </r>
    <r>
      <rPr>
        <b/>
        <sz val="10"/>
        <rFont val="Arial"/>
        <family val="2"/>
      </rPr>
      <t>AUMENTO di 30.000 L.Bianchi</t>
    </r>
  </si>
  <si>
    <r>
      <t xml:space="preserve">Per l'anno 2011 aumento di euro 1,50 tasso di saturazione 99% = 1,5*174*365**99/100 = </t>
    </r>
    <r>
      <rPr>
        <b/>
        <sz val="10"/>
        <rFont val="Arial"/>
        <family val="2"/>
      </rPr>
      <t>94.312 per I.D'Este e 30.000 L.Bianchi</t>
    </r>
  </si>
  <si>
    <t>Nel 2010 aumento di 30.606 e nel 2011 di 31.696</t>
  </si>
  <si>
    <t>Nel 2010 aumento di 15.000 e nel 2011 di 30.000</t>
  </si>
  <si>
    <t xml:space="preserve">C.A.H. Viale Gorizia </t>
  </si>
  <si>
    <t>INFORMA GIOVANI</t>
  </si>
  <si>
    <t>Variazione Assesorato 18.11.2008 rinnovando il servizio fino al 30.09.2008 per 87.500</t>
  </si>
  <si>
    <t>i)</t>
  </si>
  <si>
    <t>Servizio Informagiovani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</si>
</sst>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0_);\(#,##0.0000000\)"/>
    <numFmt numFmtId="172" formatCode="00000"/>
  </numFmts>
  <fonts count="28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Swis721 Hv BT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0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i/>
      <sz val="16"/>
      <color indexed="9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2"/>
      <name val="Geneva"/>
      <family val="0"/>
    </font>
    <font>
      <i/>
      <sz val="12"/>
      <name val="Arial"/>
      <family val="2"/>
    </font>
    <font>
      <i/>
      <sz val="12"/>
      <name val="Geneve"/>
      <family val="0"/>
    </font>
    <font>
      <i/>
      <sz val="12"/>
      <name val="GeN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Font="1" applyAlignment="1">
      <alignment horizontal="justify" vertical="justify" wrapText="1"/>
    </xf>
    <xf numFmtId="4" fontId="10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70" fontId="14" fillId="4" borderId="3" xfId="0" applyNumberFormat="1" applyFont="1" applyFill="1" applyBorder="1" applyAlignment="1" applyProtection="1">
      <alignment horizontal="center" vertical="center"/>
      <protection/>
    </xf>
    <xf numFmtId="0" fontId="13" fillId="3" borderId="4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170" fontId="14" fillId="4" borderId="2" xfId="0" applyNumberFormat="1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170" fontId="14" fillId="4" borderId="5" xfId="0" applyNumberFormat="1" applyFont="1" applyFill="1" applyBorder="1" applyAlignment="1" applyProtection="1">
      <alignment horizontal="center" vertical="center"/>
      <protection/>
    </xf>
    <xf numFmtId="170" fontId="14" fillId="4" borderId="6" xfId="0" applyNumberFormat="1" applyFont="1" applyFill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vertical="center"/>
      <protection/>
    </xf>
    <xf numFmtId="170" fontId="16" fillId="4" borderId="7" xfId="0" applyNumberFormat="1" applyFont="1" applyFill="1" applyBorder="1" applyAlignment="1" applyProtection="1">
      <alignment vertical="center"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9" xfId="0" applyNumberFormat="1" applyFont="1" applyFill="1" applyBorder="1" applyAlignment="1" applyProtection="1">
      <alignment/>
      <protection/>
    </xf>
    <xf numFmtId="170" fontId="16" fillId="5" borderId="10" xfId="0" applyNumberFormat="1" applyFont="1" applyFill="1" applyBorder="1" applyAlignment="1" applyProtection="1">
      <alignment/>
      <protection/>
    </xf>
    <xf numFmtId="170" fontId="16" fillId="5" borderId="11" xfId="0" applyNumberFormat="1" applyFont="1" applyFill="1" applyBorder="1" applyAlignment="1" applyProtection="1">
      <alignment/>
      <protection/>
    </xf>
    <xf numFmtId="170" fontId="16" fillId="5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70" fontId="14" fillId="0" borderId="13" xfId="0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0" fontId="16" fillId="0" borderId="0" xfId="0" applyNumberFormat="1" applyFont="1" applyFill="1" applyBorder="1" applyAlignment="1" applyProtection="1">
      <alignment vertical="center"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8" xfId="0" applyNumberFormat="1" applyFont="1" applyFill="1" applyBorder="1" applyAlignment="1" applyProtection="1">
      <alignment/>
      <protection/>
    </xf>
    <xf numFmtId="170" fontId="16" fillId="0" borderId="9" xfId="0" applyNumberFormat="1" applyFont="1" applyFill="1" applyBorder="1" applyAlignment="1" applyProtection="1">
      <alignment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170" fontId="17" fillId="5" borderId="0" xfId="0" applyNumberFormat="1" applyFont="1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/>
      <protection/>
    </xf>
    <xf numFmtId="170" fontId="16" fillId="5" borderId="15" xfId="0" applyNumberFormat="1" applyFont="1" applyFill="1" applyBorder="1" applyAlignment="1" applyProtection="1">
      <alignment/>
      <protection/>
    </xf>
    <xf numFmtId="170" fontId="16" fillId="5" borderId="2" xfId="0" applyNumberFormat="1" applyFont="1" applyFill="1" applyBorder="1" applyAlignment="1" applyProtection="1">
      <alignment/>
      <protection/>
    </xf>
    <xf numFmtId="170" fontId="10" fillId="0" borderId="1" xfId="0" applyNumberFormat="1" applyFont="1" applyBorder="1" applyAlignment="1">
      <alignment/>
    </xf>
    <xf numFmtId="170" fontId="16" fillId="5" borderId="0" xfId="0" applyNumberFormat="1" applyFont="1" applyFill="1" applyBorder="1" applyAlignment="1" applyProtection="1">
      <alignment horizontal="center"/>
      <protection/>
    </xf>
    <xf numFmtId="170" fontId="16" fillId="5" borderId="16" xfId="0" applyNumberFormat="1" applyFont="1" applyFill="1" applyBorder="1" applyAlignment="1" applyProtection="1">
      <alignment/>
      <protection/>
    </xf>
    <xf numFmtId="0" fontId="16" fillId="5" borderId="16" xfId="0" applyFont="1" applyFill="1" applyBorder="1" applyAlignment="1" applyProtection="1">
      <alignment/>
      <protection/>
    </xf>
    <xf numFmtId="170" fontId="16" fillId="5" borderId="17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5" xfId="0" applyNumberFormat="1" applyFont="1" applyFill="1" applyBorder="1" applyAlignment="1" applyProtection="1">
      <alignment/>
      <protection/>
    </xf>
    <xf numFmtId="170" fontId="13" fillId="0" borderId="5" xfId="0" applyNumberFormat="1" applyFont="1" applyBorder="1" applyAlignment="1">
      <alignment/>
    </xf>
    <xf numFmtId="3" fontId="13" fillId="2" borderId="1" xfId="0" applyNumberFormat="1" applyFont="1" applyFill="1" applyBorder="1" applyAlignment="1">
      <alignment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9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5" borderId="2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/>
    </xf>
    <xf numFmtId="170" fontId="16" fillId="0" borderId="1" xfId="0" applyNumberFormat="1" applyFont="1" applyFill="1" applyBorder="1" applyAlignment="1" applyProtection="1">
      <alignment/>
      <protection/>
    </xf>
    <xf numFmtId="170" fontId="17" fillId="5" borderId="16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3" xfId="0" applyNumberFormat="1" applyFont="1" applyFill="1" applyBorder="1" applyAlignment="1" applyProtection="1">
      <alignment/>
      <protection/>
    </xf>
    <xf numFmtId="170" fontId="16" fillId="5" borderId="24" xfId="0" applyNumberFormat="1" applyFont="1" applyFill="1" applyBorder="1" applyAlignment="1" applyProtection="1">
      <alignment/>
      <protection/>
    </xf>
    <xf numFmtId="170" fontId="10" fillId="0" borderId="5" xfId="0" applyNumberFormat="1" applyFont="1" applyBorder="1" applyAlignment="1">
      <alignment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5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8" fillId="5" borderId="0" xfId="0" applyNumberFormat="1" applyFont="1" applyFill="1" applyBorder="1" applyAlignment="1" applyProtection="1">
      <alignment horizontal="center"/>
      <protection/>
    </xf>
    <xf numFmtId="170" fontId="18" fillId="5" borderId="0" xfId="0" applyNumberFormat="1" applyFont="1" applyFill="1" applyAlignment="1" applyProtection="1">
      <alignment/>
      <protection/>
    </xf>
    <xf numFmtId="0" fontId="16" fillId="5" borderId="0" xfId="0" applyFont="1" applyFill="1" applyAlignment="1" applyProtection="1">
      <alignment/>
      <protection/>
    </xf>
    <xf numFmtId="170" fontId="16" fillId="5" borderId="0" xfId="0" applyNumberFormat="1" applyFont="1" applyFill="1" applyAlignment="1" applyProtection="1">
      <alignment/>
      <protection/>
    </xf>
    <xf numFmtId="170" fontId="10" fillId="0" borderId="10" xfId="0" applyNumberFormat="1" applyFont="1" applyBorder="1" applyAlignment="1">
      <alignment/>
    </xf>
    <xf numFmtId="41" fontId="13" fillId="0" borderId="25" xfId="16" applyFont="1" applyBorder="1" applyAlignment="1">
      <alignment horizontal="right"/>
    </xf>
    <xf numFmtId="0" fontId="13" fillId="0" borderId="24" xfId="0" applyFont="1" applyBorder="1" applyAlignment="1">
      <alignment/>
    </xf>
    <xf numFmtId="170" fontId="16" fillId="5" borderId="14" xfId="0" applyNumberFormat="1" applyFont="1" applyFill="1" applyBorder="1" applyAlignment="1" applyProtection="1">
      <alignment/>
      <protection/>
    </xf>
    <xf numFmtId="170" fontId="16" fillId="5" borderId="14" xfId="0" applyNumberFormat="1" applyFont="1" applyFill="1" applyBorder="1" applyAlignment="1" applyProtection="1">
      <alignment/>
      <protection/>
    </xf>
    <xf numFmtId="170" fontId="16" fillId="5" borderId="16" xfId="0" applyNumberFormat="1" applyFont="1" applyFill="1" applyBorder="1" applyAlignment="1" applyProtection="1">
      <alignment/>
      <protection/>
    </xf>
    <xf numFmtId="170" fontId="13" fillId="0" borderId="12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 horizontal="center"/>
      <protection/>
    </xf>
    <xf numFmtId="170" fontId="16" fillId="5" borderId="0" xfId="0" applyNumberFormat="1" applyFont="1" applyFill="1" applyBorder="1" applyAlignment="1" applyProtection="1">
      <alignment/>
      <protection/>
    </xf>
    <xf numFmtId="41" fontId="13" fillId="0" borderId="19" xfId="16" applyFont="1" applyBorder="1" applyAlignment="1">
      <alignment horizontal="right"/>
    </xf>
    <xf numFmtId="170" fontId="16" fillId="5" borderId="13" xfId="0" applyNumberFormat="1" applyFont="1" applyFill="1" applyBorder="1" applyAlignment="1" applyProtection="1">
      <alignment/>
      <protection/>
    </xf>
    <xf numFmtId="170" fontId="16" fillId="5" borderId="12" xfId="0" applyNumberFormat="1" applyFont="1" applyFill="1" applyBorder="1" applyAlignment="1" applyProtection="1">
      <alignment/>
      <protection/>
    </xf>
    <xf numFmtId="170" fontId="10" fillId="0" borderId="1" xfId="0" applyNumberFormat="1" applyFont="1" applyFill="1" applyBorder="1" applyAlignment="1">
      <alignment/>
    </xf>
    <xf numFmtId="170" fontId="13" fillId="0" borderId="24" xfId="0" applyNumberFormat="1" applyFont="1" applyBorder="1" applyAlignment="1">
      <alignment/>
    </xf>
    <xf numFmtId="0" fontId="10" fillId="0" borderId="16" xfId="0" applyFont="1" applyBorder="1" applyAlignment="1">
      <alignment/>
    </xf>
    <xf numFmtId="170" fontId="14" fillId="6" borderId="10" xfId="0" applyNumberFormat="1" applyFont="1" applyFill="1" applyBorder="1" applyAlignment="1" applyProtection="1">
      <alignment/>
      <protection/>
    </xf>
    <xf numFmtId="170" fontId="14" fillId="6" borderId="10" xfId="0" applyNumberFormat="1" applyFont="1" applyFill="1" applyBorder="1" applyAlignment="1" applyProtection="1">
      <alignment/>
      <protection/>
    </xf>
    <xf numFmtId="170" fontId="10" fillId="7" borderId="2" xfId="0" applyNumberFormat="1" applyFont="1" applyFill="1" applyBorder="1" applyAlignment="1">
      <alignment/>
    </xf>
    <xf numFmtId="170" fontId="16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>
      <alignment/>
    </xf>
    <xf numFmtId="170" fontId="14" fillId="4" borderId="24" xfId="0" applyNumberFormat="1" applyFont="1" applyFill="1" applyBorder="1" applyAlignment="1" applyProtection="1">
      <alignment vertical="center"/>
      <protection/>
    </xf>
    <xf numFmtId="0" fontId="16" fillId="4" borderId="24" xfId="0" applyFont="1" applyFill="1" applyBorder="1" applyAlignment="1" applyProtection="1">
      <alignment vertical="center"/>
      <protection/>
    </xf>
    <xf numFmtId="170" fontId="16" fillId="4" borderId="24" xfId="0" applyNumberFormat="1" applyFont="1" applyFill="1" applyBorder="1" applyAlignment="1" applyProtection="1">
      <alignment vertical="center"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9" xfId="0" applyNumberFormat="1" applyFont="1" applyFill="1" applyBorder="1" applyAlignment="1" applyProtection="1">
      <alignment/>
      <protection/>
    </xf>
    <xf numFmtId="170" fontId="16" fillId="0" borderId="10" xfId="0" applyNumberFormat="1" applyFont="1" applyFill="1" applyBorder="1" applyAlignment="1" applyProtection="1">
      <alignment/>
      <protection/>
    </xf>
    <xf numFmtId="3" fontId="15" fillId="0" borderId="1" xfId="0" applyNumberFormat="1" applyFont="1" applyBorder="1" applyAlignment="1">
      <alignment/>
    </xf>
    <xf numFmtId="170" fontId="16" fillId="0" borderId="4" xfId="0" applyNumberFormat="1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>
      <alignment/>
    </xf>
    <xf numFmtId="170" fontId="16" fillId="5" borderId="26" xfId="0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/>
    </xf>
    <xf numFmtId="170" fontId="16" fillId="0" borderId="2" xfId="0" applyNumberFormat="1" applyFont="1" applyFill="1" applyBorder="1" applyAlignment="1" applyProtection="1">
      <alignment/>
      <protection/>
    </xf>
    <xf numFmtId="170" fontId="16" fillId="0" borderId="2" xfId="0" applyNumberFormat="1" applyFont="1" applyFill="1" applyBorder="1" applyAlignment="1" applyProtection="1">
      <alignment/>
      <protection/>
    </xf>
    <xf numFmtId="170" fontId="16" fillId="5" borderId="27" xfId="0" applyNumberFormat="1" applyFont="1" applyFill="1" applyBorder="1" applyAlignment="1" applyProtection="1">
      <alignment/>
      <protection/>
    </xf>
    <xf numFmtId="170" fontId="16" fillId="5" borderId="3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170" fontId="16" fillId="5" borderId="28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0" borderId="22" xfId="0" applyNumberFormat="1" applyFont="1" applyFill="1" applyBorder="1" applyAlignment="1" applyProtection="1">
      <alignment/>
      <protection/>
    </xf>
    <xf numFmtId="0" fontId="18" fillId="5" borderId="16" xfId="0" applyFont="1" applyFill="1" applyBorder="1" applyAlignment="1" applyProtection="1">
      <alignment/>
      <protection/>
    </xf>
    <xf numFmtId="0" fontId="19" fillId="0" borderId="16" xfId="0" applyFont="1" applyBorder="1" applyAlignment="1">
      <alignment/>
    </xf>
    <xf numFmtId="170" fontId="18" fillId="5" borderId="16" xfId="0" applyNumberFormat="1" applyFont="1" applyFill="1" applyBorder="1" applyAlignment="1" applyProtection="1">
      <alignment/>
      <protection/>
    </xf>
    <xf numFmtId="170" fontId="16" fillId="0" borderId="22" xfId="0" applyNumberFormat="1" applyFont="1" applyFill="1" applyBorder="1" applyAlignment="1" applyProtection="1">
      <alignment/>
      <protection/>
    </xf>
    <xf numFmtId="170" fontId="14" fillId="0" borderId="21" xfId="0" applyNumberFormat="1" applyFont="1" applyFill="1" applyBorder="1" applyAlignment="1" applyProtection="1">
      <alignment/>
      <protection/>
    </xf>
    <xf numFmtId="41" fontId="13" fillId="0" borderId="24" xfId="16" applyFont="1" applyBorder="1" applyAlignment="1">
      <alignment/>
    </xf>
    <xf numFmtId="170" fontId="16" fillId="5" borderId="29" xfId="0" applyNumberFormat="1" applyFont="1" applyFill="1" applyBorder="1" applyAlignment="1" applyProtection="1">
      <alignment/>
      <protection/>
    </xf>
    <xf numFmtId="171" fontId="16" fillId="5" borderId="16" xfId="0" applyNumberFormat="1" applyFont="1" applyFill="1" applyBorder="1" applyAlignment="1" applyProtection="1">
      <alignment/>
      <protection/>
    </xf>
    <xf numFmtId="41" fontId="13" fillId="0" borderId="25" xfId="16" applyFont="1" applyFill="1" applyBorder="1" applyAlignment="1">
      <alignment/>
    </xf>
    <xf numFmtId="41" fontId="13" fillId="0" borderId="25" xfId="16" applyFont="1" applyFill="1" applyBorder="1" applyAlignment="1">
      <alignment/>
    </xf>
    <xf numFmtId="41" fontId="13" fillId="0" borderId="2" xfId="16" applyFont="1" applyFill="1" applyBorder="1" applyAlignment="1">
      <alignment/>
    </xf>
    <xf numFmtId="170" fontId="16" fillId="0" borderId="28" xfId="0" applyNumberFormat="1" applyFont="1" applyFill="1" applyBorder="1" applyAlignment="1" applyProtection="1">
      <alignment/>
      <protection/>
    </xf>
    <xf numFmtId="0" fontId="16" fillId="5" borderId="18" xfId="0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170" fontId="18" fillId="5" borderId="0" xfId="0" applyNumberFormat="1" applyFont="1" applyFill="1" applyBorder="1" applyAlignment="1" applyProtection="1">
      <alignment/>
      <protection/>
    </xf>
    <xf numFmtId="0" fontId="16" fillId="5" borderId="1" xfId="0" applyFont="1" applyFill="1" applyBorder="1" applyAlignment="1" applyProtection="1">
      <alignment/>
      <protection/>
    </xf>
    <xf numFmtId="9" fontId="20" fillId="5" borderId="1" xfId="17" applyFont="1" applyFill="1" applyBorder="1" applyAlignment="1" applyProtection="1">
      <alignment/>
      <protection/>
    </xf>
    <xf numFmtId="0" fontId="18" fillId="5" borderId="18" xfId="0" applyFont="1" applyFill="1" applyBorder="1" applyAlignment="1" applyProtection="1">
      <alignment/>
      <protection/>
    </xf>
    <xf numFmtId="0" fontId="19" fillId="0" borderId="1" xfId="0" applyFont="1" applyBorder="1" applyAlignment="1">
      <alignment/>
    </xf>
    <xf numFmtId="170" fontId="21" fillId="5" borderId="1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6" fillId="5" borderId="4" xfId="0" applyNumberFormat="1" applyFont="1" applyFill="1" applyBorder="1" applyAlignment="1" applyProtection="1">
      <alignment/>
      <protection/>
    </xf>
    <xf numFmtId="0" fontId="17" fillId="5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/>
    </xf>
    <xf numFmtId="0" fontId="17" fillId="5" borderId="18" xfId="0" applyFont="1" applyFill="1" applyBorder="1" applyAlignment="1" applyProtection="1">
      <alignment/>
      <protection/>
    </xf>
    <xf numFmtId="0" fontId="22" fillId="0" borderId="1" xfId="0" applyFont="1" applyBorder="1" applyAlignment="1">
      <alignment/>
    </xf>
    <xf numFmtId="170" fontId="17" fillId="5" borderId="1" xfId="0" applyNumberFormat="1" applyFont="1" applyFill="1" applyBorder="1" applyAlignment="1" applyProtection="1">
      <alignment/>
      <protection/>
    </xf>
    <xf numFmtId="170" fontId="16" fillId="5" borderId="10" xfId="0" applyNumberFormat="1" applyFont="1" applyFill="1" applyBorder="1" applyAlignment="1" applyProtection="1">
      <alignment/>
      <protection/>
    </xf>
    <xf numFmtId="3" fontId="13" fillId="0" borderId="10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Border="1" applyAlignment="1">
      <alignment/>
    </xf>
    <xf numFmtId="170" fontId="14" fillId="6" borderId="14" xfId="0" applyNumberFormat="1" applyFont="1" applyFill="1" applyBorder="1" applyAlignment="1" applyProtection="1">
      <alignment/>
      <protection/>
    </xf>
    <xf numFmtId="170" fontId="14" fillId="6" borderId="14" xfId="0" applyNumberFormat="1" applyFont="1" applyFill="1" applyBorder="1" applyAlignment="1" applyProtection="1">
      <alignment/>
      <protection/>
    </xf>
    <xf numFmtId="170" fontId="10" fillId="7" borderId="14" xfId="0" applyNumberFormat="1" applyFont="1" applyFill="1" applyBorder="1" applyAlignment="1">
      <alignment/>
    </xf>
    <xf numFmtId="170" fontId="18" fillId="5" borderId="24" xfId="0" applyNumberFormat="1" applyFont="1" applyFill="1" applyBorder="1" applyAlignment="1" applyProtection="1">
      <alignment/>
      <protection/>
    </xf>
    <xf numFmtId="170" fontId="16" fillId="4" borderId="16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0" fontId="17" fillId="0" borderId="13" xfId="0" applyNumberFormat="1" applyFont="1" applyFill="1" applyBorder="1" applyAlignment="1" applyProtection="1">
      <alignment/>
      <protection/>
    </xf>
    <xf numFmtId="0" fontId="22" fillId="0" borderId="24" xfId="0" applyFont="1" applyFill="1" applyBorder="1" applyAlignment="1">
      <alignment/>
    </xf>
    <xf numFmtId="170" fontId="17" fillId="0" borderId="24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170" fontId="17" fillId="0" borderId="16" xfId="0" applyNumberFormat="1" applyFont="1" applyFill="1" applyBorder="1" applyAlignment="1" applyProtection="1">
      <alignment/>
      <protection/>
    </xf>
    <xf numFmtId="170" fontId="16" fillId="0" borderId="24" xfId="0" applyNumberFormat="1" applyFont="1" applyFill="1" applyBorder="1" applyAlignment="1" applyProtection="1">
      <alignment/>
      <protection/>
    </xf>
    <xf numFmtId="170" fontId="14" fillId="4" borderId="13" xfId="0" applyNumberFormat="1" applyFont="1" applyFill="1" applyBorder="1" applyAlignment="1" applyProtection="1">
      <alignment vertical="center"/>
      <protection/>
    </xf>
    <xf numFmtId="0" fontId="16" fillId="4" borderId="13" xfId="0" applyFont="1" applyFill="1" applyBorder="1" applyAlignment="1" applyProtection="1">
      <alignment vertical="center"/>
      <protection/>
    </xf>
    <xf numFmtId="170" fontId="16" fillId="4" borderId="13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/>
    </xf>
    <xf numFmtId="170" fontId="14" fillId="0" borderId="24" xfId="0" applyNumberFormat="1" applyFont="1" applyFill="1" applyBorder="1" applyAlignment="1" applyProtection="1">
      <alignment/>
      <protection/>
    </xf>
    <xf numFmtId="170" fontId="14" fillId="5" borderId="0" xfId="0" applyNumberFormat="1" applyFont="1" applyFill="1" applyBorder="1" applyAlignment="1" applyProtection="1">
      <alignment/>
      <protection/>
    </xf>
    <xf numFmtId="170" fontId="16" fillId="5" borderId="30" xfId="0" applyNumberFormat="1" applyFont="1" applyFill="1" applyBorder="1" applyAlignment="1" applyProtection="1">
      <alignment/>
      <protection/>
    </xf>
    <xf numFmtId="170" fontId="14" fillId="5" borderId="24" xfId="0" applyNumberFormat="1" applyFont="1" applyFill="1" applyBorder="1" applyAlignment="1" applyProtection="1">
      <alignment/>
      <protection/>
    </xf>
    <xf numFmtId="170" fontId="16" fillId="4" borderId="28" xfId="0" applyNumberFormat="1" applyFont="1" applyFill="1" applyBorder="1" applyAlignment="1" applyProtection="1">
      <alignment vertical="center"/>
      <protection/>
    </xf>
    <xf numFmtId="0" fontId="15" fillId="0" borderId="24" xfId="0" applyFont="1" applyBorder="1" applyAlignment="1">
      <alignment/>
    </xf>
    <xf numFmtId="0" fontId="15" fillId="0" borderId="0" xfId="0" applyFont="1" applyAlignment="1">
      <alignment/>
    </xf>
    <xf numFmtId="170" fontId="16" fillId="4" borderId="18" xfId="0" applyNumberFormat="1" applyFont="1" applyFill="1" applyBorder="1" applyAlignment="1" applyProtection="1">
      <alignment vertical="center"/>
      <protection/>
    </xf>
    <xf numFmtId="170" fontId="10" fillId="7" borderId="1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70" fontId="10" fillId="0" borderId="12" xfId="0" applyNumberFormat="1" applyFont="1" applyBorder="1" applyAlignment="1">
      <alignment/>
    </xf>
    <xf numFmtId="4" fontId="13" fillId="0" borderId="1" xfId="0" applyNumberFormat="1" applyFont="1" applyFill="1" applyBorder="1" applyAlignment="1">
      <alignment/>
    </xf>
    <xf numFmtId="4" fontId="23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justify" wrapText="1"/>
    </xf>
    <xf numFmtId="0" fontId="16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/>
    </xf>
    <xf numFmtId="170" fontId="16" fillId="0" borderId="16" xfId="0" applyNumberFormat="1" applyFont="1" applyFill="1" applyBorder="1" applyAlignment="1" applyProtection="1">
      <alignment/>
      <protection/>
    </xf>
    <xf numFmtId="170" fontId="16" fillId="0" borderId="5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41" fontId="13" fillId="0" borderId="25" xfId="16" applyFont="1" applyFill="1" applyBorder="1" applyAlignment="1">
      <alignment horizontal="right"/>
    </xf>
    <xf numFmtId="170" fontId="16" fillId="0" borderId="21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70" fontId="16" fillId="0" borderId="0" xfId="0" applyNumberFormat="1" applyFont="1" applyFill="1" applyBorder="1" applyAlignment="1" applyProtection="1">
      <alignment/>
      <protection/>
    </xf>
    <xf numFmtId="170" fontId="16" fillId="0" borderId="4" xfId="0" applyNumberFormat="1" applyFont="1" applyFill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 horizontal="center"/>
      <protection/>
    </xf>
    <xf numFmtId="170" fontId="18" fillId="0" borderId="0" xfId="0" applyNumberFormat="1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170" fontId="16" fillId="0" borderId="17" xfId="0" applyNumberFormat="1" applyFont="1" applyFill="1" applyBorder="1" applyAlignment="1" applyProtection="1">
      <alignment/>
      <protection/>
    </xf>
    <xf numFmtId="0" fontId="13" fillId="0" borderId="24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4" fontId="24" fillId="0" borderId="1" xfId="0" applyNumberFormat="1" applyFont="1" applyFill="1" applyBorder="1" applyAlignment="1" applyProtection="1">
      <alignment/>
      <protection/>
    </xf>
    <xf numFmtId="4" fontId="13" fillId="0" borderId="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 locked="0"/>
    </xf>
    <xf numFmtId="170" fontId="14" fillId="6" borderId="0" xfId="0" applyNumberFormat="1" applyFont="1" applyFill="1" applyBorder="1" applyAlignment="1" applyProtection="1">
      <alignment/>
      <protection/>
    </xf>
    <xf numFmtId="170" fontId="14" fillId="6" borderId="0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>
      <alignment/>
    </xf>
    <xf numFmtId="170" fontId="10" fillId="7" borderId="0" xfId="0" applyNumberFormat="1" applyFont="1" applyFill="1" applyBorder="1" applyAlignment="1">
      <alignment/>
    </xf>
    <xf numFmtId="4" fontId="13" fillId="0" borderId="1" xfId="0" applyNumberFormat="1" applyFont="1" applyBorder="1" applyAlignment="1" applyProtection="1">
      <alignment/>
      <protection locked="0"/>
    </xf>
    <xf numFmtId="4" fontId="23" fillId="0" borderId="1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0" fontId="14" fillId="0" borderId="24" xfId="0" applyNumberFormat="1" applyFont="1" applyFill="1" applyBorder="1" applyAlignment="1" applyProtection="1">
      <alignment horizontal="center" vertical="center"/>
      <protection/>
    </xf>
    <xf numFmtId="4" fontId="24" fillId="0" borderId="1" xfId="0" applyNumberFormat="1" applyFont="1" applyFill="1" applyBorder="1" applyAlignment="1">
      <alignment/>
    </xf>
    <xf numFmtId="4" fontId="26" fillId="0" borderId="1" xfId="0" applyNumberFormat="1" applyFont="1" applyFill="1" applyBorder="1" applyAlignment="1">
      <alignment/>
    </xf>
    <xf numFmtId="4" fontId="27" fillId="0" borderId="1" xfId="0" applyNumberFormat="1" applyFont="1" applyFill="1" applyBorder="1" applyAlignment="1">
      <alignment/>
    </xf>
    <xf numFmtId="170" fontId="14" fillId="0" borderId="17" xfId="0" applyNumberFormat="1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vertical="center"/>
      <protection/>
    </xf>
    <xf numFmtId="170" fontId="16" fillId="0" borderId="3" xfId="0" applyNumberFormat="1" applyFont="1" applyFill="1" applyBorder="1" applyAlignment="1" applyProtection="1">
      <alignment vertical="center"/>
      <protection/>
    </xf>
    <xf numFmtId="170" fontId="14" fillId="0" borderId="18" xfId="0" applyNumberFormat="1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/>
    </xf>
    <xf numFmtId="170" fontId="16" fillId="0" borderId="5" xfId="0" applyNumberFormat="1" applyFont="1" applyFill="1" applyBorder="1" applyAlignment="1" applyProtection="1">
      <alignment vertical="center"/>
      <protection/>
    </xf>
    <xf numFmtId="4" fontId="13" fillId="0" borderId="1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>
      <alignment/>
    </xf>
    <xf numFmtId="170" fontId="10" fillId="0" borderId="12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/>
    </xf>
    <xf numFmtId="4" fontId="26" fillId="0" borderId="1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5"/>
  <sheetViews>
    <sheetView tabSelected="1" zoomScale="75" zoomScaleNormal="75" workbookViewId="0" topLeftCell="B137">
      <selection activeCell="U133" sqref="U133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53.7109375" style="1" customWidth="1"/>
    <col min="5" max="5" width="12.57421875" style="13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9" hidden="1" customWidth="1"/>
  </cols>
  <sheetData>
    <row r="1" ht="27.75" customHeight="1"/>
    <row r="2" spans="1:22" ht="27.75" customHeight="1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27.75" customHeight="1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"/>
      <c r="T4" s="7"/>
      <c r="U4" s="7"/>
      <c r="V4" s="7"/>
    </row>
    <row r="5" spans="1:22" ht="27.75" customHeight="1">
      <c r="A5" s="244" t="s">
        <v>126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</row>
    <row r="6" spans="1:22" ht="27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0"/>
      <c r="X9" s="10"/>
      <c r="Y9" s="10"/>
    </row>
    <row r="10" spans="1:25" s="31" customFormat="1" ht="18.75" customHeight="1">
      <c r="A10" s="23"/>
      <c r="B10" s="23"/>
      <c r="C10" s="23"/>
      <c r="D10" s="23"/>
      <c r="E10" s="24" t="s">
        <v>2</v>
      </c>
      <c r="F10" s="25" t="s">
        <v>3</v>
      </c>
      <c r="G10" s="26"/>
      <c r="H10" s="25" t="s">
        <v>4</v>
      </c>
      <c r="I10" s="27"/>
      <c r="J10" s="28"/>
      <c r="K10" s="28"/>
      <c r="L10" s="28"/>
      <c r="M10" s="26" t="s">
        <v>5</v>
      </c>
      <c r="N10" s="29" t="s">
        <v>6</v>
      </c>
      <c r="O10" s="26"/>
      <c r="P10" s="26"/>
      <c r="Q10" s="26"/>
      <c r="R10" s="26"/>
      <c r="S10" s="26"/>
      <c r="T10" s="30">
        <v>2009</v>
      </c>
      <c r="U10" s="30">
        <v>2010</v>
      </c>
      <c r="V10" s="30">
        <f>U10+1</f>
        <v>2011</v>
      </c>
      <c r="W10" s="30">
        <v>2002</v>
      </c>
      <c r="X10" s="30">
        <v>2003</v>
      </c>
      <c r="Y10" s="30">
        <v>2004</v>
      </c>
    </row>
    <row r="11" spans="1:25" s="31" customFormat="1" ht="15.75" customHeight="1">
      <c r="A11" s="32" t="s">
        <v>7</v>
      </c>
      <c r="B11" s="33" t="s">
        <v>8</v>
      </c>
      <c r="C11" s="34"/>
      <c r="D11" s="35"/>
      <c r="E11" s="36"/>
      <c r="F11" s="37"/>
      <c r="G11" s="37"/>
      <c r="H11" s="38"/>
      <c r="I11" s="39"/>
      <c r="J11" s="40"/>
      <c r="K11" s="37"/>
      <c r="L11" s="37"/>
      <c r="M11" s="38"/>
      <c r="N11" s="39"/>
      <c r="O11" s="39"/>
      <c r="P11" s="41"/>
      <c r="Q11" s="41"/>
      <c r="R11" s="41"/>
      <c r="S11" s="41"/>
      <c r="T11" s="42"/>
      <c r="U11" s="42"/>
      <c r="V11" s="43"/>
      <c r="W11" s="42"/>
      <c r="X11" s="42"/>
      <c r="Y11" s="43"/>
    </row>
    <row r="12" spans="1:25" s="56" customFormat="1" ht="15.75" customHeight="1">
      <c r="A12" s="44"/>
      <c r="B12" s="45"/>
      <c r="C12" s="46"/>
      <c r="D12" s="47"/>
      <c r="E12" s="48"/>
      <c r="F12" s="49"/>
      <c r="G12" s="49"/>
      <c r="H12" s="50"/>
      <c r="I12" s="51"/>
      <c r="J12" s="52"/>
      <c r="K12" s="49"/>
      <c r="L12" s="49"/>
      <c r="M12" s="50"/>
      <c r="N12" s="51"/>
      <c r="O12" s="51"/>
      <c r="P12" s="53"/>
      <c r="Q12" s="53"/>
      <c r="R12" s="53"/>
      <c r="S12" s="53"/>
      <c r="T12" s="54"/>
      <c r="U12" s="54"/>
      <c r="V12" s="55"/>
      <c r="W12" s="54"/>
      <c r="X12" s="54"/>
      <c r="Y12" s="55"/>
    </row>
    <row r="13" spans="1:25" s="31" customFormat="1" ht="18" customHeight="1">
      <c r="A13" s="57" t="s">
        <v>9</v>
      </c>
      <c r="B13" s="57"/>
      <c r="C13" s="58"/>
      <c r="D13" s="41"/>
      <c r="E13" s="59"/>
      <c r="F13" s="37"/>
      <c r="G13" s="37"/>
      <c r="H13" s="38"/>
      <c r="I13" s="60"/>
      <c r="J13" s="40"/>
      <c r="K13" s="37"/>
      <c r="L13" s="37"/>
      <c r="M13" s="38"/>
      <c r="N13" s="60"/>
      <c r="O13" s="60"/>
      <c r="P13" s="41"/>
      <c r="Q13" s="41"/>
      <c r="R13" s="41"/>
      <c r="S13" s="41"/>
      <c r="T13" s="198">
        <f aca="true" t="shared" si="0" ref="T13:Y13">SUM(T14:T24)</f>
        <v>4336217.8</v>
      </c>
      <c r="U13" s="198">
        <f t="shared" si="0"/>
        <v>4429924.649999999</v>
      </c>
      <c r="V13" s="198">
        <f t="shared" si="0"/>
        <v>4585933.28</v>
      </c>
      <c r="W13" s="61">
        <f t="shared" si="0"/>
        <v>3961504157</v>
      </c>
      <c r="X13" s="61">
        <f t="shared" si="0"/>
        <v>4735633844.256</v>
      </c>
      <c r="Y13" s="61">
        <f t="shared" si="0"/>
        <v>5509914731.512108</v>
      </c>
    </row>
    <row r="14" spans="1:25" s="31" customFormat="1" ht="18" customHeight="1">
      <c r="A14" s="62" t="s">
        <v>10</v>
      </c>
      <c r="B14" s="63" t="s">
        <v>90</v>
      </c>
      <c r="C14" s="64"/>
      <c r="D14" s="65"/>
      <c r="E14" s="66">
        <v>2140000000</v>
      </c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8"/>
      <c r="Q14" s="68"/>
      <c r="R14" s="68"/>
      <c r="S14" s="68"/>
      <c r="T14" s="197">
        <v>1849027.96</v>
      </c>
      <c r="U14" s="197">
        <f>T14</f>
        <v>1849027.96</v>
      </c>
      <c r="V14" s="197">
        <f>U14+((119*1.5*365)*99/100)</f>
        <v>1913528.935</v>
      </c>
      <c r="W14" s="69">
        <f>2604350000+50000000</f>
        <v>2654350000</v>
      </c>
      <c r="X14" s="70">
        <f>(W14*1.05)+(73000*180*40)</f>
        <v>3312667500</v>
      </c>
      <c r="Y14" s="70">
        <f>(W14*1.1)+(73000*360*40)</f>
        <v>3970985000</v>
      </c>
    </row>
    <row r="15" spans="1:25" s="31" customFormat="1" ht="18" customHeight="1">
      <c r="A15" s="62" t="s">
        <v>11</v>
      </c>
      <c r="B15" s="63" t="s">
        <v>91</v>
      </c>
      <c r="C15" s="64"/>
      <c r="D15" s="71"/>
      <c r="E15" s="72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8"/>
      <c r="Q15" s="68"/>
      <c r="R15" s="68"/>
      <c r="S15" s="68"/>
      <c r="T15" s="197">
        <v>894432.5</v>
      </c>
      <c r="U15" s="197">
        <f>T15+30000</f>
        <v>924432.5</v>
      </c>
      <c r="V15" s="197">
        <f>U15+((55*1.5*365)*99/100)</f>
        <v>954243.875</v>
      </c>
      <c r="W15" s="69"/>
      <c r="X15" s="70"/>
      <c r="Y15" s="70"/>
    </row>
    <row r="16" spans="1:25" s="31" customFormat="1" ht="18.75" customHeight="1">
      <c r="A16" s="62" t="s">
        <v>70</v>
      </c>
      <c r="B16" s="63" t="s">
        <v>86</v>
      </c>
      <c r="C16" s="64"/>
      <c r="D16" s="71"/>
      <c r="E16" s="72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197">
        <v>88990.3</v>
      </c>
      <c r="U16" s="197">
        <f>T16+20000+10000+606.85</f>
        <v>119597.15000000001</v>
      </c>
      <c r="V16" s="197">
        <f>U16+31696.28</f>
        <v>151293.43</v>
      </c>
      <c r="W16" s="69"/>
      <c r="X16" s="70"/>
      <c r="Y16" s="70"/>
    </row>
    <row r="17" spans="1:25" s="31" customFormat="1" ht="18.75" customHeight="1">
      <c r="A17" s="62" t="s">
        <v>12</v>
      </c>
      <c r="B17" s="63" t="s">
        <v>87</v>
      </c>
      <c r="C17" s="64"/>
      <c r="D17" s="73"/>
      <c r="E17" s="72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197">
        <v>436285.2</v>
      </c>
      <c r="U17" s="197">
        <f>T17+15000</f>
        <v>451285.2</v>
      </c>
      <c r="V17" s="197">
        <f>U17+30000</f>
        <v>481285.2</v>
      </c>
      <c r="W17" s="69">
        <f>245280000+445447490</f>
        <v>690727490</v>
      </c>
      <c r="X17" s="70">
        <f>W17*1.025</f>
        <v>707995677.2499999</v>
      </c>
      <c r="Y17" s="70">
        <f>W17*1.05</f>
        <v>725263864.5</v>
      </c>
    </row>
    <row r="18" spans="1:25" s="31" customFormat="1" ht="18.75" customHeight="1">
      <c r="A18" s="62" t="s">
        <v>77</v>
      </c>
      <c r="B18" s="64" t="s">
        <v>88</v>
      </c>
      <c r="C18" s="74"/>
      <c r="D18" s="75"/>
      <c r="E18" s="72"/>
      <c r="F18" s="67"/>
      <c r="G18" s="67">
        <v>65000000</v>
      </c>
      <c r="H18" s="67"/>
      <c r="I18" s="67"/>
      <c r="J18" s="67"/>
      <c r="K18" s="67"/>
      <c r="L18" s="67"/>
      <c r="M18" s="76"/>
      <c r="N18" s="67"/>
      <c r="O18" s="68"/>
      <c r="P18" s="68"/>
      <c r="Q18" s="68"/>
      <c r="R18" s="68"/>
      <c r="S18" s="68"/>
      <c r="T18" s="197">
        <v>62414.62</v>
      </c>
      <c r="U18" s="197">
        <f>T18</f>
        <v>62414.62</v>
      </c>
      <c r="V18" s="197">
        <f>U18</f>
        <v>62414.62</v>
      </c>
      <c r="W18" s="69">
        <v>149760000</v>
      </c>
      <c r="X18" s="70">
        <f>(W18*1.025)+(12*40000*180)</f>
        <v>239904000</v>
      </c>
      <c r="Y18" s="70">
        <f>(W18*1.05)+(12*40000*360)</f>
        <v>330048000</v>
      </c>
    </row>
    <row r="19" spans="1:25" s="31" customFormat="1" ht="18" customHeight="1">
      <c r="A19" s="62" t="s">
        <v>13</v>
      </c>
      <c r="B19" s="64" t="s">
        <v>123</v>
      </c>
      <c r="C19" s="74"/>
      <c r="D19" s="75"/>
      <c r="E19" s="72"/>
      <c r="F19" s="67"/>
      <c r="G19" s="67"/>
      <c r="H19" s="67"/>
      <c r="I19" s="67"/>
      <c r="J19" s="67"/>
      <c r="K19" s="67">
        <v>45000000</v>
      </c>
      <c r="L19" s="67"/>
      <c r="M19" s="76"/>
      <c r="N19" s="67"/>
      <c r="O19" s="68"/>
      <c r="P19" s="68"/>
      <c r="Q19" s="68"/>
      <c r="R19" s="68"/>
      <c r="S19" s="68"/>
      <c r="T19" s="197">
        <v>205290.19</v>
      </c>
      <c r="U19" s="197">
        <f>T19+12000</f>
        <v>217290.19</v>
      </c>
      <c r="V19" s="197">
        <f>U19</f>
        <v>217290.19</v>
      </c>
      <c r="W19" s="69">
        <v>14000000</v>
      </c>
      <c r="X19" s="77">
        <f aca="true" t="shared" si="1" ref="X19:Y24">W19*1.018</f>
        <v>14252000</v>
      </c>
      <c r="Y19" s="77">
        <f t="shared" si="1"/>
        <v>14508536</v>
      </c>
    </row>
    <row r="20" spans="1:25" s="31" customFormat="1" ht="18" customHeight="1">
      <c r="A20" s="62" t="s">
        <v>78</v>
      </c>
      <c r="B20" s="64" t="s">
        <v>109</v>
      </c>
      <c r="C20" s="74"/>
      <c r="D20" s="75"/>
      <c r="E20" s="72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197">
        <v>14742.76</v>
      </c>
      <c r="U20" s="197">
        <f>T20</f>
        <v>14742.76</v>
      </c>
      <c r="V20" s="197">
        <f>U20</f>
        <v>14742.76</v>
      </c>
      <c r="W20" s="69">
        <f>156666667+296000000</f>
        <v>452666667</v>
      </c>
      <c r="X20" s="77">
        <f t="shared" si="1"/>
        <v>460814667.006</v>
      </c>
      <c r="Y20" s="77">
        <f t="shared" si="1"/>
        <v>469109331.01210797</v>
      </c>
    </row>
    <row r="21" spans="1:25" s="31" customFormat="1" ht="18" customHeight="1">
      <c r="A21" s="62" t="s">
        <v>14</v>
      </c>
      <c r="B21" s="64" t="s">
        <v>89</v>
      </c>
      <c r="C21" s="74"/>
      <c r="D21" s="75"/>
      <c r="E21" s="72"/>
      <c r="F21" s="67"/>
      <c r="G21" s="67"/>
      <c r="H21" s="67"/>
      <c r="I21" s="67"/>
      <c r="J21" s="67"/>
      <c r="K21" s="67"/>
      <c r="L21" s="67"/>
      <c r="M21" s="78"/>
      <c r="N21" s="67">
        <v>15000000</v>
      </c>
      <c r="O21" s="68"/>
      <c r="P21" s="68"/>
      <c r="Q21" s="68"/>
      <c r="R21" s="68"/>
      <c r="S21" s="68"/>
      <c r="T21" s="197">
        <v>312956.07</v>
      </c>
      <c r="U21" s="197">
        <f>T21</f>
        <v>312956.07</v>
      </c>
      <c r="V21" s="197">
        <f>U21</f>
        <v>312956.07</v>
      </c>
      <c r="W21" s="69">
        <v>0</v>
      </c>
      <c r="X21" s="77">
        <f t="shared" si="1"/>
        <v>0</v>
      </c>
      <c r="Y21" s="77">
        <f t="shared" si="1"/>
        <v>0</v>
      </c>
    </row>
    <row r="22" spans="1:25" s="31" customFormat="1" ht="18" customHeight="1">
      <c r="A22" s="62" t="s">
        <v>159</v>
      </c>
      <c r="B22" s="64" t="s">
        <v>160</v>
      </c>
      <c r="C22" s="74"/>
      <c r="D22" s="63"/>
      <c r="E22" s="72"/>
      <c r="F22" s="67"/>
      <c r="G22" s="67"/>
      <c r="H22" s="67"/>
      <c r="I22" s="67"/>
      <c r="J22" s="67"/>
      <c r="K22" s="67"/>
      <c r="L22" s="67"/>
      <c r="M22" s="78"/>
      <c r="N22" s="67"/>
      <c r="O22" s="68"/>
      <c r="P22" s="68"/>
      <c r="Q22" s="68"/>
      <c r="R22" s="68"/>
      <c r="S22" s="68"/>
      <c r="T22" s="197">
        <v>87500</v>
      </c>
      <c r="U22" s="197">
        <v>0</v>
      </c>
      <c r="V22" s="197">
        <v>0</v>
      </c>
      <c r="W22" s="69"/>
      <c r="X22" s="77"/>
      <c r="Y22" s="77"/>
    </row>
    <row r="23" spans="1:25" s="31" customFormat="1" ht="18" customHeight="1">
      <c r="A23" s="62" t="s">
        <v>15</v>
      </c>
      <c r="B23" s="64" t="s">
        <v>128</v>
      </c>
      <c r="C23" s="74"/>
      <c r="D23" s="63"/>
      <c r="E23" s="72"/>
      <c r="F23" s="67"/>
      <c r="G23" s="67"/>
      <c r="H23" s="67"/>
      <c r="I23" s="67"/>
      <c r="J23" s="67"/>
      <c r="K23" s="67"/>
      <c r="L23" s="67"/>
      <c r="M23" s="78"/>
      <c r="N23" s="67"/>
      <c r="O23" s="68"/>
      <c r="P23" s="68"/>
      <c r="Q23" s="68"/>
      <c r="R23" s="68"/>
      <c r="S23" s="68"/>
      <c r="T23" s="197">
        <v>156000</v>
      </c>
      <c r="U23" s="197">
        <f>312000*80/100</f>
        <v>249600</v>
      </c>
      <c r="V23" s="197">
        <f>312000*80/100</f>
        <v>249600</v>
      </c>
      <c r="W23" s="69"/>
      <c r="X23" s="77"/>
      <c r="Y23" s="77"/>
    </row>
    <row r="24" spans="1:25" s="31" customFormat="1" ht="18.75" customHeight="1">
      <c r="A24" s="62" t="s">
        <v>16</v>
      </c>
      <c r="B24" s="63" t="s">
        <v>127</v>
      </c>
      <c r="C24" s="64"/>
      <c r="D24" s="63"/>
      <c r="E24" s="66"/>
      <c r="F24" s="67"/>
      <c r="G24" s="67"/>
      <c r="H24" s="67"/>
      <c r="I24" s="67"/>
      <c r="J24" s="79"/>
      <c r="K24" s="67"/>
      <c r="L24" s="67"/>
      <c r="M24" s="67"/>
      <c r="N24" s="67"/>
      <c r="O24" s="68"/>
      <c r="P24" s="68"/>
      <c r="Q24" s="68"/>
      <c r="R24" s="68"/>
      <c r="S24" s="68"/>
      <c r="T24" s="197">
        <v>228578.2</v>
      </c>
      <c r="U24" s="197">
        <f>T24</f>
        <v>228578.2</v>
      </c>
      <c r="V24" s="197">
        <f>U24</f>
        <v>228578.2</v>
      </c>
      <c r="W24" s="69">
        <v>0</v>
      </c>
      <c r="X24" s="77">
        <f t="shared" si="1"/>
        <v>0</v>
      </c>
      <c r="Y24" s="77">
        <f t="shared" si="1"/>
        <v>0</v>
      </c>
    </row>
    <row r="25" spans="1:25" s="31" customFormat="1" ht="15.75" customHeight="1">
      <c r="A25" s="57" t="s">
        <v>17</v>
      </c>
      <c r="B25" s="80"/>
      <c r="C25" s="64"/>
      <c r="D25" s="63"/>
      <c r="E25" s="81"/>
      <c r="F25" s="82"/>
      <c r="G25" s="82"/>
      <c r="H25" s="82"/>
      <c r="I25" s="83"/>
      <c r="J25" s="82"/>
      <c r="K25" s="82"/>
      <c r="L25" s="82"/>
      <c r="M25" s="82"/>
      <c r="N25" s="84"/>
      <c r="O25" s="85"/>
      <c r="P25" s="68"/>
      <c r="Q25" s="68"/>
      <c r="R25" s="68"/>
      <c r="S25" s="68"/>
      <c r="T25" s="22">
        <v>0</v>
      </c>
      <c r="U25" s="22">
        <v>0</v>
      </c>
      <c r="V25" s="22">
        <v>0</v>
      </c>
      <c r="W25" s="86">
        <f aca="true" t="shared" si="2" ref="W25:Y27">SUM(H25:V25)</f>
        <v>0</v>
      </c>
      <c r="X25" s="86">
        <f t="shared" si="2"/>
        <v>0</v>
      </c>
      <c r="Y25" s="61">
        <f t="shared" si="2"/>
        <v>0</v>
      </c>
    </row>
    <row r="26" spans="1:25" s="31" customFormat="1" ht="15.75" customHeight="1">
      <c r="A26" s="57" t="s">
        <v>18</v>
      </c>
      <c r="B26" s="80"/>
      <c r="C26" s="64"/>
      <c r="D26" s="63"/>
      <c r="E26" s="87"/>
      <c r="F26" s="83"/>
      <c r="G26" s="83"/>
      <c r="H26" s="83"/>
      <c r="I26" s="37"/>
      <c r="J26" s="83"/>
      <c r="K26" s="83"/>
      <c r="L26" s="83"/>
      <c r="M26" s="83"/>
      <c r="N26" s="88"/>
      <c r="O26" s="63"/>
      <c r="P26" s="68"/>
      <c r="Q26" s="68"/>
      <c r="R26" s="68"/>
      <c r="S26" s="68"/>
      <c r="T26" s="22">
        <v>0</v>
      </c>
      <c r="U26" s="22">
        <v>0</v>
      </c>
      <c r="V26" s="22">
        <v>0</v>
      </c>
      <c r="W26" s="86">
        <f t="shared" si="2"/>
        <v>0</v>
      </c>
      <c r="X26" s="86">
        <f t="shared" si="2"/>
        <v>0</v>
      </c>
      <c r="Y26" s="61">
        <f t="shared" si="2"/>
        <v>0</v>
      </c>
    </row>
    <row r="27" spans="1:25" s="31" customFormat="1" ht="15.75" customHeight="1">
      <c r="A27" s="57" t="s">
        <v>19</v>
      </c>
      <c r="B27" s="80"/>
      <c r="C27" s="64"/>
      <c r="D27" s="63"/>
      <c r="E27" s="36"/>
      <c r="F27" s="37"/>
      <c r="G27" s="37"/>
      <c r="H27" s="37"/>
      <c r="I27" s="67"/>
      <c r="J27" s="37"/>
      <c r="K27" s="37"/>
      <c r="L27" s="37"/>
      <c r="M27" s="37"/>
      <c r="N27" s="37"/>
      <c r="O27" s="41"/>
      <c r="P27" s="68"/>
      <c r="Q27" s="68"/>
      <c r="R27" s="68"/>
      <c r="S27" s="68"/>
      <c r="T27" s="22">
        <v>0</v>
      </c>
      <c r="U27" s="22">
        <v>0</v>
      </c>
      <c r="V27" s="22">
        <v>0</v>
      </c>
      <c r="W27" s="86">
        <f t="shared" si="2"/>
        <v>0</v>
      </c>
      <c r="X27" s="86">
        <f t="shared" si="2"/>
        <v>0</v>
      </c>
      <c r="Y27" s="61">
        <f t="shared" si="2"/>
        <v>0</v>
      </c>
    </row>
    <row r="28" spans="1:25" s="31" customFormat="1" ht="15.75" customHeight="1">
      <c r="A28" s="57" t="s">
        <v>20</v>
      </c>
      <c r="B28" s="80"/>
      <c r="C28" s="64"/>
      <c r="D28" s="63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68"/>
      <c r="Q28" s="68"/>
      <c r="R28" s="68"/>
      <c r="S28" s="68"/>
      <c r="T28" s="22">
        <f>W28/1936.27</f>
        <v>0</v>
      </c>
      <c r="U28" s="22">
        <v>0</v>
      </c>
      <c r="V28" s="22">
        <v>0</v>
      </c>
      <c r="W28" s="86"/>
      <c r="X28" s="69"/>
      <c r="Y28" s="89"/>
    </row>
    <row r="29" spans="1:25" s="31" customFormat="1" ht="18.75" customHeight="1">
      <c r="A29" s="90"/>
      <c r="B29" s="91"/>
      <c r="C29" s="92"/>
      <c r="D29" s="93"/>
      <c r="E29" s="66"/>
      <c r="F29" s="67"/>
      <c r="G29" s="67"/>
      <c r="H29" s="23"/>
      <c r="I29" s="67"/>
      <c r="J29" s="67"/>
      <c r="K29" s="67"/>
      <c r="L29" s="67"/>
      <c r="M29" s="23"/>
      <c r="N29" s="23"/>
      <c r="O29" s="68"/>
      <c r="P29" s="68"/>
      <c r="Q29" s="68"/>
      <c r="R29" s="68"/>
      <c r="S29" s="68"/>
      <c r="T29" s="198">
        <f>T30+T34+T38+T42+T45+T48+T51+T54+T58+T59+T60+T61</f>
        <v>3919683.5200000005</v>
      </c>
      <c r="U29" s="198">
        <f>U30+U34+U38+U42+U45+U48+U51+U54+U58+U59+U60+U61</f>
        <v>3891459.9876</v>
      </c>
      <c r="V29" s="198">
        <f>V30+V34+V38+V42+V45+V48+V51+V54+V58+V59+V60+V61</f>
        <v>3773254.2199000004</v>
      </c>
      <c r="W29" s="94">
        <f>SUM(W32:W33)</f>
        <v>594879675</v>
      </c>
      <c r="X29" s="94">
        <f>SUM(X32:X33)</f>
        <v>605587509.15</v>
      </c>
      <c r="Y29" s="94">
        <f>SUM(Y32:Y33)</f>
        <v>616488084.3147</v>
      </c>
    </row>
    <row r="30" spans="1:25" s="31" customFormat="1" ht="18.75" customHeight="1">
      <c r="A30" s="90" t="s">
        <v>92</v>
      </c>
      <c r="B30" s="63" t="s">
        <v>90</v>
      </c>
      <c r="C30" s="92"/>
      <c r="D30" s="93"/>
      <c r="E30" s="99"/>
      <c r="F30" s="65"/>
      <c r="G30" s="63"/>
      <c r="H30" s="23"/>
      <c r="I30" s="85"/>
      <c r="J30" s="63"/>
      <c r="K30" s="63"/>
      <c r="L30" s="63"/>
      <c r="M30" s="23"/>
      <c r="N30" s="23"/>
      <c r="O30" s="68"/>
      <c r="P30" s="68"/>
      <c r="Q30" s="68"/>
      <c r="R30" s="68"/>
      <c r="S30" s="68"/>
      <c r="T30" s="219">
        <f>T31</f>
        <v>1838177.77</v>
      </c>
      <c r="U30" s="197">
        <f>U31</f>
        <v>1838177.77</v>
      </c>
      <c r="V30" s="197">
        <f>V31</f>
        <v>1838177.77</v>
      </c>
      <c r="W30" s="196"/>
      <c r="X30" s="94"/>
      <c r="Y30" s="94"/>
    </row>
    <row r="31" spans="1:25" s="31" customFormat="1" ht="18" customHeight="1">
      <c r="A31" s="90"/>
      <c r="B31" s="215" t="s">
        <v>93</v>
      </c>
      <c r="C31" s="64"/>
      <c r="D31" s="63"/>
      <c r="E31" s="99"/>
      <c r="F31" s="65"/>
      <c r="G31" s="63"/>
      <c r="H31" s="23"/>
      <c r="I31" s="85"/>
      <c r="J31" s="63"/>
      <c r="K31" s="63"/>
      <c r="L31" s="63"/>
      <c r="M31" s="23"/>
      <c r="N31" s="23"/>
      <c r="O31" s="68"/>
      <c r="P31" s="68"/>
      <c r="Q31" s="68"/>
      <c r="R31" s="68"/>
      <c r="S31" s="68"/>
      <c r="T31" s="218">
        <f>SUM(T32:T33)</f>
        <v>1838177.77</v>
      </c>
      <c r="U31" s="218">
        <f>SUM(U32:U33)</f>
        <v>1838177.77</v>
      </c>
      <c r="V31" s="218">
        <f>SUM(V32:V33)</f>
        <v>1838177.77</v>
      </c>
      <c r="W31" s="196"/>
      <c r="X31" s="94"/>
      <c r="Y31" s="94"/>
    </row>
    <row r="32" spans="1:25" s="31" customFormat="1" ht="18.75" customHeight="1">
      <c r="A32" s="62"/>
      <c r="B32" s="216" t="s">
        <v>94</v>
      </c>
      <c r="C32" s="74"/>
      <c r="D32" s="63"/>
      <c r="E32" s="87"/>
      <c r="F32" s="95"/>
      <c r="G32" s="83"/>
      <c r="H32" s="83"/>
      <c r="I32" s="82"/>
      <c r="J32" s="83"/>
      <c r="K32" s="83"/>
      <c r="L32" s="83"/>
      <c r="M32" s="83"/>
      <c r="N32" s="23"/>
      <c r="O32" s="68"/>
      <c r="P32" s="67"/>
      <c r="Q32" s="68"/>
      <c r="R32" s="68"/>
      <c r="S32" s="68"/>
      <c r="T32" s="218">
        <v>1770766.77</v>
      </c>
      <c r="U32" s="229">
        <f>T32</f>
        <v>1770766.77</v>
      </c>
      <c r="V32" s="229">
        <f>U32</f>
        <v>1770766.77</v>
      </c>
      <c r="W32" s="69"/>
      <c r="X32" s="77"/>
      <c r="Y32" s="77"/>
    </row>
    <row r="33" spans="1:25" s="31" customFormat="1" ht="19.5" customHeight="1">
      <c r="A33" s="204"/>
      <c r="B33" s="216" t="s">
        <v>95</v>
      </c>
      <c r="C33" s="201"/>
      <c r="D33" s="202"/>
      <c r="E33" s="140">
        <v>764572000</v>
      </c>
      <c r="F33" s="205"/>
      <c r="G33" s="136"/>
      <c r="H33" s="136"/>
      <c r="I33" s="206"/>
      <c r="J33" s="136"/>
      <c r="K33" s="136"/>
      <c r="L33" s="136"/>
      <c r="M33" s="136"/>
      <c r="N33" s="207"/>
      <c r="O33" s="203"/>
      <c r="P33" s="79"/>
      <c r="Q33" s="203"/>
      <c r="R33" s="203"/>
      <c r="S33" s="203"/>
      <c r="T33" s="218">
        <v>67411</v>
      </c>
      <c r="U33" s="229">
        <f>T33</f>
        <v>67411</v>
      </c>
      <c r="V33" s="229">
        <f>U33</f>
        <v>67411</v>
      </c>
      <c r="W33" s="69">
        <f>456072550+101320000+37487125</f>
        <v>594879675</v>
      </c>
      <c r="X33" s="77">
        <f>W33*1.018</f>
        <v>605587509.15</v>
      </c>
      <c r="Y33" s="77">
        <f>X33*1.018</f>
        <v>616488084.3147</v>
      </c>
    </row>
    <row r="34" spans="1:25" s="31" customFormat="1" ht="18" customHeight="1">
      <c r="A34" s="62" t="s">
        <v>92</v>
      </c>
      <c r="B34" s="217" t="s">
        <v>96</v>
      </c>
      <c r="C34" s="96"/>
      <c r="D34" s="85"/>
      <c r="E34" s="102"/>
      <c r="F34" s="41"/>
      <c r="G34" s="41"/>
      <c r="H34" s="41"/>
      <c r="I34" s="41"/>
      <c r="J34" s="41"/>
      <c r="K34" s="41"/>
      <c r="L34" s="41"/>
      <c r="M34" s="41"/>
      <c r="N34" s="41"/>
      <c r="O34" s="158"/>
      <c r="P34" s="158"/>
      <c r="Q34" s="158"/>
      <c r="R34" s="158"/>
      <c r="S34" s="158"/>
      <c r="T34" s="219">
        <f>T35</f>
        <v>717058.5</v>
      </c>
      <c r="U34" s="197">
        <f>U35</f>
        <v>717058.5</v>
      </c>
      <c r="V34" s="197">
        <f>V35</f>
        <v>717058.5</v>
      </c>
      <c r="W34" s="100"/>
      <c r="X34" s="165"/>
      <c r="Y34" s="165"/>
    </row>
    <row r="35" spans="1:25" s="31" customFormat="1" ht="18.75" customHeight="1">
      <c r="A35" s="90"/>
      <c r="B35" s="215" t="s">
        <v>93</v>
      </c>
      <c r="C35" s="92"/>
      <c r="D35" s="93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218">
        <f>SUM(T36:T37)</f>
        <v>717058.5</v>
      </c>
      <c r="U35" s="218">
        <f>SUM(U36:U37)</f>
        <v>717058.5</v>
      </c>
      <c r="V35" s="218">
        <f>SUM(V36:V37)</f>
        <v>717058.5</v>
      </c>
      <c r="W35" s="94" t="e">
        <f>SUM(#REF!)</f>
        <v>#REF!</v>
      </c>
      <c r="X35" s="94" t="e">
        <f>SUM(#REF!)</f>
        <v>#REF!</v>
      </c>
      <c r="Y35" s="94" t="e">
        <f>SUM(#REF!)</f>
        <v>#REF!</v>
      </c>
    </row>
    <row r="36" spans="1:25" s="31" customFormat="1" ht="18.75" customHeight="1">
      <c r="A36" s="90"/>
      <c r="B36" s="216" t="s">
        <v>97</v>
      </c>
      <c r="C36" s="64"/>
      <c r="D36" s="65"/>
      <c r="E36" s="97"/>
      <c r="F36" s="98"/>
      <c r="G36" s="98"/>
      <c r="H36" s="98"/>
      <c r="I36" s="41"/>
      <c r="J36" s="41"/>
      <c r="K36" s="98"/>
      <c r="L36" s="98"/>
      <c r="M36" s="98"/>
      <c r="N36" s="98"/>
      <c r="O36" s="158"/>
      <c r="P36" s="158"/>
      <c r="Q36" s="158"/>
      <c r="R36" s="158"/>
      <c r="S36" s="158"/>
      <c r="T36" s="218">
        <v>708246</v>
      </c>
      <c r="U36" s="230">
        <f>T36</f>
        <v>708246</v>
      </c>
      <c r="V36" s="230">
        <f>U36</f>
        <v>708246</v>
      </c>
      <c r="W36" s="196"/>
      <c r="X36" s="94"/>
      <c r="Y36" s="94"/>
    </row>
    <row r="37" spans="1:25" s="31" customFormat="1" ht="18" customHeight="1">
      <c r="A37" s="210"/>
      <c r="B37" s="216" t="s">
        <v>98</v>
      </c>
      <c r="C37" s="201"/>
      <c r="D37" s="213"/>
      <c r="E37" s="121"/>
      <c r="F37" s="51"/>
      <c r="G37" s="51"/>
      <c r="H37" s="51"/>
      <c r="I37" s="53"/>
      <c r="J37" s="53"/>
      <c r="K37" s="51"/>
      <c r="L37" s="51"/>
      <c r="M37" s="51"/>
      <c r="N37" s="51"/>
      <c r="O37" s="209"/>
      <c r="P37" s="209"/>
      <c r="Q37" s="209"/>
      <c r="R37" s="209"/>
      <c r="S37" s="209"/>
      <c r="T37" s="218">
        <v>8812.5</v>
      </c>
      <c r="U37" s="230">
        <f>T37</f>
        <v>8812.5</v>
      </c>
      <c r="V37" s="230">
        <f>U37</f>
        <v>8812.5</v>
      </c>
      <c r="W37" s="196"/>
      <c r="X37" s="94"/>
      <c r="Y37" s="94"/>
    </row>
    <row r="38" spans="1:25" s="31" customFormat="1" ht="18" customHeight="1">
      <c r="A38" s="210" t="s">
        <v>92</v>
      </c>
      <c r="B38" s="217" t="s">
        <v>99</v>
      </c>
      <c r="C38" s="201"/>
      <c r="D38" s="202"/>
      <c r="E38" s="121"/>
      <c r="F38" s="51"/>
      <c r="G38" s="51"/>
      <c r="H38" s="51"/>
      <c r="I38" s="53"/>
      <c r="J38" s="53"/>
      <c r="K38" s="51"/>
      <c r="L38" s="51"/>
      <c r="M38" s="51"/>
      <c r="N38" s="51"/>
      <c r="O38" s="209"/>
      <c r="P38" s="209"/>
      <c r="Q38" s="209"/>
      <c r="R38" s="209"/>
      <c r="S38" s="209"/>
      <c r="T38" s="219">
        <f>T39</f>
        <v>194223.81</v>
      </c>
      <c r="U38" s="197">
        <f>U39</f>
        <v>194223.81</v>
      </c>
      <c r="V38" s="197">
        <f>V39</f>
        <v>104223.81</v>
      </c>
      <c r="W38" s="196"/>
      <c r="X38" s="94"/>
      <c r="Y38" s="94"/>
    </row>
    <row r="39" spans="1:25" s="31" customFormat="1" ht="18" customHeight="1">
      <c r="A39" s="210"/>
      <c r="B39" s="215" t="s">
        <v>93</v>
      </c>
      <c r="C39" s="201"/>
      <c r="D39" s="202"/>
      <c r="E39" s="121"/>
      <c r="F39" s="51"/>
      <c r="G39" s="51"/>
      <c r="H39" s="51"/>
      <c r="I39" s="53"/>
      <c r="J39" s="53"/>
      <c r="K39" s="51"/>
      <c r="L39" s="51"/>
      <c r="M39" s="51"/>
      <c r="N39" s="51"/>
      <c r="O39" s="209"/>
      <c r="P39" s="209"/>
      <c r="Q39" s="209"/>
      <c r="R39" s="209"/>
      <c r="S39" s="209"/>
      <c r="T39" s="218">
        <f>SUM(T40:T41)</f>
        <v>194223.81</v>
      </c>
      <c r="U39" s="218">
        <f>SUM(U40:U41)</f>
        <v>194223.81</v>
      </c>
      <c r="V39" s="218">
        <f>SUM(V40:V41)</f>
        <v>104223.81</v>
      </c>
      <c r="W39" s="196"/>
      <c r="X39" s="94"/>
      <c r="Y39" s="94"/>
    </row>
    <row r="40" spans="1:25" s="31" customFormat="1" ht="18" customHeight="1">
      <c r="A40" s="210"/>
      <c r="B40" s="216" t="s">
        <v>100</v>
      </c>
      <c r="C40" s="201"/>
      <c r="D40" s="202"/>
      <c r="E40" s="121"/>
      <c r="F40" s="51"/>
      <c r="G40" s="51"/>
      <c r="H40" s="51"/>
      <c r="I40" s="53"/>
      <c r="J40" s="53"/>
      <c r="K40" s="51"/>
      <c r="L40" s="51"/>
      <c r="M40" s="51"/>
      <c r="N40" s="51"/>
      <c r="O40" s="209"/>
      <c r="P40" s="209"/>
      <c r="Q40" s="209"/>
      <c r="R40" s="209"/>
      <c r="S40" s="209"/>
      <c r="T40" s="218">
        <v>104223.81</v>
      </c>
      <c r="U40" s="231">
        <f>T40</f>
        <v>104223.81</v>
      </c>
      <c r="V40" s="231">
        <f>U40</f>
        <v>104223.81</v>
      </c>
      <c r="W40" s="196"/>
      <c r="X40" s="94"/>
      <c r="Y40" s="94"/>
    </row>
    <row r="41" spans="1:25" s="56" customFormat="1" ht="18" customHeight="1">
      <c r="A41" s="210"/>
      <c r="B41" s="239" t="s">
        <v>122</v>
      </c>
      <c r="C41" s="201"/>
      <c r="D41" s="202"/>
      <c r="E41" s="121"/>
      <c r="F41" s="51"/>
      <c r="G41" s="51"/>
      <c r="H41" s="51"/>
      <c r="I41" s="53"/>
      <c r="J41" s="53"/>
      <c r="K41" s="51"/>
      <c r="L41" s="51"/>
      <c r="M41" s="51"/>
      <c r="N41" s="51"/>
      <c r="O41" s="209"/>
      <c r="P41" s="209"/>
      <c r="Q41" s="209"/>
      <c r="R41" s="209"/>
      <c r="S41" s="209"/>
      <c r="T41" s="242">
        <v>90000</v>
      </c>
      <c r="U41" s="242">
        <f>T41</f>
        <v>90000</v>
      </c>
      <c r="V41" s="242">
        <v>0</v>
      </c>
      <c r="W41" s="240"/>
      <c r="X41" s="241"/>
      <c r="Y41" s="241"/>
    </row>
    <row r="42" spans="1:25" s="31" customFormat="1" ht="18" customHeight="1">
      <c r="A42" s="210" t="s">
        <v>92</v>
      </c>
      <c r="B42" s="217" t="s">
        <v>88</v>
      </c>
      <c r="C42" s="201"/>
      <c r="D42" s="202"/>
      <c r="E42" s="121"/>
      <c r="F42" s="51"/>
      <c r="G42" s="51"/>
      <c r="H42" s="51"/>
      <c r="I42" s="53"/>
      <c r="J42" s="53"/>
      <c r="K42" s="51"/>
      <c r="L42" s="51"/>
      <c r="M42" s="51"/>
      <c r="N42" s="51"/>
      <c r="O42" s="209"/>
      <c r="P42" s="209"/>
      <c r="Q42" s="209"/>
      <c r="R42" s="209"/>
      <c r="S42" s="209"/>
      <c r="T42" s="219">
        <f aca="true" t="shared" si="3" ref="T42:V43">T43</f>
        <v>80219.7</v>
      </c>
      <c r="U42" s="197">
        <f t="shared" si="3"/>
        <v>80219.7</v>
      </c>
      <c r="V42" s="197">
        <f t="shared" si="3"/>
        <v>80219.7</v>
      </c>
      <c r="W42" s="196"/>
      <c r="X42" s="94"/>
      <c r="Y42" s="94"/>
    </row>
    <row r="43" spans="1:25" s="31" customFormat="1" ht="18" customHeight="1">
      <c r="A43" s="210"/>
      <c r="B43" s="215" t="s">
        <v>93</v>
      </c>
      <c r="C43" s="201"/>
      <c r="D43" s="202"/>
      <c r="E43" s="121"/>
      <c r="F43" s="51"/>
      <c r="G43" s="51"/>
      <c r="H43" s="51"/>
      <c r="I43" s="53"/>
      <c r="J43" s="53"/>
      <c r="K43" s="51"/>
      <c r="L43" s="51"/>
      <c r="M43" s="51"/>
      <c r="N43" s="51"/>
      <c r="O43" s="209"/>
      <c r="P43" s="209"/>
      <c r="Q43" s="209"/>
      <c r="R43" s="209"/>
      <c r="S43" s="209"/>
      <c r="T43" s="218">
        <f t="shared" si="3"/>
        <v>80219.7</v>
      </c>
      <c r="U43" s="231">
        <f t="shared" si="3"/>
        <v>80219.7</v>
      </c>
      <c r="V43" s="231">
        <f t="shared" si="3"/>
        <v>80219.7</v>
      </c>
      <c r="W43" s="196"/>
      <c r="X43" s="94"/>
      <c r="Y43" s="94"/>
    </row>
    <row r="44" spans="1:25" s="31" customFormat="1" ht="18" customHeight="1">
      <c r="A44" s="210"/>
      <c r="B44" s="216" t="s">
        <v>97</v>
      </c>
      <c r="C44" s="201"/>
      <c r="D44" s="202"/>
      <c r="E44" s="121"/>
      <c r="F44" s="51"/>
      <c r="G44" s="51"/>
      <c r="H44" s="51"/>
      <c r="I44" s="53"/>
      <c r="J44" s="53"/>
      <c r="K44" s="51"/>
      <c r="L44" s="51"/>
      <c r="M44" s="51"/>
      <c r="N44" s="51"/>
      <c r="O44" s="209"/>
      <c r="P44" s="209"/>
      <c r="Q44" s="209"/>
      <c r="R44" s="209"/>
      <c r="S44" s="209"/>
      <c r="T44" s="218">
        <v>80219.7</v>
      </c>
      <c r="U44" s="231">
        <f>T44</f>
        <v>80219.7</v>
      </c>
      <c r="V44" s="231">
        <f>U44</f>
        <v>80219.7</v>
      </c>
      <c r="W44" s="196"/>
      <c r="X44" s="94"/>
      <c r="Y44" s="94"/>
    </row>
    <row r="45" spans="1:25" s="31" customFormat="1" ht="18" customHeight="1">
      <c r="A45" s="210" t="s">
        <v>92</v>
      </c>
      <c r="B45" s="217" t="s">
        <v>123</v>
      </c>
      <c r="C45" s="201"/>
      <c r="D45" s="202"/>
      <c r="E45" s="121"/>
      <c r="F45" s="51"/>
      <c r="G45" s="51"/>
      <c r="H45" s="51"/>
      <c r="I45" s="53"/>
      <c r="J45" s="53"/>
      <c r="K45" s="51"/>
      <c r="L45" s="51"/>
      <c r="M45" s="51"/>
      <c r="N45" s="51"/>
      <c r="O45" s="209"/>
      <c r="P45" s="209"/>
      <c r="Q45" s="209"/>
      <c r="R45" s="209"/>
      <c r="S45" s="209"/>
      <c r="T45" s="219">
        <f>T46</f>
        <v>81000</v>
      </c>
      <c r="U45" s="197">
        <f>U46</f>
        <v>81000</v>
      </c>
      <c r="V45" s="197">
        <f>V46</f>
        <v>81000</v>
      </c>
      <c r="W45" s="196"/>
      <c r="X45" s="94"/>
      <c r="Y45" s="94"/>
    </row>
    <row r="46" spans="1:25" s="31" customFormat="1" ht="18" customHeight="1">
      <c r="A46" s="210"/>
      <c r="B46" s="215" t="s">
        <v>93</v>
      </c>
      <c r="C46" s="201"/>
      <c r="D46" s="202"/>
      <c r="E46" s="121"/>
      <c r="F46" s="51"/>
      <c r="G46" s="51"/>
      <c r="H46" s="51"/>
      <c r="I46" s="53"/>
      <c r="J46" s="53"/>
      <c r="K46" s="51"/>
      <c r="L46" s="51"/>
      <c r="M46" s="51"/>
      <c r="N46" s="51"/>
      <c r="O46" s="209"/>
      <c r="P46" s="209"/>
      <c r="Q46" s="209"/>
      <c r="R46" s="209"/>
      <c r="S46" s="209"/>
      <c r="T46" s="218">
        <f>SUM(T47:T47)</f>
        <v>81000</v>
      </c>
      <c r="U46" s="218">
        <f>SUM(U47:U47)</f>
        <v>81000</v>
      </c>
      <c r="V46" s="218">
        <f>SUM(V47:V47)</f>
        <v>81000</v>
      </c>
      <c r="W46" s="196"/>
      <c r="X46" s="94"/>
      <c r="Y46" s="94"/>
    </row>
    <row r="47" spans="1:25" s="31" customFormat="1" ht="18" customHeight="1">
      <c r="A47" s="210"/>
      <c r="B47" s="216" t="s">
        <v>101</v>
      </c>
      <c r="C47" s="201"/>
      <c r="D47" s="202"/>
      <c r="E47" s="121"/>
      <c r="F47" s="51"/>
      <c r="G47" s="51"/>
      <c r="H47" s="51"/>
      <c r="I47" s="53"/>
      <c r="J47" s="53"/>
      <c r="K47" s="51"/>
      <c r="L47" s="51"/>
      <c r="M47" s="51"/>
      <c r="N47" s="51"/>
      <c r="O47" s="209"/>
      <c r="P47" s="209"/>
      <c r="Q47" s="209"/>
      <c r="R47" s="209"/>
      <c r="S47" s="209"/>
      <c r="T47" s="218">
        <f>51000+30000</f>
        <v>81000</v>
      </c>
      <c r="U47" s="231">
        <f>T47</f>
        <v>81000</v>
      </c>
      <c r="V47" s="231">
        <f>U47</f>
        <v>81000</v>
      </c>
      <c r="W47" s="196"/>
      <c r="X47" s="94"/>
      <c r="Y47" s="94"/>
    </row>
    <row r="48" spans="1:25" s="31" customFormat="1" ht="18" customHeight="1">
      <c r="A48" s="210" t="s">
        <v>92</v>
      </c>
      <c r="B48" s="217" t="s">
        <v>102</v>
      </c>
      <c r="C48" s="201"/>
      <c r="D48" s="202"/>
      <c r="E48" s="121"/>
      <c r="F48" s="51"/>
      <c r="G48" s="51"/>
      <c r="H48" s="51"/>
      <c r="I48" s="53"/>
      <c r="J48" s="53"/>
      <c r="K48" s="51"/>
      <c r="L48" s="51"/>
      <c r="M48" s="51"/>
      <c r="N48" s="51"/>
      <c r="O48" s="209"/>
      <c r="P48" s="209"/>
      <c r="Q48" s="209"/>
      <c r="R48" s="209"/>
      <c r="S48" s="209"/>
      <c r="T48" s="219">
        <f>T49</f>
        <v>46042.3</v>
      </c>
      <c r="U48" s="197">
        <f>U49</f>
        <v>46042.3</v>
      </c>
      <c r="V48" s="197">
        <f>V49</f>
        <v>46042.3</v>
      </c>
      <c r="W48" s="196"/>
      <c r="X48" s="94"/>
      <c r="Y48" s="94"/>
    </row>
    <row r="49" spans="1:25" s="31" customFormat="1" ht="18" customHeight="1">
      <c r="A49" s="210"/>
      <c r="B49" s="215" t="s">
        <v>93</v>
      </c>
      <c r="C49" s="201"/>
      <c r="D49" s="202"/>
      <c r="E49" s="121"/>
      <c r="F49" s="51"/>
      <c r="G49" s="51"/>
      <c r="H49" s="51"/>
      <c r="I49" s="53"/>
      <c r="J49" s="53"/>
      <c r="K49" s="51"/>
      <c r="L49" s="51"/>
      <c r="M49" s="51"/>
      <c r="N49" s="51"/>
      <c r="O49" s="209"/>
      <c r="P49" s="209"/>
      <c r="Q49" s="209"/>
      <c r="R49" s="209"/>
      <c r="S49" s="209"/>
      <c r="T49" s="218">
        <f>SUM(T50:T50)</f>
        <v>46042.3</v>
      </c>
      <c r="U49" s="218">
        <f>SUM(U50:U50)</f>
        <v>46042.3</v>
      </c>
      <c r="V49" s="218">
        <f>SUM(V50:V50)</f>
        <v>46042.3</v>
      </c>
      <c r="W49" s="196"/>
      <c r="X49" s="94"/>
      <c r="Y49" s="94"/>
    </row>
    <row r="50" spans="1:25" s="31" customFormat="1" ht="18" customHeight="1">
      <c r="A50" s="210"/>
      <c r="B50" s="216" t="s">
        <v>100</v>
      </c>
      <c r="C50" s="201"/>
      <c r="D50" s="202"/>
      <c r="E50" s="121"/>
      <c r="F50" s="51"/>
      <c r="G50" s="51"/>
      <c r="H50" s="51"/>
      <c r="I50" s="53"/>
      <c r="J50" s="53"/>
      <c r="K50" s="51"/>
      <c r="L50" s="51"/>
      <c r="M50" s="51"/>
      <c r="N50" s="51"/>
      <c r="O50" s="209"/>
      <c r="P50" s="209"/>
      <c r="Q50" s="209"/>
      <c r="R50" s="209"/>
      <c r="S50" s="209"/>
      <c r="T50" s="218">
        <v>46042.3</v>
      </c>
      <c r="U50" s="231">
        <f>T50</f>
        <v>46042.3</v>
      </c>
      <c r="V50" s="231">
        <f>U50</f>
        <v>46042.3</v>
      </c>
      <c r="W50" s="196"/>
      <c r="X50" s="94"/>
      <c r="Y50" s="94"/>
    </row>
    <row r="51" spans="1:25" s="31" customFormat="1" ht="18" customHeight="1">
      <c r="A51" s="210" t="s">
        <v>92</v>
      </c>
      <c r="B51" s="23" t="s">
        <v>103</v>
      </c>
      <c r="C51" s="201"/>
      <c r="D51" s="202"/>
      <c r="E51" s="121"/>
      <c r="F51" s="51"/>
      <c r="G51" s="51"/>
      <c r="H51" s="51"/>
      <c r="I51" s="53"/>
      <c r="J51" s="53"/>
      <c r="K51" s="51"/>
      <c r="L51" s="51"/>
      <c r="M51" s="51"/>
      <c r="N51" s="51"/>
      <c r="O51" s="209"/>
      <c r="P51" s="209"/>
      <c r="Q51" s="209"/>
      <c r="R51" s="209"/>
      <c r="S51" s="209"/>
      <c r="T51" s="219">
        <f>T52</f>
        <v>55000</v>
      </c>
      <c r="U51" s="197">
        <f>U52</f>
        <v>55000</v>
      </c>
      <c r="V51" s="197">
        <f>V52</f>
        <v>55000</v>
      </c>
      <c r="W51" s="196"/>
      <c r="X51" s="94"/>
      <c r="Y51" s="94"/>
    </row>
    <row r="52" spans="1:25" s="31" customFormat="1" ht="18" customHeight="1">
      <c r="A52" s="210"/>
      <c r="B52" s="216" t="s">
        <v>93</v>
      </c>
      <c r="C52" s="201"/>
      <c r="D52" s="202"/>
      <c r="E52" s="121"/>
      <c r="F52" s="51"/>
      <c r="G52" s="51"/>
      <c r="H52" s="51"/>
      <c r="I52" s="53"/>
      <c r="J52" s="53"/>
      <c r="K52" s="51"/>
      <c r="L52" s="51"/>
      <c r="M52" s="51"/>
      <c r="N52" s="51"/>
      <c r="O52" s="209"/>
      <c r="P52" s="209"/>
      <c r="Q52" s="209"/>
      <c r="R52" s="209"/>
      <c r="S52" s="209"/>
      <c r="T52" s="218">
        <f>SUM(T53)</f>
        <v>55000</v>
      </c>
      <c r="U52" s="231">
        <f>U53</f>
        <v>55000</v>
      </c>
      <c r="V52" s="231">
        <f>U52</f>
        <v>55000</v>
      </c>
      <c r="W52" s="196"/>
      <c r="X52" s="94"/>
      <c r="Y52" s="94"/>
    </row>
    <row r="53" spans="1:25" s="31" customFormat="1" ht="18" customHeight="1">
      <c r="A53" s="210"/>
      <c r="B53" s="216" t="s">
        <v>104</v>
      </c>
      <c r="C53" s="201"/>
      <c r="D53" s="202"/>
      <c r="E53" s="121"/>
      <c r="F53" s="51"/>
      <c r="G53" s="51"/>
      <c r="H53" s="51"/>
      <c r="I53" s="53"/>
      <c r="J53" s="53"/>
      <c r="K53" s="51"/>
      <c r="L53" s="51"/>
      <c r="M53" s="51"/>
      <c r="N53" s="51"/>
      <c r="O53" s="209"/>
      <c r="P53" s="209"/>
      <c r="Q53" s="209"/>
      <c r="R53" s="209"/>
      <c r="S53" s="209"/>
      <c r="T53" s="218">
        <f>54900+45100-45000</f>
        <v>55000</v>
      </c>
      <c r="U53" s="231">
        <f>T53</f>
        <v>55000</v>
      </c>
      <c r="V53" s="231">
        <f>U53</f>
        <v>55000</v>
      </c>
      <c r="W53" s="196"/>
      <c r="X53" s="94"/>
      <c r="Y53" s="94"/>
    </row>
    <row r="54" spans="1:25" s="31" customFormat="1" ht="18" customHeight="1">
      <c r="A54" s="210" t="s">
        <v>92</v>
      </c>
      <c r="B54" s="217" t="s">
        <v>156</v>
      </c>
      <c r="C54" s="201"/>
      <c r="D54" s="202"/>
      <c r="E54" s="121"/>
      <c r="F54" s="51"/>
      <c r="G54" s="51"/>
      <c r="H54" s="51"/>
      <c r="I54" s="53"/>
      <c r="J54" s="53"/>
      <c r="K54" s="51"/>
      <c r="L54" s="51"/>
      <c r="M54" s="51"/>
      <c r="N54" s="51"/>
      <c r="O54" s="209"/>
      <c r="P54" s="209"/>
      <c r="Q54" s="209"/>
      <c r="R54" s="209"/>
      <c r="S54" s="209"/>
      <c r="T54" s="219">
        <f>T55</f>
        <v>95314.68</v>
      </c>
      <c r="U54" s="197">
        <f>U55</f>
        <v>95314.68</v>
      </c>
      <c r="V54" s="197">
        <f>V55</f>
        <v>95314.68</v>
      </c>
      <c r="W54" s="196"/>
      <c r="X54" s="94"/>
      <c r="Y54" s="94"/>
    </row>
    <row r="55" spans="1:25" s="31" customFormat="1" ht="18" customHeight="1">
      <c r="A55" s="210"/>
      <c r="B55" s="215" t="s">
        <v>93</v>
      </c>
      <c r="C55" s="201"/>
      <c r="D55" s="202"/>
      <c r="E55" s="121"/>
      <c r="F55" s="51"/>
      <c r="G55" s="51"/>
      <c r="H55" s="51"/>
      <c r="I55" s="53"/>
      <c r="J55" s="53"/>
      <c r="K55" s="51"/>
      <c r="L55" s="51"/>
      <c r="M55" s="51"/>
      <c r="N55" s="51"/>
      <c r="O55" s="209"/>
      <c r="P55" s="209"/>
      <c r="Q55" s="209"/>
      <c r="R55" s="209"/>
      <c r="S55" s="209"/>
      <c r="T55" s="218">
        <f>SUM(T56:T57)</f>
        <v>95314.68</v>
      </c>
      <c r="U55" s="218">
        <f>SUM(U56:U57)</f>
        <v>95314.68</v>
      </c>
      <c r="V55" s="218">
        <f>SUM(V56:V57)</f>
        <v>95314.68</v>
      </c>
      <c r="W55" s="196"/>
      <c r="X55" s="94"/>
      <c r="Y55" s="94"/>
    </row>
    <row r="56" spans="1:25" s="31" customFormat="1" ht="18" customHeight="1">
      <c r="A56" s="210"/>
      <c r="B56" s="216" t="s">
        <v>97</v>
      </c>
      <c r="C56" s="201"/>
      <c r="D56" s="202"/>
      <c r="E56" s="121"/>
      <c r="F56" s="51"/>
      <c r="G56" s="51"/>
      <c r="H56" s="51"/>
      <c r="I56" s="53"/>
      <c r="J56" s="53"/>
      <c r="K56" s="51"/>
      <c r="L56" s="51"/>
      <c r="M56" s="51"/>
      <c r="N56" s="51"/>
      <c r="O56" s="209"/>
      <c r="P56" s="209"/>
      <c r="Q56" s="209"/>
      <c r="R56" s="209"/>
      <c r="S56" s="209"/>
      <c r="T56" s="218">
        <v>42314.68</v>
      </c>
      <c r="U56" s="231">
        <f>T56</f>
        <v>42314.68</v>
      </c>
      <c r="V56" s="231">
        <f>U56</f>
        <v>42314.68</v>
      </c>
      <c r="W56" s="196"/>
      <c r="X56" s="94"/>
      <c r="Y56" s="94"/>
    </row>
    <row r="57" spans="1:25" s="31" customFormat="1" ht="18" customHeight="1">
      <c r="A57" s="210"/>
      <c r="B57" s="216" t="s">
        <v>100</v>
      </c>
      <c r="C57" s="201"/>
      <c r="D57" s="202"/>
      <c r="E57" s="121"/>
      <c r="F57" s="51"/>
      <c r="G57" s="51"/>
      <c r="H57" s="51"/>
      <c r="I57" s="53"/>
      <c r="J57" s="53"/>
      <c r="K57" s="51"/>
      <c r="L57" s="51"/>
      <c r="M57" s="51"/>
      <c r="N57" s="51"/>
      <c r="O57" s="209"/>
      <c r="P57" s="209"/>
      <c r="Q57" s="209"/>
      <c r="R57" s="209"/>
      <c r="S57" s="209"/>
      <c r="T57" s="218">
        <v>53000</v>
      </c>
      <c r="U57" s="231">
        <f>T57</f>
        <v>53000</v>
      </c>
      <c r="V57" s="231">
        <f>U57</f>
        <v>53000</v>
      </c>
      <c r="W57" s="196"/>
      <c r="X57" s="94"/>
      <c r="Y57" s="94"/>
    </row>
    <row r="58" spans="1:25" s="31" customFormat="1" ht="18" customHeight="1">
      <c r="A58" s="210" t="s">
        <v>92</v>
      </c>
      <c r="B58" s="23" t="s">
        <v>124</v>
      </c>
      <c r="C58" s="201"/>
      <c r="D58" s="202"/>
      <c r="E58" s="121"/>
      <c r="F58" s="51"/>
      <c r="G58" s="51"/>
      <c r="H58" s="51"/>
      <c r="I58" s="53"/>
      <c r="J58" s="53"/>
      <c r="K58" s="51"/>
      <c r="L58" s="51"/>
      <c r="M58" s="51"/>
      <c r="N58" s="51"/>
      <c r="O58" s="209"/>
      <c r="P58" s="209"/>
      <c r="Q58" s="209"/>
      <c r="R58" s="209"/>
      <c r="S58" s="209"/>
      <c r="T58" s="197">
        <v>480000</v>
      </c>
      <c r="U58" s="197">
        <v>450000</v>
      </c>
      <c r="V58" s="197">
        <v>420000</v>
      </c>
      <c r="W58" s="196"/>
      <c r="X58" s="94"/>
      <c r="Y58" s="94"/>
    </row>
    <row r="59" spans="1:25" s="31" customFormat="1" ht="18" customHeight="1">
      <c r="A59" s="210" t="s">
        <v>92</v>
      </c>
      <c r="B59" s="220" t="s">
        <v>105</v>
      </c>
      <c r="C59" s="201"/>
      <c r="D59" s="202"/>
      <c r="E59" s="121"/>
      <c r="F59" s="51"/>
      <c r="G59" s="51"/>
      <c r="H59" s="51"/>
      <c r="I59" s="53"/>
      <c r="J59" s="53"/>
      <c r="K59" s="51"/>
      <c r="L59" s="51"/>
      <c r="M59" s="51"/>
      <c r="N59" s="51"/>
      <c r="O59" s="209"/>
      <c r="P59" s="209"/>
      <c r="Q59" s="209"/>
      <c r="R59" s="209"/>
      <c r="S59" s="209"/>
      <c r="T59" s="219">
        <v>50000</v>
      </c>
      <c r="U59" s="197">
        <f>T59</f>
        <v>50000</v>
      </c>
      <c r="V59" s="197">
        <f>U59</f>
        <v>50000</v>
      </c>
      <c r="W59" s="196"/>
      <c r="X59" s="94"/>
      <c r="Y59" s="94"/>
    </row>
    <row r="60" spans="1:25" s="31" customFormat="1" ht="18" customHeight="1">
      <c r="A60" s="210" t="s">
        <v>92</v>
      </c>
      <c r="B60" s="220" t="s">
        <v>106</v>
      </c>
      <c r="C60" s="201"/>
      <c r="D60" s="202"/>
      <c r="E60" s="121"/>
      <c r="F60" s="51"/>
      <c r="G60" s="51"/>
      <c r="H60" s="51"/>
      <c r="I60" s="53"/>
      <c r="J60" s="53"/>
      <c r="K60" s="51"/>
      <c r="L60" s="51"/>
      <c r="M60" s="51"/>
      <c r="N60" s="51"/>
      <c r="O60" s="209"/>
      <c r="P60" s="209"/>
      <c r="Q60" s="209"/>
      <c r="R60" s="209"/>
      <c r="S60" s="209"/>
      <c r="T60" s="219">
        <v>135000</v>
      </c>
      <c r="U60" s="197">
        <v>135000</v>
      </c>
      <c r="V60" s="197">
        <v>135000</v>
      </c>
      <c r="W60" s="196"/>
      <c r="X60" s="94"/>
      <c r="Y60" s="94"/>
    </row>
    <row r="61" spans="1:25" s="31" customFormat="1" ht="18" customHeight="1">
      <c r="A61" s="210" t="s">
        <v>92</v>
      </c>
      <c r="B61" s="220" t="s">
        <v>107</v>
      </c>
      <c r="C61" s="201"/>
      <c r="D61" s="202"/>
      <c r="E61" s="121"/>
      <c r="F61" s="51"/>
      <c r="G61" s="51"/>
      <c r="H61" s="51"/>
      <c r="I61" s="53"/>
      <c r="J61" s="53"/>
      <c r="K61" s="51"/>
      <c r="L61" s="51"/>
      <c r="M61" s="51"/>
      <c r="N61" s="51"/>
      <c r="O61" s="209"/>
      <c r="P61" s="209"/>
      <c r="Q61" s="209"/>
      <c r="R61" s="209"/>
      <c r="S61" s="209"/>
      <c r="T61" s="238">
        <f>21047+781.92+70+7127.84+148620-30000</f>
        <v>147646.76</v>
      </c>
      <c r="U61" s="197">
        <f>T61+(177646.76*1/100)</f>
        <v>149423.2276</v>
      </c>
      <c r="V61" s="197">
        <f>U61+(179423.23*1/100)</f>
        <v>151217.45990000002</v>
      </c>
      <c r="W61" s="196"/>
      <c r="X61" s="94"/>
      <c r="Y61" s="94"/>
    </row>
    <row r="62" spans="1:25" s="31" customFormat="1" ht="15.75" customHeight="1">
      <c r="A62" s="101"/>
      <c r="B62" s="64"/>
      <c r="C62" s="74"/>
      <c r="D62" s="63"/>
      <c r="E62" s="102"/>
      <c r="F62" s="103"/>
      <c r="G62" s="41"/>
      <c r="H62" s="41"/>
      <c r="I62" s="104"/>
      <c r="J62" s="41"/>
      <c r="K62" s="41"/>
      <c r="L62" s="41"/>
      <c r="M62" s="41"/>
      <c r="N62" s="23"/>
      <c r="O62" s="105"/>
      <c r="P62" s="39"/>
      <c r="Q62" s="105"/>
      <c r="R62" s="105"/>
      <c r="S62" s="105"/>
      <c r="T62" s="106"/>
      <c r="U62" s="22"/>
      <c r="V62" s="22"/>
      <c r="W62" s="107"/>
      <c r="X62" s="107"/>
      <c r="Y62" s="107"/>
    </row>
    <row r="63" spans="1:25" s="31" customFormat="1" ht="18" customHeight="1">
      <c r="A63" s="68"/>
      <c r="B63" s="108" t="s">
        <v>21</v>
      </c>
      <c r="C63" s="108"/>
      <c r="D63" s="71"/>
      <c r="E63" s="109">
        <f aca="true" t="shared" si="4" ref="E63:S63">SUM(E14:E35)</f>
        <v>2904572000</v>
      </c>
      <c r="F63" s="110">
        <f t="shared" si="4"/>
        <v>0</v>
      </c>
      <c r="G63" s="110">
        <f t="shared" si="4"/>
        <v>65000000</v>
      </c>
      <c r="H63" s="110">
        <f t="shared" si="4"/>
        <v>0</v>
      </c>
      <c r="I63" s="110">
        <f t="shared" si="4"/>
        <v>0</v>
      </c>
      <c r="J63" s="110">
        <f t="shared" si="4"/>
        <v>0</v>
      </c>
      <c r="K63" s="110">
        <f t="shared" si="4"/>
        <v>45000000</v>
      </c>
      <c r="L63" s="110">
        <f t="shared" si="4"/>
        <v>0</v>
      </c>
      <c r="M63" s="110">
        <f t="shared" si="4"/>
        <v>0</v>
      </c>
      <c r="N63" s="110">
        <f t="shared" si="4"/>
        <v>15000000</v>
      </c>
      <c r="O63" s="110">
        <f t="shared" si="4"/>
        <v>0</v>
      </c>
      <c r="P63" s="110">
        <f t="shared" si="4"/>
        <v>0</v>
      </c>
      <c r="Q63" s="110">
        <f t="shared" si="4"/>
        <v>0</v>
      </c>
      <c r="R63" s="110">
        <f t="shared" si="4"/>
        <v>0</v>
      </c>
      <c r="S63" s="110">
        <f t="shared" si="4"/>
        <v>0</v>
      </c>
      <c r="T63" s="198">
        <f>T13+T29</f>
        <v>8255901.32</v>
      </c>
      <c r="U63" s="198">
        <f>U13+U29</f>
        <v>8321384.637599999</v>
      </c>
      <c r="V63" s="198">
        <f>V13+V29</f>
        <v>8359187.4999</v>
      </c>
      <c r="W63" s="111" t="e">
        <f>SUM(W13+W25+W26+W27+W29+W35)</f>
        <v>#REF!</v>
      </c>
      <c r="X63" s="111" t="e">
        <f>SUM(X13+X25+X26+X27+X29+X35)</f>
        <v>#REF!</v>
      </c>
      <c r="Y63" s="111" t="e">
        <f>SUM(Y13+Y25+Y26+Y27+Y29+Y35)</f>
        <v>#REF!</v>
      </c>
    </row>
    <row r="64" spans="1:25" s="31" customFormat="1" ht="20.25">
      <c r="A64" s="112"/>
      <c r="B64" s="113" t="s">
        <v>22</v>
      </c>
      <c r="C64" s="114"/>
      <c r="D64" s="53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06"/>
      <c r="U64" s="106"/>
      <c r="V64" s="106"/>
      <c r="W64" s="117"/>
      <c r="X64" s="116"/>
      <c r="Y64" s="116"/>
    </row>
    <row r="65" spans="1:25" s="31" customFormat="1" ht="18" customHeight="1">
      <c r="A65" s="74"/>
      <c r="B65" s="23"/>
      <c r="C65" s="23"/>
      <c r="D65" s="23"/>
      <c r="E65" s="24" t="s">
        <v>2</v>
      </c>
      <c r="F65" s="25" t="s">
        <v>3</v>
      </c>
      <c r="G65" s="26"/>
      <c r="H65" s="25" t="s">
        <v>4</v>
      </c>
      <c r="I65" s="27"/>
      <c r="J65" s="28"/>
      <c r="K65" s="28"/>
      <c r="L65" s="28"/>
      <c r="M65" s="26" t="s">
        <v>5</v>
      </c>
      <c r="N65" s="29" t="s">
        <v>6</v>
      </c>
      <c r="O65" s="26"/>
      <c r="P65" s="26"/>
      <c r="Q65" s="26"/>
      <c r="R65" s="26"/>
      <c r="S65" s="26"/>
      <c r="T65" s="30">
        <v>2009</v>
      </c>
      <c r="U65" s="30">
        <v>2010</v>
      </c>
      <c r="V65" s="30">
        <f>U65+1</f>
        <v>2011</v>
      </c>
      <c r="W65" s="30">
        <v>2002</v>
      </c>
      <c r="X65" s="30">
        <v>2003</v>
      </c>
      <c r="Y65" s="30">
        <v>2004</v>
      </c>
    </row>
    <row r="66" spans="1:25" s="31" customFormat="1" ht="15.75" customHeight="1">
      <c r="A66" s="32" t="s">
        <v>23</v>
      </c>
      <c r="B66" s="118" t="s">
        <v>24</v>
      </c>
      <c r="C66" s="119"/>
      <c r="D66" s="120"/>
      <c r="E66" s="121"/>
      <c r="F66" s="51"/>
      <c r="G66" s="51"/>
      <c r="H66" s="51"/>
      <c r="I66" s="122"/>
      <c r="J66" s="122"/>
      <c r="K66" s="122"/>
      <c r="L66" s="122"/>
      <c r="M66" s="122"/>
      <c r="N66" s="53"/>
      <c r="O66" s="123"/>
      <c r="P66" s="123"/>
      <c r="Q66" s="123"/>
      <c r="R66" s="123"/>
      <c r="S66" s="123"/>
      <c r="T66" s="124"/>
      <c r="U66" s="124"/>
      <c r="V66" s="124"/>
      <c r="W66" s="124"/>
      <c r="X66" s="124"/>
      <c r="Y66" s="124"/>
    </row>
    <row r="67" spans="1:25" s="56" customFormat="1" ht="15.75" customHeight="1">
      <c r="A67" s="44"/>
      <c r="B67" s="45"/>
      <c r="C67" s="46"/>
      <c r="D67" s="47"/>
      <c r="E67" s="125"/>
      <c r="F67" s="53"/>
      <c r="G67" s="53"/>
      <c r="H67" s="53"/>
      <c r="I67" s="53"/>
      <c r="J67" s="53"/>
      <c r="K67" s="53"/>
      <c r="L67" s="53"/>
      <c r="M67" s="53"/>
      <c r="N67" s="53"/>
      <c r="O67" s="51"/>
      <c r="P67" s="51"/>
      <c r="Q67" s="51"/>
      <c r="R67" s="51"/>
      <c r="S67" s="51"/>
      <c r="T67" s="126"/>
      <c r="U67" s="126"/>
      <c r="V67" s="126"/>
      <c r="W67" s="126"/>
      <c r="X67" s="126"/>
      <c r="Y67" s="126"/>
    </row>
    <row r="68" spans="1:25" s="31" customFormat="1" ht="18.75" customHeight="1">
      <c r="A68" s="57" t="s">
        <v>25</v>
      </c>
      <c r="B68" s="91"/>
      <c r="C68" s="92"/>
      <c r="D68" s="93"/>
      <c r="E68" s="127"/>
      <c r="F68" s="37"/>
      <c r="G68" s="37"/>
      <c r="H68" s="37"/>
      <c r="I68" s="37"/>
      <c r="J68" s="37"/>
      <c r="K68" s="37"/>
      <c r="L68" s="37"/>
      <c r="M68" s="37"/>
      <c r="N68" s="38"/>
      <c r="O68" s="98"/>
      <c r="P68" s="98"/>
      <c r="Q68" s="98"/>
      <c r="R68" s="98"/>
      <c r="S68" s="98"/>
      <c r="T68" s="198">
        <f aca="true" t="shared" si="5" ref="T68:Y68">SUM(T69:T82)</f>
        <v>859514.77</v>
      </c>
      <c r="U68" s="198">
        <f t="shared" si="5"/>
        <v>867099.9177000002</v>
      </c>
      <c r="V68" s="198">
        <f t="shared" si="5"/>
        <v>875770.916877</v>
      </c>
      <c r="W68" s="128">
        <f t="shared" si="5"/>
        <v>5844497534</v>
      </c>
      <c r="X68" s="128">
        <f t="shared" si="5"/>
        <v>5949698489.6119995</v>
      </c>
      <c r="Y68" s="128">
        <f t="shared" si="5"/>
        <v>6169634083.968509</v>
      </c>
    </row>
    <row r="69" spans="1:25" s="31" customFormat="1" ht="19.5" customHeight="1">
      <c r="A69" s="41"/>
      <c r="B69" s="64" t="s">
        <v>110</v>
      </c>
      <c r="C69" s="63" t="s">
        <v>90</v>
      </c>
      <c r="D69" s="63"/>
      <c r="E69" s="129">
        <v>455000000</v>
      </c>
      <c r="F69" s="130"/>
      <c r="G69" s="60"/>
      <c r="H69" s="130"/>
      <c r="I69" s="130"/>
      <c r="J69" s="130"/>
      <c r="K69" s="130"/>
      <c r="L69" s="130"/>
      <c r="M69" s="130"/>
      <c r="N69" s="60">
        <v>3150000</v>
      </c>
      <c r="O69" s="130"/>
      <c r="P69" s="130"/>
      <c r="Q69" s="130"/>
      <c r="R69" s="130"/>
      <c r="S69" s="130"/>
      <c r="T69" s="219">
        <v>337529.09</v>
      </c>
      <c r="U69" s="197">
        <f>T69*1.01</f>
        <v>340904.38090000005</v>
      </c>
      <c r="V69" s="197">
        <f>U69*1.01</f>
        <v>344313.42470900004</v>
      </c>
      <c r="W69" s="77">
        <f>395600000-95600000</f>
        <v>300000000</v>
      </c>
      <c r="X69" s="77">
        <f aca="true" t="shared" si="6" ref="X69:Y86">W69*1.018</f>
        <v>305400000</v>
      </c>
      <c r="Y69" s="77">
        <f t="shared" si="6"/>
        <v>310897200</v>
      </c>
    </row>
    <row r="70" spans="1:25" s="31" customFormat="1" ht="19.5" customHeight="1">
      <c r="A70" s="41"/>
      <c r="B70" s="64" t="s">
        <v>110</v>
      </c>
      <c r="C70" s="63" t="s">
        <v>91</v>
      </c>
      <c r="D70" s="63"/>
      <c r="E70" s="87">
        <v>405000000</v>
      </c>
      <c r="F70" s="83"/>
      <c r="G70" s="83">
        <v>3000000</v>
      </c>
      <c r="H70" s="83">
        <v>1000000</v>
      </c>
      <c r="I70" s="83"/>
      <c r="J70" s="83"/>
      <c r="K70" s="83"/>
      <c r="L70" s="83">
        <v>2000000</v>
      </c>
      <c r="M70" s="83"/>
      <c r="N70" s="131"/>
      <c r="O70" s="132"/>
      <c r="P70" s="132"/>
      <c r="Q70" s="132"/>
      <c r="R70" s="132"/>
      <c r="S70" s="132"/>
      <c r="T70" s="219">
        <v>110584.4</v>
      </c>
      <c r="U70" s="197">
        <f aca="true" t="shared" si="7" ref="U70:U82">T70*1.01</f>
        <v>111690.24399999999</v>
      </c>
      <c r="V70" s="197">
        <f>U70*1.01</f>
        <v>112807.14644</v>
      </c>
      <c r="W70" s="77">
        <v>148406747</v>
      </c>
      <c r="X70" s="77">
        <f t="shared" si="6"/>
        <v>151078068.446</v>
      </c>
      <c r="Y70" s="77">
        <f t="shared" si="6"/>
        <v>153797473.67802802</v>
      </c>
    </row>
    <row r="71" spans="1:25" s="31" customFormat="1" ht="18" customHeight="1">
      <c r="A71" s="41"/>
      <c r="B71" s="64" t="s">
        <v>110</v>
      </c>
      <c r="C71" s="63" t="s">
        <v>86</v>
      </c>
      <c r="D71" s="63"/>
      <c r="E71" s="87">
        <v>17000000</v>
      </c>
      <c r="F71" s="83"/>
      <c r="G71" s="83">
        <v>17400000</v>
      </c>
      <c r="H71" s="83"/>
      <c r="I71" s="83"/>
      <c r="J71" s="83"/>
      <c r="K71" s="83"/>
      <c r="L71" s="83"/>
      <c r="M71" s="83"/>
      <c r="N71" s="131"/>
      <c r="O71" s="68"/>
      <c r="P71" s="68"/>
      <c r="Q71" s="68"/>
      <c r="R71" s="68"/>
      <c r="S71" s="68"/>
      <c r="T71" s="219">
        <v>12621.24</v>
      </c>
      <c r="U71" s="197">
        <f t="shared" si="7"/>
        <v>12747.4524</v>
      </c>
      <c r="V71" s="197">
        <f aca="true" t="shared" si="8" ref="V71:V82">U71*1.01</f>
        <v>12874.926924</v>
      </c>
      <c r="W71" s="77">
        <v>1958811</v>
      </c>
      <c r="X71" s="77">
        <f t="shared" si="6"/>
        <v>1994069.598</v>
      </c>
      <c r="Y71" s="77">
        <f t="shared" si="6"/>
        <v>2029962.850764</v>
      </c>
    </row>
    <row r="72" spans="1:25" s="31" customFormat="1" ht="18" customHeight="1">
      <c r="A72" s="41"/>
      <c r="B72" s="64" t="s">
        <v>110</v>
      </c>
      <c r="C72" s="74" t="s">
        <v>108</v>
      </c>
      <c r="D72" s="63"/>
      <c r="E72" s="133"/>
      <c r="F72" s="134"/>
      <c r="G72" s="83"/>
      <c r="H72" s="83"/>
      <c r="I72" s="83"/>
      <c r="J72" s="83"/>
      <c r="K72" s="83"/>
      <c r="L72" s="83"/>
      <c r="M72" s="83"/>
      <c r="N72" s="131"/>
      <c r="O72" s="68"/>
      <c r="P72" s="68"/>
      <c r="Q72" s="68"/>
      <c r="R72" s="68"/>
      <c r="S72" s="68"/>
      <c r="T72" s="219">
        <v>232586.56</v>
      </c>
      <c r="U72" s="197">
        <f t="shared" si="7"/>
        <v>234912.4256</v>
      </c>
      <c r="V72" s="197">
        <f t="shared" si="8"/>
        <v>237261.549856</v>
      </c>
      <c r="W72" s="77">
        <f>157445327+1720000000+2561000000+300000000+300000000</f>
        <v>5038445327</v>
      </c>
      <c r="X72" s="70">
        <f>W72*1.018</f>
        <v>5129137342.886</v>
      </c>
      <c r="Y72" s="70">
        <f>X72*1.04</f>
        <v>5334302836.601439</v>
      </c>
    </row>
    <row r="73" spans="1:25" s="31" customFormat="1" ht="18" customHeight="1">
      <c r="A73" s="41"/>
      <c r="B73" s="64" t="s">
        <v>110</v>
      </c>
      <c r="C73" s="63" t="s">
        <v>87</v>
      </c>
      <c r="D73" s="63"/>
      <c r="E73" s="135"/>
      <c r="F73" s="134"/>
      <c r="G73" s="83"/>
      <c r="H73" s="83"/>
      <c r="I73" s="83"/>
      <c r="J73" s="83"/>
      <c r="K73" s="83"/>
      <c r="L73" s="83"/>
      <c r="M73" s="83"/>
      <c r="N73" s="131"/>
      <c r="O73" s="68"/>
      <c r="P73" s="68"/>
      <c r="Q73" s="68"/>
      <c r="R73" s="68"/>
      <c r="S73" s="68"/>
      <c r="T73" s="219">
        <v>11765.48</v>
      </c>
      <c r="U73" s="197">
        <f t="shared" si="7"/>
        <v>11883.1348</v>
      </c>
      <c r="V73" s="197">
        <f t="shared" si="8"/>
        <v>12001.966148</v>
      </c>
      <c r="W73" s="77"/>
      <c r="X73" s="70"/>
      <c r="Y73" s="70"/>
    </row>
    <row r="74" spans="1:25" s="31" customFormat="1" ht="18" customHeight="1">
      <c r="A74" s="41"/>
      <c r="B74" s="64" t="s">
        <v>110</v>
      </c>
      <c r="C74" s="64" t="s">
        <v>88</v>
      </c>
      <c r="D74" s="63"/>
      <c r="E74" s="87">
        <v>7500000</v>
      </c>
      <c r="F74" s="83">
        <v>3150000</v>
      </c>
      <c r="G74" s="83">
        <v>2500000</v>
      </c>
      <c r="H74" s="83">
        <v>500000</v>
      </c>
      <c r="I74" s="83">
        <v>500000</v>
      </c>
      <c r="J74" s="83">
        <v>500000</v>
      </c>
      <c r="K74" s="83">
        <v>1000000</v>
      </c>
      <c r="L74" s="83">
        <v>500000</v>
      </c>
      <c r="M74" s="83">
        <v>1500000</v>
      </c>
      <c r="N74" s="131">
        <v>4000000</v>
      </c>
      <c r="O74" s="68">
        <v>500000</v>
      </c>
      <c r="P74" s="68">
        <v>500000</v>
      </c>
      <c r="Q74" s="68"/>
      <c r="R74" s="68"/>
      <c r="S74" s="68"/>
      <c r="T74" s="219">
        <v>6318.12</v>
      </c>
      <c r="U74" s="197">
        <f t="shared" si="7"/>
        <v>6381.3012</v>
      </c>
      <c r="V74" s="197">
        <f t="shared" si="8"/>
        <v>6445.1142119999995</v>
      </c>
      <c r="W74" s="77">
        <f>30762221+7500000+7404989+2575015+360000+1962591+1556943+3000000+4579332+500000-3000000</f>
        <v>57201091</v>
      </c>
      <c r="X74" s="77">
        <f t="shared" si="6"/>
        <v>58230710.638000004</v>
      </c>
      <c r="Y74" s="77">
        <f t="shared" si="6"/>
        <v>59278863.429484</v>
      </c>
    </row>
    <row r="75" spans="1:25" s="31" customFormat="1" ht="18.75" customHeight="1">
      <c r="A75" s="41"/>
      <c r="B75" s="64" t="s">
        <v>110</v>
      </c>
      <c r="C75" s="64" t="s">
        <v>123</v>
      </c>
      <c r="D75" s="63"/>
      <c r="E75" s="87"/>
      <c r="F75" s="83"/>
      <c r="G75" s="83"/>
      <c r="H75" s="83"/>
      <c r="I75" s="83"/>
      <c r="J75" s="83"/>
      <c r="K75" s="83"/>
      <c r="L75" s="83"/>
      <c r="M75" s="83"/>
      <c r="N75" s="131"/>
      <c r="O75" s="68"/>
      <c r="P75" s="68"/>
      <c r="Q75" s="68"/>
      <c r="R75" s="68"/>
      <c r="S75" s="68">
        <v>40000000</v>
      </c>
      <c r="T75" s="219">
        <v>26854.66</v>
      </c>
      <c r="U75" s="197">
        <f t="shared" si="7"/>
        <v>27123.2066</v>
      </c>
      <c r="V75" s="197">
        <f t="shared" si="8"/>
        <v>27394.438666000002</v>
      </c>
      <c r="W75" s="77">
        <f>56937127+4000000+800000+1000000+2000000+1000000+1000000+500000+25000000-16500000</f>
        <v>75737127</v>
      </c>
      <c r="X75" s="77">
        <f t="shared" si="6"/>
        <v>77100395.286</v>
      </c>
      <c r="Y75" s="77">
        <f t="shared" si="6"/>
        <v>78488202.401148</v>
      </c>
    </row>
    <row r="76" spans="1:25" s="31" customFormat="1" ht="18" customHeight="1">
      <c r="A76" s="41"/>
      <c r="B76" s="64" t="s">
        <v>110</v>
      </c>
      <c r="C76" s="64" t="s">
        <v>109</v>
      </c>
      <c r="D76" s="63"/>
      <c r="E76" s="87">
        <v>2100000</v>
      </c>
      <c r="F76" s="136">
        <v>11500000</v>
      </c>
      <c r="G76" s="83">
        <v>2100000</v>
      </c>
      <c r="H76" s="83"/>
      <c r="I76" s="83"/>
      <c r="J76" s="83"/>
      <c r="K76" s="83">
        <v>12500000</v>
      </c>
      <c r="L76" s="83">
        <v>1050000</v>
      </c>
      <c r="M76" s="83">
        <v>500000</v>
      </c>
      <c r="N76" s="131"/>
      <c r="O76" s="68"/>
      <c r="P76" s="68"/>
      <c r="Q76" s="68"/>
      <c r="R76" s="68"/>
      <c r="S76" s="68"/>
      <c r="T76" s="219">
        <v>8984.64</v>
      </c>
      <c r="U76" s="197">
        <f t="shared" si="7"/>
        <v>9074.4864</v>
      </c>
      <c r="V76" s="197">
        <f t="shared" si="8"/>
        <v>9165.231264</v>
      </c>
      <c r="W76" s="77">
        <f>652692+181868+45000+75000+450000+350000+211885+4442149-211885</f>
        <v>6196709</v>
      </c>
      <c r="X76" s="77">
        <f t="shared" si="6"/>
        <v>6308249.762</v>
      </c>
      <c r="Y76" s="77">
        <f t="shared" si="6"/>
        <v>6421798.257716</v>
      </c>
    </row>
    <row r="77" spans="1:25" s="31" customFormat="1" ht="17.25" customHeight="1">
      <c r="A77" s="41"/>
      <c r="B77" s="58" t="s">
        <v>110</v>
      </c>
      <c r="C77" s="64" t="s">
        <v>89</v>
      </c>
      <c r="D77" s="63"/>
      <c r="E77" s="87"/>
      <c r="F77" s="136"/>
      <c r="G77" s="83"/>
      <c r="H77" s="83"/>
      <c r="I77" s="83"/>
      <c r="J77" s="83"/>
      <c r="K77" s="83"/>
      <c r="L77" s="83"/>
      <c r="M77" s="83"/>
      <c r="N77" s="131"/>
      <c r="O77" s="68"/>
      <c r="P77" s="68"/>
      <c r="Q77" s="68"/>
      <c r="R77" s="68"/>
      <c r="S77" s="68"/>
      <c r="T77" s="219">
        <v>16379.26</v>
      </c>
      <c r="U77" s="197">
        <f t="shared" si="7"/>
        <v>16543.0526</v>
      </c>
      <c r="V77" s="197">
        <f t="shared" si="8"/>
        <v>16708.483126</v>
      </c>
      <c r="W77" s="77"/>
      <c r="X77" s="77"/>
      <c r="Y77" s="77"/>
    </row>
    <row r="78" spans="1:25" s="31" customFormat="1" ht="17.25" customHeight="1">
      <c r="A78" s="41"/>
      <c r="B78" s="58" t="s">
        <v>110</v>
      </c>
      <c r="C78" s="64" t="s">
        <v>160</v>
      </c>
      <c r="D78" s="63"/>
      <c r="E78" s="87"/>
      <c r="F78" s="136"/>
      <c r="G78" s="83"/>
      <c r="H78" s="83"/>
      <c r="I78" s="83"/>
      <c r="J78" s="83"/>
      <c r="K78" s="83"/>
      <c r="L78" s="83"/>
      <c r="M78" s="83"/>
      <c r="N78" s="131"/>
      <c r="O78" s="68"/>
      <c r="P78" s="68"/>
      <c r="Q78" s="68"/>
      <c r="R78" s="68"/>
      <c r="S78" s="68"/>
      <c r="T78" s="219">
        <v>1000</v>
      </c>
      <c r="U78" s="197">
        <v>0</v>
      </c>
      <c r="V78" s="197">
        <v>0</v>
      </c>
      <c r="W78" s="77"/>
      <c r="X78" s="77"/>
      <c r="Y78" s="77"/>
    </row>
    <row r="79" spans="1:25" s="31" customFormat="1" ht="18" customHeight="1">
      <c r="A79" s="41"/>
      <c r="B79" s="64" t="s">
        <v>110</v>
      </c>
      <c r="C79" s="200" t="s">
        <v>128</v>
      </c>
      <c r="D79" s="63"/>
      <c r="E79" s="87">
        <v>210000000</v>
      </c>
      <c r="F79" s="83">
        <v>3000000</v>
      </c>
      <c r="G79" s="83"/>
      <c r="H79" s="83">
        <v>8000000</v>
      </c>
      <c r="I79" s="83"/>
      <c r="J79" s="83"/>
      <c r="K79" s="83"/>
      <c r="L79" s="83"/>
      <c r="M79" s="83">
        <v>8000000</v>
      </c>
      <c r="N79" s="131"/>
      <c r="O79" s="68"/>
      <c r="P79" s="68"/>
      <c r="Q79" s="68"/>
      <c r="R79" s="68"/>
      <c r="S79" s="68"/>
      <c r="T79" s="219">
        <v>65000</v>
      </c>
      <c r="U79" s="197">
        <f t="shared" si="7"/>
        <v>65650</v>
      </c>
      <c r="V79" s="197">
        <f t="shared" si="8"/>
        <v>66306.5</v>
      </c>
      <c r="W79" s="77">
        <v>24189162</v>
      </c>
      <c r="X79" s="77">
        <f t="shared" si="6"/>
        <v>24624566.916</v>
      </c>
      <c r="Y79" s="77">
        <f t="shared" si="6"/>
        <v>25067809.120488003</v>
      </c>
    </row>
    <row r="80" spans="1:25" s="31" customFormat="1" ht="18" customHeight="1">
      <c r="A80" s="41"/>
      <c r="B80" s="64" t="s">
        <v>110</v>
      </c>
      <c r="C80" s="200" t="s">
        <v>103</v>
      </c>
      <c r="D80" s="63"/>
      <c r="E80" s="87"/>
      <c r="F80" s="83"/>
      <c r="G80" s="83"/>
      <c r="H80" s="83"/>
      <c r="I80" s="83"/>
      <c r="J80" s="83"/>
      <c r="K80" s="83"/>
      <c r="L80" s="83"/>
      <c r="M80" s="83"/>
      <c r="N80" s="131"/>
      <c r="O80" s="68"/>
      <c r="P80" s="68"/>
      <c r="Q80" s="68"/>
      <c r="R80" s="68"/>
      <c r="S80" s="68"/>
      <c r="T80" s="219">
        <v>1000</v>
      </c>
      <c r="U80" s="197">
        <f t="shared" si="7"/>
        <v>1010</v>
      </c>
      <c r="V80" s="197">
        <f t="shared" si="8"/>
        <v>1020.1</v>
      </c>
      <c r="W80" s="77"/>
      <c r="X80" s="77"/>
      <c r="Y80" s="77"/>
    </row>
    <row r="81" spans="1:25" s="31" customFormat="1" ht="18" customHeight="1">
      <c r="A81" s="41"/>
      <c r="B81" s="64" t="s">
        <v>110</v>
      </c>
      <c r="C81" s="63" t="s">
        <v>127</v>
      </c>
      <c r="D81" s="63"/>
      <c r="E81" s="87"/>
      <c r="F81" s="83"/>
      <c r="G81" s="83"/>
      <c r="H81" s="83"/>
      <c r="I81" s="83"/>
      <c r="J81" s="83"/>
      <c r="K81" s="83"/>
      <c r="L81" s="83"/>
      <c r="M81" s="83"/>
      <c r="N81" s="131"/>
      <c r="O81" s="68"/>
      <c r="P81" s="68"/>
      <c r="Q81" s="68"/>
      <c r="R81" s="68"/>
      <c r="S81" s="68"/>
      <c r="T81" s="219">
        <v>9183.44</v>
      </c>
      <c r="U81" s="197">
        <f t="shared" si="7"/>
        <v>9275.2744</v>
      </c>
      <c r="V81" s="197">
        <f t="shared" si="8"/>
        <v>9368.027144</v>
      </c>
      <c r="W81" s="77"/>
      <c r="X81" s="77"/>
      <c r="Y81" s="77"/>
    </row>
    <row r="82" spans="1:25" s="31" customFormat="1" ht="18" customHeight="1">
      <c r="A82" s="41"/>
      <c r="B82" s="64" t="s">
        <v>110</v>
      </c>
      <c r="C82" s="74" t="s">
        <v>111</v>
      </c>
      <c r="D82" s="63"/>
      <c r="E82" s="87">
        <v>15000000</v>
      </c>
      <c r="F82" s="83"/>
      <c r="G82" s="83"/>
      <c r="H82" s="83">
        <v>750000</v>
      </c>
      <c r="I82" s="136"/>
      <c r="J82" s="136"/>
      <c r="K82" s="83"/>
      <c r="L82" s="83"/>
      <c r="M82" s="83"/>
      <c r="N82" s="131"/>
      <c r="O82" s="68"/>
      <c r="P82" s="68"/>
      <c r="Q82" s="68"/>
      <c r="R82" s="68"/>
      <c r="S82" s="68"/>
      <c r="T82" s="219">
        <v>19707.88</v>
      </c>
      <c r="U82" s="197">
        <f t="shared" si="7"/>
        <v>19904.9588</v>
      </c>
      <c r="V82" s="197">
        <f t="shared" si="8"/>
        <v>20104.008388000002</v>
      </c>
      <c r="W82" s="77">
        <v>192362560</v>
      </c>
      <c r="X82" s="77">
        <f t="shared" si="6"/>
        <v>195825086.08</v>
      </c>
      <c r="Y82" s="77">
        <f t="shared" si="6"/>
        <v>199349937.62944</v>
      </c>
    </row>
    <row r="83" spans="1:25" s="31" customFormat="1" ht="19.5" customHeight="1">
      <c r="A83" s="57" t="s">
        <v>26</v>
      </c>
      <c r="B83" s="137"/>
      <c r="C83" s="138"/>
      <c r="D83" s="139"/>
      <c r="E83" s="87">
        <v>35000000</v>
      </c>
      <c r="F83" s="83">
        <v>500000</v>
      </c>
      <c r="G83" s="83">
        <v>2750000</v>
      </c>
      <c r="H83" s="83">
        <v>4500000</v>
      </c>
      <c r="I83" s="83">
        <v>3885000</v>
      </c>
      <c r="J83" s="82">
        <v>3000000</v>
      </c>
      <c r="K83" s="83"/>
      <c r="L83" s="83"/>
      <c r="M83" s="83">
        <v>4000000</v>
      </c>
      <c r="N83" s="131">
        <v>9000000</v>
      </c>
      <c r="O83" s="68"/>
      <c r="P83" s="68">
        <v>2900000</v>
      </c>
      <c r="Q83" s="68"/>
      <c r="R83" s="68"/>
      <c r="S83" s="68"/>
      <c r="T83" s="198">
        <f aca="true" t="shared" si="9" ref="T83:Y83">SUM(T84:T99)</f>
        <v>3888614.8000000003</v>
      </c>
      <c r="U83" s="198">
        <f t="shared" si="9"/>
        <v>3937181.3265</v>
      </c>
      <c r="V83" s="198">
        <f t="shared" si="9"/>
        <v>3954402.935865</v>
      </c>
      <c r="W83" s="128">
        <f t="shared" si="9"/>
        <v>542137580</v>
      </c>
      <c r="X83" s="128">
        <f t="shared" si="9"/>
        <v>551896056.4399999</v>
      </c>
      <c r="Y83" s="128">
        <f t="shared" si="9"/>
        <v>561830185.45592</v>
      </c>
    </row>
    <row r="84" spans="1:25" s="31" customFormat="1" ht="18" customHeight="1">
      <c r="A84" s="41"/>
      <c r="B84" s="64" t="s">
        <v>110</v>
      </c>
      <c r="C84" s="63" t="s">
        <v>90</v>
      </c>
      <c r="D84" s="63"/>
      <c r="E84" s="140">
        <v>200000</v>
      </c>
      <c r="F84" s="83">
        <v>200000</v>
      </c>
      <c r="G84" s="83">
        <v>200000</v>
      </c>
      <c r="H84" s="83">
        <v>200000</v>
      </c>
      <c r="I84" s="83">
        <v>200000</v>
      </c>
      <c r="J84" s="83">
        <v>200000</v>
      </c>
      <c r="K84" s="83">
        <v>200000</v>
      </c>
      <c r="L84" s="83">
        <v>200000</v>
      </c>
      <c r="M84" s="83">
        <v>200000</v>
      </c>
      <c r="N84" s="131">
        <v>200000</v>
      </c>
      <c r="O84" s="60">
        <v>200000</v>
      </c>
      <c r="P84" s="68">
        <v>200000</v>
      </c>
      <c r="Q84" s="68"/>
      <c r="R84" s="68"/>
      <c r="S84" s="68"/>
      <c r="T84" s="219">
        <v>1500874.94</v>
      </c>
      <c r="U84" s="197">
        <f>T84+4001.91</f>
        <v>1504876.8499999999</v>
      </c>
      <c r="V84" s="197">
        <f>U84+5000</f>
        <v>1509876.8499999999</v>
      </c>
      <c r="W84" s="77">
        <f>1130057+4138834+3500000-3500000</f>
        <v>5268891</v>
      </c>
      <c r="X84" s="77">
        <f t="shared" si="6"/>
        <v>5363731.038</v>
      </c>
      <c r="Y84" s="77">
        <f t="shared" si="6"/>
        <v>5460278.196684</v>
      </c>
    </row>
    <row r="85" spans="1:25" s="31" customFormat="1" ht="16.5" customHeight="1">
      <c r="A85" s="41"/>
      <c r="B85" s="64" t="s">
        <v>110</v>
      </c>
      <c r="C85" s="63" t="s">
        <v>91</v>
      </c>
      <c r="D85" s="85"/>
      <c r="E85" s="81">
        <v>88000000</v>
      </c>
      <c r="F85" s="141"/>
      <c r="G85" s="82">
        <v>4200000</v>
      </c>
      <c r="H85" s="83">
        <v>5000000</v>
      </c>
      <c r="I85" s="82">
        <v>1000000</v>
      </c>
      <c r="J85" s="82">
        <v>1000000</v>
      </c>
      <c r="K85" s="82"/>
      <c r="L85" s="82"/>
      <c r="M85" s="142">
        <v>40000000</v>
      </c>
      <c r="N85" s="143">
        <v>30000000</v>
      </c>
      <c r="O85" s="67"/>
      <c r="P85" s="68">
        <v>27000000</v>
      </c>
      <c r="Q85" s="68"/>
      <c r="R85" s="68"/>
      <c r="S85" s="68"/>
      <c r="T85" s="219">
        <v>948795.3</v>
      </c>
      <c r="U85" s="197">
        <f>T85+1546.72</f>
        <v>950342.02</v>
      </c>
      <c r="V85" s="197">
        <f>U85+3000</f>
        <v>953342.02</v>
      </c>
      <c r="W85" s="77">
        <v>117278194</v>
      </c>
      <c r="X85" s="77">
        <f t="shared" si="6"/>
        <v>119389201.492</v>
      </c>
      <c r="Y85" s="77">
        <f t="shared" si="6"/>
        <v>121538207.118856</v>
      </c>
    </row>
    <row r="86" spans="1:25" s="31" customFormat="1" ht="18" customHeight="1">
      <c r="A86" s="41"/>
      <c r="B86" s="64" t="s">
        <v>110</v>
      </c>
      <c r="C86" s="63" t="s">
        <v>86</v>
      </c>
      <c r="D86" s="63"/>
      <c r="E86" s="140">
        <v>25000000</v>
      </c>
      <c r="F86" s="83">
        <v>500000</v>
      </c>
      <c r="G86" s="83">
        <v>800000</v>
      </c>
      <c r="H86" s="83">
        <v>1800000</v>
      </c>
      <c r="I86" s="83">
        <v>350000</v>
      </c>
      <c r="J86" s="136">
        <v>1000000</v>
      </c>
      <c r="K86" s="83"/>
      <c r="L86" s="83"/>
      <c r="M86" s="83">
        <v>1000000</v>
      </c>
      <c r="N86" s="131">
        <v>500000</v>
      </c>
      <c r="O86" s="60"/>
      <c r="P86" s="68">
        <v>800000</v>
      </c>
      <c r="Q86" s="68"/>
      <c r="R86" s="68"/>
      <c r="S86" s="68"/>
      <c r="T86" s="219">
        <v>19490.4</v>
      </c>
      <c r="U86" s="197">
        <f aca="true" t="shared" si="10" ref="U86:V89">T86*1.01</f>
        <v>19685.304</v>
      </c>
      <c r="V86" s="197">
        <f t="shared" si="10"/>
        <v>19882.157040000002</v>
      </c>
      <c r="W86" s="77">
        <v>97028419</v>
      </c>
      <c r="X86" s="77">
        <f t="shared" si="6"/>
        <v>98774930.542</v>
      </c>
      <c r="Y86" s="77">
        <f t="shared" si="6"/>
        <v>100552879.291756</v>
      </c>
    </row>
    <row r="87" spans="1:25" s="31" customFormat="1" ht="18" customHeight="1">
      <c r="A87" s="41"/>
      <c r="B87" s="64" t="s">
        <v>110</v>
      </c>
      <c r="C87" s="74" t="s">
        <v>108</v>
      </c>
      <c r="D87" s="63"/>
      <c r="E87" s="140"/>
      <c r="F87" s="83"/>
      <c r="G87" s="83"/>
      <c r="H87" s="83"/>
      <c r="I87" s="83"/>
      <c r="J87" s="136"/>
      <c r="K87" s="83"/>
      <c r="L87" s="83"/>
      <c r="M87" s="83"/>
      <c r="N87" s="131"/>
      <c r="O87" s="63"/>
      <c r="P87" s="63"/>
      <c r="Q87" s="63"/>
      <c r="R87" s="63"/>
      <c r="S87" s="63"/>
      <c r="T87" s="219">
        <v>17485</v>
      </c>
      <c r="U87" s="197">
        <f t="shared" si="10"/>
        <v>17659.85</v>
      </c>
      <c r="V87" s="197">
        <f t="shared" si="10"/>
        <v>17836.4485</v>
      </c>
      <c r="W87" s="77"/>
      <c r="X87" s="77"/>
      <c r="Y87" s="77"/>
    </row>
    <row r="88" spans="1:25" s="31" customFormat="1" ht="18" customHeight="1">
      <c r="A88" s="41"/>
      <c r="B88" s="64" t="s">
        <v>110</v>
      </c>
      <c r="C88" s="63" t="s">
        <v>87</v>
      </c>
      <c r="D88" s="63"/>
      <c r="E88" s="140">
        <f>32744250+3000000</f>
        <v>35744250</v>
      </c>
      <c r="F88" s="83">
        <v>4851000</v>
      </c>
      <c r="G88" s="83">
        <v>2182950</v>
      </c>
      <c r="H88" s="83">
        <v>2129400</v>
      </c>
      <c r="I88" s="83">
        <v>10914750</v>
      </c>
      <c r="J88" s="83">
        <v>14553000</v>
      </c>
      <c r="K88" s="83">
        <v>727650</v>
      </c>
      <c r="L88" s="83">
        <v>693000</v>
      </c>
      <c r="M88" s="83">
        <v>2079000</v>
      </c>
      <c r="N88" s="131">
        <v>1000000</v>
      </c>
      <c r="O88" s="131">
        <v>1000000</v>
      </c>
      <c r="P88" s="131">
        <v>1000000</v>
      </c>
      <c r="Q88" s="131"/>
      <c r="R88" s="131"/>
      <c r="S88" s="131"/>
      <c r="T88" s="219">
        <v>362411.44</v>
      </c>
      <c r="U88" s="197">
        <f>T88+2624.11</f>
        <v>365035.55</v>
      </c>
      <c r="V88" s="197">
        <f t="shared" si="10"/>
        <v>368685.9055</v>
      </c>
      <c r="W88" s="77">
        <v>21480415</v>
      </c>
      <c r="X88" s="77">
        <f aca="true" t="shared" si="11" ref="X88:Y92">W88*1.018</f>
        <v>21867062.47</v>
      </c>
      <c r="Y88" s="77">
        <f t="shared" si="11"/>
        <v>22260669.59446</v>
      </c>
    </row>
    <row r="89" spans="1:25" s="31" customFormat="1" ht="18" customHeight="1">
      <c r="A89" s="41"/>
      <c r="B89" s="64" t="s">
        <v>110</v>
      </c>
      <c r="C89" s="64" t="s">
        <v>88</v>
      </c>
      <c r="D89" s="144"/>
      <c r="E89" s="87">
        <f>25573000-2200000</f>
        <v>23373000</v>
      </c>
      <c r="F89" s="83">
        <v>4350000</v>
      </c>
      <c r="G89" s="83">
        <v>1750000</v>
      </c>
      <c r="H89" s="83">
        <v>1975000</v>
      </c>
      <c r="I89" s="83">
        <f>8134000-3000000</f>
        <v>5134000</v>
      </c>
      <c r="J89" s="83">
        <f>11900000-3000000</f>
        <v>8900000</v>
      </c>
      <c r="K89" s="83">
        <v>592000</v>
      </c>
      <c r="L89" s="83">
        <v>590000</v>
      </c>
      <c r="M89" s="83">
        <v>1584000</v>
      </c>
      <c r="N89" s="83">
        <v>592000</v>
      </c>
      <c r="O89" s="83">
        <v>592000</v>
      </c>
      <c r="P89" s="83">
        <v>592000</v>
      </c>
      <c r="Q89" s="83"/>
      <c r="R89" s="83"/>
      <c r="S89" s="83"/>
      <c r="T89" s="219">
        <v>13848</v>
      </c>
      <c r="U89" s="197">
        <f t="shared" si="10"/>
        <v>13986.48</v>
      </c>
      <c r="V89" s="197">
        <f t="shared" si="10"/>
        <v>14126.344799999999</v>
      </c>
      <c r="W89" s="77">
        <f>29343011+500000+1000000+334750+643750+953486</f>
        <v>32774997</v>
      </c>
      <c r="X89" s="77">
        <f t="shared" si="11"/>
        <v>33364946.946000002</v>
      </c>
      <c r="Y89" s="77">
        <f t="shared" si="11"/>
        <v>33965515.991028</v>
      </c>
    </row>
    <row r="90" spans="1:25" s="31" customFormat="1" ht="18" customHeight="1">
      <c r="A90" s="41"/>
      <c r="B90" s="64" t="s">
        <v>110</v>
      </c>
      <c r="C90" s="64" t="s">
        <v>123</v>
      </c>
      <c r="D90" s="63"/>
      <c r="E90" s="87">
        <v>55000000</v>
      </c>
      <c r="F90" s="83">
        <v>2000000</v>
      </c>
      <c r="G90" s="83"/>
      <c r="H90" s="83"/>
      <c r="I90" s="83">
        <v>1500000</v>
      </c>
      <c r="J90" s="83">
        <v>1000000</v>
      </c>
      <c r="K90" s="83"/>
      <c r="L90" s="83"/>
      <c r="M90" s="83"/>
      <c r="N90" s="83"/>
      <c r="O90" s="83">
        <v>500000</v>
      </c>
      <c r="P90" s="83"/>
      <c r="Q90" s="83"/>
      <c r="R90" s="83"/>
      <c r="S90" s="83"/>
      <c r="T90" s="219">
        <v>101657.68</v>
      </c>
      <c r="U90" s="197">
        <f>T90+366.57</f>
        <v>102024.25</v>
      </c>
      <c r="V90" s="197">
        <f>U90*1.01</f>
        <v>103044.49250000001</v>
      </c>
      <c r="W90" s="77">
        <v>181458400</v>
      </c>
      <c r="X90" s="77">
        <f t="shared" si="11"/>
        <v>184724651.2</v>
      </c>
      <c r="Y90" s="77">
        <f t="shared" si="11"/>
        <v>188049694.92159998</v>
      </c>
    </row>
    <row r="91" spans="1:25" s="31" customFormat="1" ht="18" customHeight="1">
      <c r="A91" s="41"/>
      <c r="B91" s="64" t="s">
        <v>110</v>
      </c>
      <c r="C91" s="64" t="s">
        <v>109</v>
      </c>
      <c r="D91" s="63"/>
      <c r="E91" s="145">
        <f>48800000+6600000+2200000</f>
        <v>57600000</v>
      </c>
      <c r="F91" s="146">
        <v>2200000</v>
      </c>
      <c r="G91" s="146">
        <v>2200000</v>
      </c>
      <c r="H91" s="146">
        <v>2200000</v>
      </c>
      <c r="I91" s="147">
        <f>11350033-5000000</f>
        <v>6350033</v>
      </c>
      <c r="J91" s="148">
        <f>12430524-7000000</f>
        <v>5430524</v>
      </c>
      <c r="K91" s="83">
        <v>2200000</v>
      </c>
      <c r="L91" s="83"/>
      <c r="M91" s="83">
        <v>2200000</v>
      </c>
      <c r="N91" s="83">
        <v>2200000</v>
      </c>
      <c r="O91" s="83">
        <v>2200000</v>
      </c>
      <c r="P91" s="83">
        <v>2200000</v>
      </c>
      <c r="Q91" s="83"/>
      <c r="R91" s="83"/>
      <c r="S91" s="83"/>
      <c r="T91" s="219">
        <v>16589.04</v>
      </c>
      <c r="U91" s="197">
        <f>T91*1.01</f>
        <v>16754.9304</v>
      </c>
      <c r="V91" s="197">
        <f>U91*1.01</f>
        <v>16922.479704</v>
      </c>
      <c r="W91" s="77">
        <v>67692000</v>
      </c>
      <c r="X91" s="77">
        <f t="shared" si="11"/>
        <v>68910456</v>
      </c>
      <c r="Y91" s="77">
        <f t="shared" si="11"/>
        <v>70150844.208</v>
      </c>
    </row>
    <row r="92" spans="1:25" s="31" customFormat="1" ht="18" customHeight="1">
      <c r="A92" s="41"/>
      <c r="B92" s="58" t="s">
        <v>110</v>
      </c>
      <c r="C92" s="64" t="s">
        <v>89</v>
      </c>
      <c r="D92" s="63"/>
      <c r="E92" s="87">
        <f>(47250000-5000000)-1500000</f>
        <v>40750000</v>
      </c>
      <c r="F92" s="83"/>
      <c r="G92" s="83">
        <v>5000000</v>
      </c>
      <c r="H92" s="83"/>
      <c r="I92" s="83"/>
      <c r="J92" s="83"/>
      <c r="K92" s="83"/>
      <c r="L92" s="83"/>
      <c r="M92" s="83"/>
      <c r="N92" s="131"/>
      <c r="O92" s="60"/>
      <c r="P92" s="68">
        <v>1500000</v>
      </c>
      <c r="Q92" s="68"/>
      <c r="R92" s="68"/>
      <c r="S92" s="68"/>
      <c r="T92" s="219">
        <v>250730.98</v>
      </c>
      <c r="U92" s="197">
        <f>T92+100</f>
        <v>250830.98</v>
      </c>
      <c r="V92" s="197">
        <f>U92+500</f>
        <v>251330.98</v>
      </c>
      <c r="W92" s="77">
        <f>36806888+2349376-20000000</f>
        <v>19156264</v>
      </c>
      <c r="X92" s="77">
        <f t="shared" si="11"/>
        <v>19501076.752</v>
      </c>
      <c r="Y92" s="77">
        <f t="shared" si="11"/>
        <v>19852096.133536</v>
      </c>
    </row>
    <row r="93" spans="1:25" s="31" customFormat="1" ht="18" customHeight="1">
      <c r="A93" s="41"/>
      <c r="B93" s="58" t="s">
        <v>110</v>
      </c>
      <c r="C93" s="64" t="s">
        <v>160</v>
      </c>
      <c r="D93" s="63"/>
      <c r="E93" s="87"/>
      <c r="F93" s="83"/>
      <c r="G93" s="83"/>
      <c r="H93" s="83"/>
      <c r="I93" s="83"/>
      <c r="J93" s="83"/>
      <c r="K93" s="83"/>
      <c r="L93" s="83"/>
      <c r="M93" s="83"/>
      <c r="N93" s="131"/>
      <c r="O93" s="60"/>
      <c r="P93" s="68"/>
      <c r="Q93" s="68"/>
      <c r="R93" s="68"/>
      <c r="S93" s="68"/>
      <c r="T93" s="219">
        <v>82000</v>
      </c>
      <c r="U93" s="197">
        <v>0</v>
      </c>
      <c r="V93" s="197">
        <v>0</v>
      </c>
      <c r="W93" s="77"/>
      <c r="X93" s="77"/>
      <c r="Y93" s="77"/>
    </row>
    <row r="94" spans="1:25" s="31" customFormat="1" ht="18" customHeight="1">
      <c r="A94" s="41"/>
      <c r="B94" s="64" t="s">
        <v>110</v>
      </c>
      <c r="C94" s="200" t="s">
        <v>128</v>
      </c>
      <c r="D94" s="63"/>
      <c r="E94" s="87"/>
      <c r="F94" s="83"/>
      <c r="G94" s="83"/>
      <c r="H94" s="83"/>
      <c r="I94" s="83"/>
      <c r="J94" s="83"/>
      <c r="K94" s="83"/>
      <c r="L94" s="83"/>
      <c r="M94" s="83"/>
      <c r="N94" s="131"/>
      <c r="O94" s="60"/>
      <c r="P94" s="68"/>
      <c r="Q94" s="68"/>
      <c r="R94" s="68"/>
      <c r="S94" s="68"/>
      <c r="T94" s="219">
        <v>65000</v>
      </c>
      <c r="U94" s="197">
        <f>T94*1.01+300+118000</f>
        <v>183950</v>
      </c>
      <c r="V94" s="197">
        <f>U94*1.01-1316</f>
        <v>184473.5</v>
      </c>
      <c r="W94" s="77"/>
      <c r="X94" s="77"/>
      <c r="Y94" s="77"/>
    </row>
    <row r="95" spans="1:25" s="31" customFormat="1" ht="18.75" customHeight="1">
      <c r="A95" s="41"/>
      <c r="B95" s="64" t="s">
        <v>110</v>
      </c>
      <c r="C95" s="200" t="s">
        <v>103</v>
      </c>
      <c r="D95" s="63"/>
      <c r="E95" s="87"/>
      <c r="F95" s="83"/>
      <c r="G95" s="83"/>
      <c r="H95" s="83"/>
      <c r="I95" s="83"/>
      <c r="J95" s="83"/>
      <c r="K95" s="83"/>
      <c r="L95" s="83"/>
      <c r="M95" s="83"/>
      <c r="N95" s="131"/>
      <c r="O95" s="60"/>
      <c r="P95" s="68"/>
      <c r="Q95" s="68"/>
      <c r="R95" s="68"/>
      <c r="S95" s="68"/>
      <c r="T95" s="219">
        <v>35300</v>
      </c>
      <c r="U95" s="197">
        <f>T95*1.01</f>
        <v>35653</v>
      </c>
      <c r="V95" s="197">
        <f>U95*1.01</f>
        <v>36009.53</v>
      </c>
      <c r="W95" s="77"/>
      <c r="X95" s="77"/>
      <c r="Y95" s="77"/>
    </row>
    <row r="96" spans="1:25" s="31" customFormat="1" ht="18" customHeight="1">
      <c r="A96" s="41"/>
      <c r="B96" s="64" t="s">
        <v>110</v>
      </c>
      <c r="C96" s="63" t="s">
        <v>127</v>
      </c>
      <c r="D96" s="63"/>
      <c r="E96" s="87"/>
      <c r="F96" s="83"/>
      <c r="G96" s="83"/>
      <c r="H96" s="83"/>
      <c r="I96" s="83"/>
      <c r="J96" s="83"/>
      <c r="K96" s="83"/>
      <c r="L96" s="83"/>
      <c r="M96" s="83"/>
      <c r="N96" s="131"/>
      <c r="O96" s="60"/>
      <c r="P96" s="68"/>
      <c r="Q96" s="68"/>
      <c r="R96" s="68"/>
      <c r="S96" s="68"/>
      <c r="T96" s="219">
        <v>207472.63</v>
      </c>
      <c r="U96" s="197">
        <f>T96+474.73</f>
        <v>207947.36000000002</v>
      </c>
      <c r="V96" s="197">
        <f>U96+1000</f>
        <v>208947.36000000002</v>
      </c>
      <c r="W96" s="77"/>
      <c r="X96" s="77"/>
      <c r="Y96" s="77"/>
    </row>
    <row r="97" spans="1:25" s="31" customFormat="1" ht="18" customHeight="1">
      <c r="A97" s="41"/>
      <c r="B97" s="64" t="s">
        <v>110</v>
      </c>
      <c r="C97" s="74" t="s">
        <v>112</v>
      </c>
      <c r="D97" s="63"/>
      <c r="E97" s="87"/>
      <c r="F97" s="83"/>
      <c r="G97" s="83"/>
      <c r="H97" s="83"/>
      <c r="I97" s="83"/>
      <c r="J97" s="83"/>
      <c r="K97" s="83"/>
      <c r="L97" s="83"/>
      <c r="M97" s="83"/>
      <c r="N97" s="131"/>
      <c r="O97" s="60"/>
      <c r="P97" s="68"/>
      <c r="Q97" s="68"/>
      <c r="R97" s="68"/>
      <c r="S97" s="68"/>
      <c r="T97" s="219">
        <v>88162.56</v>
      </c>
      <c r="U97" s="197">
        <f>T97</f>
        <v>88162.56</v>
      </c>
      <c r="V97" s="197">
        <f>U97</f>
        <v>88162.56</v>
      </c>
      <c r="W97" s="77"/>
      <c r="X97" s="77"/>
      <c r="Y97" s="77"/>
    </row>
    <row r="98" spans="1:25" s="31" customFormat="1" ht="18.75" customHeight="1">
      <c r="A98" s="41"/>
      <c r="B98" s="64" t="s">
        <v>110</v>
      </c>
      <c r="C98" s="74" t="s">
        <v>113</v>
      </c>
      <c r="D98" s="63"/>
      <c r="E98" s="87"/>
      <c r="F98" s="83"/>
      <c r="G98" s="83"/>
      <c r="H98" s="83"/>
      <c r="I98" s="83"/>
      <c r="J98" s="83"/>
      <c r="K98" s="83"/>
      <c r="L98" s="83"/>
      <c r="M98" s="83"/>
      <c r="N98" s="131"/>
      <c r="O98" s="60"/>
      <c r="P98" s="68"/>
      <c r="Q98" s="68"/>
      <c r="R98" s="68"/>
      <c r="S98" s="68"/>
      <c r="T98" s="219">
        <v>31260.62</v>
      </c>
      <c r="U98" s="197">
        <f>T98</f>
        <v>31260.62</v>
      </c>
      <c r="V98" s="197">
        <f>U98</f>
        <v>31260.62</v>
      </c>
      <c r="W98" s="77"/>
      <c r="X98" s="77"/>
      <c r="Y98" s="77"/>
    </row>
    <row r="99" spans="1:25" s="31" customFormat="1" ht="18" customHeight="1">
      <c r="A99" s="41"/>
      <c r="B99" s="64" t="s">
        <v>110</v>
      </c>
      <c r="C99" s="74" t="s">
        <v>111</v>
      </c>
      <c r="D99" s="63"/>
      <c r="E99" s="87"/>
      <c r="F99" s="83"/>
      <c r="G99" s="83"/>
      <c r="H99" s="83"/>
      <c r="I99" s="83"/>
      <c r="J99" s="83"/>
      <c r="K99" s="83"/>
      <c r="L99" s="83"/>
      <c r="M99" s="83"/>
      <c r="N99" s="131"/>
      <c r="O99" s="60"/>
      <c r="P99" s="68"/>
      <c r="Q99" s="68"/>
      <c r="R99" s="68"/>
      <c r="S99" s="68"/>
      <c r="T99" s="219">
        <v>147536.21</v>
      </c>
      <c r="U99" s="197">
        <f>T99*1.01</f>
        <v>149011.5721</v>
      </c>
      <c r="V99" s="197">
        <f>U99*1.01</f>
        <v>150501.687821</v>
      </c>
      <c r="W99" s="77"/>
      <c r="X99" s="77"/>
      <c r="Y99" s="77"/>
    </row>
    <row r="100" spans="1:25" s="31" customFormat="1" ht="19.5" customHeight="1">
      <c r="A100" s="57" t="s">
        <v>27</v>
      </c>
      <c r="B100" s="137"/>
      <c r="C100" s="138"/>
      <c r="D100" s="139"/>
      <c r="E100" s="87"/>
      <c r="F100" s="83"/>
      <c r="G100" s="83"/>
      <c r="H100" s="83"/>
      <c r="I100" s="83"/>
      <c r="J100" s="83"/>
      <c r="K100" s="83"/>
      <c r="L100" s="83"/>
      <c r="M100" s="83"/>
      <c r="N100" s="131"/>
      <c r="O100" s="132"/>
      <c r="P100" s="67"/>
      <c r="Q100" s="67"/>
      <c r="R100" s="67"/>
      <c r="S100" s="63"/>
      <c r="T100" s="198">
        <f>SUM(T101:T105)</f>
        <v>40597.7</v>
      </c>
      <c r="U100" s="198">
        <f>SUM(U101:U105)</f>
        <v>41003.676999999996</v>
      </c>
      <c r="V100" s="198">
        <f>SUM(V101:V105)</f>
        <v>41413.71377</v>
      </c>
      <c r="W100" s="128">
        <f>SUM(W101:W104)</f>
        <v>74873191</v>
      </c>
      <c r="X100" s="128">
        <f>SUM(X101:X104)</f>
        <v>76220908.43800001</v>
      </c>
      <c r="Y100" s="128">
        <f>SUM(Y101:Y104)</f>
        <v>77592884.789884</v>
      </c>
    </row>
    <row r="101" spans="1:25" s="31" customFormat="1" ht="18.75" customHeight="1">
      <c r="A101" s="41"/>
      <c r="B101" s="64" t="s">
        <v>110</v>
      </c>
      <c r="C101" s="63" t="s">
        <v>90</v>
      </c>
      <c r="D101" s="63"/>
      <c r="E101" s="66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225">
        <v>12996.54</v>
      </c>
      <c r="U101" s="197">
        <f>T101*1.01</f>
        <v>13126.505400000002</v>
      </c>
      <c r="V101" s="197">
        <f>U101*1.01</f>
        <v>13257.770454000001</v>
      </c>
      <c r="W101" s="77">
        <f>27234000+37087284</f>
        <v>64321284</v>
      </c>
      <c r="X101" s="77">
        <f aca="true" t="shared" si="12" ref="X101:Y109">W101*1.018</f>
        <v>65479067.112</v>
      </c>
      <c r="Y101" s="77">
        <f t="shared" si="12"/>
        <v>66657690.320016004</v>
      </c>
    </row>
    <row r="102" spans="1:25" s="31" customFormat="1" ht="18.75" customHeight="1">
      <c r="A102" s="41"/>
      <c r="B102" s="64" t="s">
        <v>110</v>
      </c>
      <c r="C102" s="63" t="s">
        <v>87</v>
      </c>
      <c r="D102" s="63"/>
      <c r="E102" s="66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225">
        <v>1083.52</v>
      </c>
      <c r="U102" s="197">
        <f aca="true" t="shared" si="13" ref="U102:V105">T102*1.01</f>
        <v>1094.3552</v>
      </c>
      <c r="V102" s="197">
        <f t="shared" si="13"/>
        <v>1105.298752</v>
      </c>
      <c r="W102" s="77"/>
      <c r="X102" s="77"/>
      <c r="Y102" s="77"/>
    </row>
    <row r="103" spans="1:25" s="31" customFormat="1" ht="18.75" customHeight="1">
      <c r="A103" s="41"/>
      <c r="B103" s="64" t="s">
        <v>110</v>
      </c>
      <c r="C103" s="64" t="s">
        <v>123</v>
      </c>
      <c r="D103" s="63"/>
      <c r="E103" s="66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225">
        <v>17833.64</v>
      </c>
      <c r="U103" s="197">
        <f t="shared" si="13"/>
        <v>18011.9764</v>
      </c>
      <c r="V103" s="197">
        <f t="shared" si="13"/>
        <v>18192.096164</v>
      </c>
      <c r="W103" s="77"/>
      <c r="X103" s="77"/>
      <c r="Y103" s="77"/>
    </row>
    <row r="104" spans="1:25" s="31" customFormat="1" ht="18.75" customHeight="1">
      <c r="A104" s="151"/>
      <c r="B104" s="58" t="s">
        <v>110</v>
      </c>
      <c r="C104" s="64" t="s">
        <v>89</v>
      </c>
      <c r="D104" s="63"/>
      <c r="E104" s="153">
        <v>0.02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225">
        <v>3838</v>
      </c>
      <c r="U104" s="197">
        <f t="shared" si="13"/>
        <v>3876.38</v>
      </c>
      <c r="V104" s="197">
        <f t="shared" si="13"/>
        <v>3915.1438000000003</v>
      </c>
      <c r="W104" s="77">
        <f>8456405+2095502</f>
        <v>10551907</v>
      </c>
      <c r="X104" s="77">
        <f t="shared" si="12"/>
        <v>10741841.326</v>
      </c>
      <c r="Y104" s="77">
        <f t="shared" si="12"/>
        <v>10935194.469867999</v>
      </c>
    </row>
    <row r="105" spans="1:25" s="31" customFormat="1" ht="18" customHeight="1">
      <c r="A105" s="41"/>
      <c r="B105" s="64" t="s">
        <v>110</v>
      </c>
      <c r="C105" s="63" t="s">
        <v>127</v>
      </c>
      <c r="D105" s="63"/>
      <c r="E105" s="66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225">
        <v>4846</v>
      </c>
      <c r="U105" s="197">
        <f t="shared" si="13"/>
        <v>4894.46</v>
      </c>
      <c r="V105" s="197">
        <f t="shared" si="13"/>
        <v>4943.4046</v>
      </c>
      <c r="W105" s="77"/>
      <c r="X105" s="77"/>
      <c r="Y105" s="77"/>
    </row>
    <row r="106" spans="1:25" s="31" customFormat="1" ht="21" customHeight="1">
      <c r="A106" s="57" t="s">
        <v>28</v>
      </c>
      <c r="B106" s="154"/>
      <c r="C106" s="155"/>
      <c r="D106" s="156"/>
      <c r="E106" s="66">
        <v>8544450</v>
      </c>
      <c r="F106" s="79">
        <f>8080000-1150000</f>
        <v>6930000</v>
      </c>
      <c r="G106" s="67">
        <v>1150000</v>
      </c>
      <c r="H106" s="67"/>
      <c r="I106" s="67">
        <v>500000</v>
      </c>
      <c r="J106" s="67">
        <v>500000</v>
      </c>
      <c r="K106" s="67">
        <v>1500000</v>
      </c>
      <c r="L106" s="67">
        <v>505000</v>
      </c>
      <c r="M106" s="67"/>
      <c r="N106" s="67"/>
      <c r="O106" s="67">
        <v>1010000</v>
      </c>
      <c r="P106" s="67"/>
      <c r="Q106" s="67"/>
      <c r="R106" s="67"/>
      <c r="S106" s="67"/>
      <c r="T106" s="198">
        <f>SUM(T107:T111)</f>
        <v>2994277.98</v>
      </c>
      <c r="U106" s="198">
        <f>SUM(U107:U110)</f>
        <v>3023125.2936</v>
      </c>
      <c r="V106" s="198">
        <f>SUM(V107:V110)</f>
        <v>3053356.546536</v>
      </c>
      <c r="W106" s="128">
        <f>SUM(W107:W109)</f>
        <v>3517706917</v>
      </c>
      <c r="X106" s="128">
        <f>SUM(X107:X109)</f>
        <v>3581025641.506</v>
      </c>
      <c r="Y106" s="128">
        <f>SUM(Y107:Y109)</f>
        <v>3645484103.053108</v>
      </c>
    </row>
    <row r="107" spans="1:25" s="31" customFormat="1" ht="18" customHeight="1">
      <c r="A107" s="41"/>
      <c r="B107" s="149" t="s">
        <v>29</v>
      </c>
      <c r="C107" s="76"/>
      <c r="D107" s="67"/>
      <c r="E107" s="66">
        <f>32896912-K107</f>
        <v>27468112</v>
      </c>
      <c r="F107" s="79">
        <f>17675000-G107</f>
        <v>14335000</v>
      </c>
      <c r="G107" s="67">
        <v>3340000</v>
      </c>
      <c r="H107" s="67"/>
      <c r="I107" s="67">
        <f>52*5*3*17400</f>
        <v>13572000</v>
      </c>
      <c r="J107" s="67">
        <f>52*5*2*17400</f>
        <v>9048000</v>
      </c>
      <c r="K107" s="67">
        <f>3*52*2*17400</f>
        <v>5428800</v>
      </c>
      <c r="L107" s="67"/>
      <c r="M107" s="67"/>
      <c r="N107" s="67"/>
      <c r="O107" s="67">
        <v>7214430</v>
      </c>
      <c r="P107" s="67"/>
      <c r="Q107" s="67"/>
      <c r="R107" s="67"/>
      <c r="S107" s="67"/>
      <c r="T107" s="197">
        <f>2222215.16+30000</f>
        <v>2252215.16</v>
      </c>
      <c r="U107" s="197">
        <f aca="true" t="shared" si="14" ref="U107:V109">(T107*1.01)</f>
        <v>2274737.3116</v>
      </c>
      <c r="V107" s="197">
        <f t="shared" si="14"/>
        <v>2297484.684716</v>
      </c>
      <c r="W107" s="77">
        <f>2589603822-16666667</f>
        <v>2572937155</v>
      </c>
      <c r="X107" s="77">
        <f t="shared" si="12"/>
        <v>2619250023.79</v>
      </c>
      <c r="Y107" s="77">
        <f t="shared" si="12"/>
        <v>2666396524.21822</v>
      </c>
    </row>
    <row r="108" spans="1:25" s="31" customFormat="1" ht="15.75" customHeight="1">
      <c r="A108" s="41"/>
      <c r="B108" s="149" t="s">
        <v>114</v>
      </c>
      <c r="C108" s="76"/>
      <c r="D108" s="67"/>
      <c r="E108" s="157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197">
        <f>560485.51+8674.58</f>
        <v>569160.09</v>
      </c>
      <c r="U108" s="197">
        <f t="shared" si="14"/>
        <v>574851.6908999999</v>
      </c>
      <c r="V108" s="197">
        <f t="shared" si="14"/>
        <v>580600.2078089999</v>
      </c>
      <c r="W108" s="77">
        <v>722717793</v>
      </c>
      <c r="X108" s="77">
        <f t="shared" si="12"/>
        <v>735726713.274</v>
      </c>
      <c r="Y108" s="77">
        <f t="shared" si="12"/>
        <v>748969794.1129321</v>
      </c>
    </row>
    <row r="109" spans="1:25" s="31" customFormat="1" ht="15.75" customHeight="1">
      <c r="A109" s="151"/>
      <c r="B109" s="149" t="s">
        <v>30</v>
      </c>
      <c r="C109" s="76"/>
      <c r="D109" s="67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197">
        <v>171818.11</v>
      </c>
      <c r="U109" s="197">
        <f t="shared" si="14"/>
        <v>173536.29109999997</v>
      </c>
      <c r="V109" s="197">
        <f t="shared" si="14"/>
        <v>175271.65401099998</v>
      </c>
      <c r="W109" s="77">
        <v>222051969</v>
      </c>
      <c r="X109" s="77">
        <f t="shared" si="12"/>
        <v>226048904.442</v>
      </c>
      <c r="Y109" s="77">
        <f t="shared" si="12"/>
        <v>230117784.721956</v>
      </c>
    </row>
    <row r="110" spans="1:25" s="31" customFormat="1" ht="15.75" customHeight="1">
      <c r="A110" s="211"/>
      <c r="B110" s="212" t="s">
        <v>115</v>
      </c>
      <c r="C110" s="214"/>
      <c r="D110" s="181"/>
      <c r="E110" s="208"/>
      <c r="F110" s="53"/>
      <c r="G110" s="53"/>
      <c r="H110" s="53"/>
      <c r="I110" s="53"/>
      <c r="J110" s="53"/>
      <c r="K110" s="53"/>
      <c r="L110" s="53"/>
      <c r="M110" s="53"/>
      <c r="N110" s="53"/>
      <c r="O110" s="209"/>
      <c r="P110" s="123"/>
      <c r="Q110" s="53"/>
      <c r="R110" s="123"/>
      <c r="S110" s="123"/>
      <c r="T110" s="197">
        <v>0</v>
      </c>
      <c r="U110" s="197">
        <f>T110*1.03</f>
        <v>0</v>
      </c>
      <c r="V110" s="197">
        <f>U110*1.03</f>
        <v>0</v>
      </c>
      <c r="W110" s="77"/>
      <c r="X110" s="77"/>
      <c r="Y110" s="77"/>
    </row>
    <row r="111" spans="1:25" s="31" customFormat="1" ht="15.75" customHeight="1">
      <c r="A111" s="151"/>
      <c r="B111" s="149" t="s">
        <v>129</v>
      </c>
      <c r="C111" s="96"/>
      <c r="D111" s="85"/>
      <c r="E111" s="102"/>
      <c r="F111" s="41"/>
      <c r="G111" s="41"/>
      <c r="H111" s="41"/>
      <c r="I111" s="41"/>
      <c r="J111" s="41"/>
      <c r="K111" s="41"/>
      <c r="L111" s="41"/>
      <c r="M111" s="41"/>
      <c r="N111" s="41"/>
      <c r="O111" s="158"/>
      <c r="P111" s="39"/>
      <c r="Q111" s="41"/>
      <c r="R111" s="39"/>
      <c r="S111" s="39"/>
      <c r="T111" s="197">
        <v>1084.62</v>
      </c>
      <c r="U111" s="197">
        <v>0</v>
      </c>
      <c r="V111" s="197">
        <v>0</v>
      </c>
      <c r="W111" s="77"/>
      <c r="X111" s="77"/>
      <c r="Y111" s="77"/>
    </row>
    <row r="112" spans="1:25" s="31" customFormat="1" ht="18.75" customHeight="1">
      <c r="A112" s="57" t="s">
        <v>31</v>
      </c>
      <c r="B112" s="58"/>
      <c r="C112" s="150"/>
      <c r="D112" s="41"/>
      <c r="E112" s="36"/>
      <c r="F112" s="37"/>
      <c r="G112" s="37"/>
      <c r="H112" s="37"/>
      <c r="I112" s="37"/>
      <c r="J112" s="37"/>
      <c r="K112" s="37"/>
      <c r="L112" s="37"/>
      <c r="M112" s="37"/>
      <c r="N112" s="38"/>
      <c r="O112" s="158"/>
      <c r="P112" s="39"/>
      <c r="Q112" s="41"/>
      <c r="R112" s="39"/>
      <c r="S112" s="39"/>
      <c r="T112" s="198">
        <f aca="true" t="shared" si="15" ref="T112:Y112">SUM(T113:T115)</f>
        <v>295141.98</v>
      </c>
      <c r="U112" s="198">
        <f t="shared" si="15"/>
        <v>294558.39979999996</v>
      </c>
      <c r="V112" s="198">
        <f t="shared" si="15"/>
        <v>297503.983798</v>
      </c>
      <c r="W112" s="128">
        <f t="shared" si="15"/>
        <v>157936961</v>
      </c>
      <c r="X112" s="128">
        <f t="shared" si="15"/>
        <v>160779826.298</v>
      </c>
      <c r="Y112" s="128">
        <f t="shared" si="15"/>
        <v>163673863.171364</v>
      </c>
    </row>
    <row r="113" spans="1:25" s="31" customFormat="1" ht="18" customHeight="1">
      <c r="A113" s="151"/>
      <c r="B113" s="71" t="s">
        <v>61</v>
      </c>
      <c r="C113" s="152"/>
      <c r="D113" s="67"/>
      <c r="E113" s="66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197">
        <v>27522.88</v>
      </c>
      <c r="U113" s="197">
        <f>T113*1.01</f>
        <v>27798.1088</v>
      </c>
      <c r="V113" s="197">
        <f>U113*1.01</f>
        <v>28076.089888000002</v>
      </c>
      <c r="W113" s="77">
        <v>157936961</v>
      </c>
      <c r="X113" s="77">
        <f aca="true" t="shared" si="16" ref="X113:Y115">W113*1.018</f>
        <v>160779826.298</v>
      </c>
      <c r="Y113" s="77">
        <f t="shared" si="16"/>
        <v>163673863.171364</v>
      </c>
    </row>
    <row r="114" spans="1:25" s="31" customFormat="1" ht="19.5" customHeight="1">
      <c r="A114" s="151"/>
      <c r="B114" s="71" t="s">
        <v>63</v>
      </c>
      <c r="C114" s="152"/>
      <c r="D114" s="67"/>
      <c r="E114" s="66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197">
        <f>264119.1+3500</f>
        <v>267619.1</v>
      </c>
      <c r="U114" s="197">
        <f>T114*1.01-3535</f>
        <v>266760.29099999997</v>
      </c>
      <c r="V114" s="197">
        <f>U114*1.01</f>
        <v>269427.89391</v>
      </c>
      <c r="W114" s="77"/>
      <c r="X114" s="77"/>
      <c r="Y114" s="77"/>
    </row>
    <row r="115" spans="1:25" s="31" customFormat="1" ht="18" customHeight="1">
      <c r="A115" s="151"/>
      <c r="B115" s="149" t="s">
        <v>32</v>
      </c>
      <c r="C115" s="76"/>
      <c r="D115" s="67"/>
      <c r="E115" s="66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197">
        <v>0</v>
      </c>
      <c r="U115" s="197">
        <v>0</v>
      </c>
      <c r="V115" s="197">
        <v>0</v>
      </c>
      <c r="W115" s="77">
        <v>0</v>
      </c>
      <c r="X115" s="77">
        <f t="shared" si="16"/>
        <v>0</v>
      </c>
      <c r="Y115" s="77">
        <f t="shared" si="16"/>
        <v>0</v>
      </c>
    </row>
    <row r="116" spans="1:25" s="31" customFormat="1" ht="15.75" customHeight="1">
      <c r="A116" s="57" t="s">
        <v>33</v>
      </c>
      <c r="B116" s="159" t="s">
        <v>34</v>
      </c>
      <c r="C116" s="160"/>
      <c r="D116" s="80"/>
      <c r="E116" s="87"/>
      <c r="F116" s="83"/>
      <c r="G116" s="83"/>
      <c r="H116" s="83"/>
      <c r="I116" s="83"/>
      <c r="J116" s="83"/>
      <c r="K116" s="83"/>
      <c r="L116" s="83"/>
      <c r="M116" s="83"/>
      <c r="N116" s="131"/>
      <c r="O116" s="132"/>
      <c r="P116" s="60"/>
      <c r="Q116" s="63"/>
      <c r="R116" s="60"/>
      <c r="S116" s="63"/>
      <c r="T116" s="22">
        <v>0</v>
      </c>
      <c r="U116" s="22">
        <v>0</v>
      </c>
      <c r="V116" s="22">
        <v>0</v>
      </c>
      <c r="W116" s="128">
        <f>SUM(W117:W118)</f>
        <v>0</v>
      </c>
      <c r="X116" s="128">
        <f>SUM(X117:X118)</f>
        <v>0</v>
      </c>
      <c r="Y116" s="128">
        <f>SUM(Y117:Y118)</f>
        <v>0</v>
      </c>
    </row>
    <row r="117" spans="1:25" s="31" customFormat="1" ht="15.75" customHeight="1">
      <c r="A117" s="151"/>
      <c r="B117" s="149" t="s">
        <v>35</v>
      </c>
      <c r="C117" s="76"/>
      <c r="D117" s="67"/>
      <c r="E117" s="66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22">
        <v>0</v>
      </c>
      <c r="U117" s="22">
        <v>0</v>
      </c>
      <c r="V117" s="22">
        <v>0</v>
      </c>
      <c r="W117" s="77">
        <v>0</v>
      </c>
      <c r="X117" s="77">
        <f>W117*1.018</f>
        <v>0</v>
      </c>
      <c r="Y117" s="77">
        <f>X117*1.018</f>
        <v>0</v>
      </c>
    </row>
    <row r="118" spans="1:25" s="31" customFormat="1" ht="15.75" customHeight="1">
      <c r="A118" s="151"/>
      <c r="B118" s="71" t="s">
        <v>36</v>
      </c>
      <c r="C118" s="152"/>
      <c r="D118" s="67"/>
      <c r="E118" s="66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22">
        <v>0</v>
      </c>
      <c r="U118" s="22">
        <v>0</v>
      </c>
      <c r="V118" s="22">
        <v>0</v>
      </c>
      <c r="W118" s="77">
        <v>0</v>
      </c>
      <c r="X118" s="77">
        <f>W118*1.018</f>
        <v>0</v>
      </c>
      <c r="Y118" s="77">
        <f>X118*1.018</f>
        <v>0</v>
      </c>
    </row>
    <row r="119" spans="1:25" s="31" customFormat="1" ht="18.75" customHeight="1">
      <c r="A119" s="57" t="s">
        <v>37</v>
      </c>
      <c r="B119" s="161" t="s">
        <v>38</v>
      </c>
      <c r="C119" s="162"/>
      <c r="D119" s="163"/>
      <c r="E119" s="66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198">
        <f aca="true" t="shared" si="17" ref="T119:Y119">SUM(T120)</f>
        <v>0</v>
      </c>
      <c r="U119" s="198">
        <f t="shared" si="17"/>
        <v>0</v>
      </c>
      <c r="V119" s="198">
        <f t="shared" si="17"/>
        <v>0</v>
      </c>
      <c r="W119" s="128">
        <f t="shared" si="17"/>
        <v>0</v>
      </c>
      <c r="X119" s="128">
        <f t="shared" si="17"/>
        <v>0</v>
      </c>
      <c r="Y119" s="128">
        <f t="shared" si="17"/>
        <v>0</v>
      </c>
    </row>
    <row r="120" spans="1:25" s="31" customFormat="1" ht="15.75" customHeight="1">
      <c r="A120" s="151"/>
      <c r="B120" s="71" t="s">
        <v>39</v>
      </c>
      <c r="C120" s="152"/>
      <c r="D120" s="67"/>
      <c r="E120" s="66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197">
        <v>0</v>
      </c>
      <c r="U120" s="197">
        <f>T120*1.01</f>
        <v>0</v>
      </c>
      <c r="V120" s="197">
        <f>U120*1.01</f>
        <v>0</v>
      </c>
      <c r="W120" s="77">
        <v>0</v>
      </c>
      <c r="X120" s="77">
        <f>W120*1.018</f>
        <v>0</v>
      </c>
      <c r="Y120" s="77">
        <f>X120*1.018</f>
        <v>0</v>
      </c>
    </row>
    <row r="121" spans="1:25" s="31" customFormat="1" ht="18.75" customHeight="1">
      <c r="A121" s="57" t="s">
        <v>40</v>
      </c>
      <c r="B121" s="161" t="s">
        <v>41</v>
      </c>
      <c r="C121" s="162"/>
      <c r="D121" s="163"/>
      <c r="E121" s="66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22">
        <f aca="true" t="shared" si="18" ref="T121:Y121">SUM(T122)</f>
        <v>0</v>
      </c>
      <c r="U121" s="22">
        <f t="shared" si="18"/>
        <v>0</v>
      </c>
      <c r="V121" s="22">
        <f t="shared" si="18"/>
        <v>0</v>
      </c>
      <c r="W121" s="128">
        <f t="shared" si="18"/>
        <v>5871883</v>
      </c>
      <c r="X121" s="128">
        <f t="shared" si="18"/>
        <v>5977576.894</v>
      </c>
      <c r="Y121" s="128">
        <f t="shared" si="18"/>
        <v>6085173.278092001</v>
      </c>
    </row>
    <row r="122" spans="1:25" s="31" customFormat="1" ht="18.75" customHeight="1">
      <c r="A122" s="151"/>
      <c r="B122" s="149" t="s">
        <v>71</v>
      </c>
      <c r="C122" s="76"/>
      <c r="D122" s="67"/>
      <c r="E122" s="66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22">
        <v>0</v>
      </c>
      <c r="U122" s="22">
        <v>0</v>
      </c>
      <c r="V122" s="22">
        <v>0</v>
      </c>
      <c r="W122" s="77">
        <v>5871883</v>
      </c>
      <c r="X122" s="77">
        <f>W122*1.018</f>
        <v>5977576.894</v>
      </c>
      <c r="Y122" s="77">
        <f>X122*1.018</f>
        <v>6085173.278092001</v>
      </c>
    </row>
    <row r="123" spans="1:25" s="31" customFormat="1" ht="19.5" customHeight="1">
      <c r="A123" s="57" t="s">
        <v>42</v>
      </c>
      <c r="B123" s="161" t="s">
        <v>43</v>
      </c>
      <c r="C123" s="162"/>
      <c r="D123" s="163"/>
      <c r="E123" s="66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198">
        <f aca="true" t="shared" si="19" ref="T123:Y123">SUM(T124:T136)</f>
        <v>105523.33000000002</v>
      </c>
      <c r="U123" s="198">
        <f t="shared" si="19"/>
        <v>105568.5633</v>
      </c>
      <c r="V123" s="198">
        <f t="shared" si="19"/>
        <v>106624.248933</v>
      </c>
      <c r="W123" s="128">
        <f t="shared" si="19"/>
        <v>39635273</v>
      </c>
      <c r="X123" s="128">
        <f t="shared" si="19"/>
        <v>40348707.914</v>
      </c>
      <c r="Y123" s="128">
        <f t="shared" si="19"/>
        <v>41074984.656452</v>
      </c>
    </row>
    <row r="124" spans="1:25" s="31" customFormat="1" ht="18.75" customHeight="1">
      <c r="A124" s="151"/>
      <c r="B124" s="64" t="s">
        <v>110</v>
      </c>
      <c r="C124" s="63" t="s">
        <v>90</v>
      </c>
      <c r="D124" s="63"/>
      <c r="E124" s="66">
        <v>30600000</v>
      </c>
      <c r="F124" s="67"/>
      <c r="G124" s="67"/>
      <c r="H124" s="67">
        <v>1500000</v>
      </c>
      <c r="I124" s="67">
        <v>700000</v>
      </c>
      <c r="J124" s="67">
        <v>800000</v>
      </c>
      <c r="K124" s="67"/>
      <c r="L124" s="67"/>
      <c r="M124" s="67"/>
      <c r="N124" s="67"/>
      <c r="O124" s="67"/>
      <c r="P124" s="67"/>
      <c r="Q124" s="67"/>
      <c r="R124" s="67"/>
      <c r="S124" s="67"/>
      <c r="T124" s="225">
        <v>52733.43</v>
      </c>
      <c r="U124" s="197">
        <f aca="true" t="shared" si="20" ref="U124:V136">T124*1.01</f>
        <v>53260.7643</v>
      </c>
      <c r="V124" s="197">
        <f t="shared" si="20"/>
        <v>53793.371943000006</v>
      </c>
      <c r="W124" s="77">
        <v>8019293</v>
      </c>
      <c r="X124" s="77">
        <f>W124*1.018</f>
        <v>8163640.274</v>
      </c>
      <c r="Y124" s="77">
        <f>X124*1.018</f>
        <v>8310585.798932</v>
      </c>
    </row>
    <row r="125" spans="1:25" s="31" customFormat="1" ht="18" customHeight="1">
      <c r="A125" s="151"/>
      <c r="B125" s="64" t="s">
        <v>110</v>
      </c>
      <c r="C125" s="63" t="s">
        <v>91</v>
      </c>
      <c r="D125" s="85"/>
      <c r="E125" s="66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225">
        <v>14024.76</v>
      </c>
      <c r="U125" s="197">
        <f t="shared" si="20"/>
        <v>14165.0076</v>
      </c>
      <c r="V125" s="197">
        <f t="shared" si="20"/>
        <v>14306.657676</v>
      </c>
      <c r="W125" s="77"/>
      <c r="X125" s="77"/>
      <c r="Y125" s="77"/>
    </row>
    <row r="126" spans="1:25" s="31" customFormat="1" ht="18" customHeight="1">
      <c r="A126" s="151"/>
      <c r="B126" s="64" t="s">
        <v>110</v>
      </c>
      <c r="C126" s="63" t="s">
        <v>86</v>
      </c>
      <c r="D126" s="63"/>
      <c r="E126" s="66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225">
        <v>2173.31</v>
      </c>
      <c r="U126" s="197">
        <f t="shared" si="20"/>
        <v>2195.0431</v>
      </c>
      <c r="V126" s="197">
        <f t="shared" si="20"/>
        <v>2216.993531</v>
      </c>
      <c r="W126" s="77"/>
      <c r="X126" s="77"/>
      <c r="Y126" s="77"/>
    </row>
    <row r="127" spans="1:25" s="31" customFormat="1" ht="18.75" customHeight="1">
      <c r="A127" s="151"/>
      <c r="B127" s="64" t="s">
        <v>110</v>
      </c>
      <c r="C127" s="74" t="s">
        <v>108</v>
      </c>
      <c r="D127" s="63"/>
      <c r="E127" s="66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225">
        <v>900</v>
      </c>
      <c r="U127" s="197">
        <f t="shared" si="20"/>
        <v>909</v>
      </c>
      <c r="V127" s="197">
        <f t="shared" si="20"/>
        <v>918.09</v>
      </c>
      <c r="W127" s="77"/>
      <c r="X127" s="77"/>
      <c r="Y127" s="77"/>
    </row>
    <row r="128" spans="1:25" s="31" customFormat="1" ht="19.5" customHeight="1">
      <c r="A128" s="151"/>
      <c r="B128" s="64" t="s">
        <v>110</v>
      </c>
      <c r="C128" s="63" t="s">
        <v>87</v>
      </c>
      <c r="D128" s="63"/>
      <c r="E128" s="66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225">
        <v>2370</v>
      </c>
      <c r="U128" s="197">
        <f t="shared" si="20"/>
        <v>2393.7</v>
      </c>
      <c r="V128" s="197">
        <f t="shared" si="20"/>
        <v>2417.6369999999997</v>
      </c>
      <c r="W128" s="77"/>
      <c r="X128" s="77"/>
      <c r="Y128" s="77"/>
    </row>
    <row r="129" spans="1:25" s="31" customFormat="1" ht="18.75" customHeight="1">
      <c r="A129" s="151"/>
      <c r="B129" s="64" t="s">
        <v>110</v>
      </c>
      <c r="C129" s="64" t="s">
        <v>88</v>
      </c>
      <c r="D129" s="144"/>
      <c r="E129" s="66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225">
        <v>759.66</v>
      </c>
      <c r="U129" s="197">
        <f t="shared" si="20"/>
        <v>767.2565999999999</v>
      </c>
      <c r="V129" s="197">
        <f t="shared" si="20"/>
        <v>774.9291659999999</v>
      </c>
      <c r="W129" s="77"/>
      <c r="X129" s="77"/>
      <c r="Y129" s="77"/>
    </row>
    <row r="130" spans="1:25" s="31" customFormat="1" ht="18" customHeight="1">
      <c r="A130" s="151"/>
      <c r="B130" s="64" t="s">
        <v>110</v>
      </c>
      <c r="C130" s="64" t="s">
        <v>123</v>
      </c>
      <c r="D130" s="63"/>
      <c r="E130" s="66">
        <v>1020000</v>
      </c>
      <c r="F130" s="67"/>
      <c r="G130" s="67"/>
      <c r="H130" s="67"/>
      <c r="I130" s="67">
        <v>1000000</v>
      </c>
      <c r="J130" s="67">
        <v>1000000</v>
      </c>
      <c r="K130" s="67"/>
      <c r="L130" s="67"/>
      <c r="M130" s="67"/>
      <c r="N130" s="67"/>
      <c r="O130" s="67"/>
      <c r="P130" s="67"/>
      <c r="Q130" s="67"/>
      <c r="R130" s="67"/>
      <c r="S130" s="67"/>
      <c r="T130" s="225">
        <v>6040.71</v>
      </c>
      <c r="U130" s="197">
        <f t="shared" si="20"/>
        <v>6101.1171</v>
      </c>
      <c r="V130" s="197">
        <f t="shared" si="20"/>
        <v>6162.1282710000005</v>
      </c>
      <c r="W130" s="77">
        <v>24787091</v>
      </c>
      <c r="X130" s="77">
        <f>W130*1.018</f>
        <v>25233258.638</v>
      </c>
      <c r="Y130" s="77">
        <f>X130*1.018</f>
        <v>25687457.293484002</v>
      </c>
    </row>
    <row r="131" spans="1:25" s="31" customFormat="1" ht="18.75" customHeight="1">
      <c r="A131" s="151"/>
      <c r="B131" s="64" t="s">
        <v>110</v>
      </c>
      <c r="C131" s="64" t="s">
        <v>109</v>
      </c>
      <c r="D131" s="63"/>
      <c r="E131" s="66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225">
        <v>320</v>
      </c>
      <c r="U131" s="197">
        <f t="shared" si="20"/>
        <v>323.2</v>
      </c>
      <c r="V131" s="197">
        <f t="shared" si="20"/>
        <v>326.432</v>
      </c>
      <c r="W131" s="77"/>
      <c r="X131" s="77"/>
      <c r="Y131" s="77"/>
    </row>
    <row r="132" spans="1:25" s="31" customFormat="1" ht="18" customHeight="1">
      <c r="A132" s="151"/>
      <c r="B132" s="58" t="s">
        <v>110</v>
      </c>
      <c r="C132" s="64" t="s">
        <v>89</v>
      </c>
      <c r="D132" s="63"/>
      <c r="E132" s="66">
        <v>1428000</v>
      </c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225">
        <v>390</v>
      </c>
      <c r="U132" s="197">
        <f t="shared" si="20"/>
        <v>393.9</v>
      </c>
      <c r="V132" s="197">
        <f t="shared" si="20"/>
        <v>397.839</v>
      </c>
      <c r="W132" s="77">
        <v>4369289</v>
      </c>
      <c r="X132" s="77">
        <f>W132*1.018</f>
        <v>4447936.2020000005</v>
      </c>
      <c r="Y132" s="77">
        <f>X132*1.018</f>
        <v>4527999.0536360005</v>
      </c>
    </row>
    <row r="133" spans="1:25" s="31" customFormat="1" ht="18" customHeight="1">
      <c r="A133" s="151"/>
      <c r="B133" s="58" t="s">
        <v>110</v>
      </c>
      <c r="C133" s="64" t="s">
        <v>160</v>
      </c>
      <c r="D133" s="63"/>
      <c r="E133" s="164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225">
        <v>1000</v>
      </c>
      <c r="U133" s="197">
        <v>0</v>
      </c>
      <c r="V133" s="197">
        <f t="shared" si="20"/>
        <v>0</v>
      </c>
      <c r="W133" s="165"/>
      <c r="X133" s="77"/>
      <c r="Y133" s="77"/>
    </row>
    <row r="134" spans="1:25" s="31" customFormat="1" ht="18" customHeight="1">
      <c r="A134" s="151"/>
      <c r="B134" s="64" t="s">
        <v>110</v>
      </c>
      <c r="C134" s="200" t="s">
        <v>103</v>
      </c>
      <c r="D134" s="63"/>
      <c r="E134" s="164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225">
        <v>100</v>
      </c>
      <c r="U134" s="197">
        <f>T134*1.01</f>
        <v>101</v>
      </c>
      <c r="V134" s="197">
        <f>U134*1.01</f>
        <v>102.01</v>
      </c>
      <c r="W134" s="165"/>
      <c r="X134" s="77"/>
      <c r="Y134" s="77"/>
    </row>
    <row r="135" spans="1:25" s="31" customFormat="1" ht="18" customHeight="1">
      <c r="A135" s="151"/>
      <c r="B135" s="64" t="s">
        <v>110</v>
      </c>
      <c r="C135" s="63" t="s">
        <v>127</v>
      </c>
      <c r="D135" s="63"/>
      <c r="E135" s="164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225">
        <v>730</v>
      </c>
      <c r="U135" s="197">
        <f>T135*1.01</f>
        <v>737.3</v>
      </c>
      <c r="V135" s="197">
        <f>U135*1.01</f>
        <v>744.673</v>
      </c>
      <c r="W135" s="165"/>
      <c r="X135" s="77"/>
      <c r="Y135" s="77"/>
    </row>
    <row r="136" spans="1:25" s="31" customFormat="1" ht="18" customHeight="1">
      <c r="A136" s="151"/>
      <c r="B136" s="64" t="s">
        <v>110</v>
      </c>
      <c r="C136" s="74" t="s">
        <v>111</v>
      </c>
      <c r="D136" s="63"/>
      <c r="E136" s="164">
        <v>2000000</v>
      </c>
      <c r="F136" s="39">
        <v>2000000</v>
      </c>
      <c r="G136" s="39">
        <v>2000000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225">
        <v>23981.46</v>
      </c>
      <c r="U136" s="197">
        <f>T136*1.01</f>
        <v>24221.2746</v>
      </c>
      <c r="V136" s="197">
        <f t="shared" si="20"/>
        <v>24463.487346</v>
      </c>
      <c r="W136" s="165">
        <f>1359600+600000+500000</f>
        <v>2459600</v>
      </c>
      <c r="X136" s="77">
        <f>W136*1.018</f>
        <v>2503872.8</v>
      </c>
      <c r="Y136" s="77">
        <f>X136*1.018</f>
        <v>2548942.5104</v>
      </c>
    </row>
    <row r="137" spans="1:25" s="31" customFormat="1" ht="15.75" customHeight="1">
      <c r="A137" s="139"/>
      <c r="B137" s="96"/>
      <c r="C137" s="96"/>
      <c r="D137" s="85"/>
      <c r="E137" s="166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22"/>
      <c r="U137" s="22"/>
      <c r="V137" s="22"/>
      <c r="W137" s="167"/>
      <c r="X137" s="167"/>
      <c r="Y137" s="167"/>
    </row>
    <row r="138" spans="1:25" s="31" customFormat="1" ht="18.75" customHeight="1">
      <c r="A138" s="68"/>
      <c r="B138" s="108" t="s">
        <v>21</v>
      </c>
      <c r="C138" s="108"/>
      <c r="D138" s="71"/>
      <c r="E138" s="168">
        <f aca="true" t="shared" si="21" ref="E138:S138">SUM(E109:E132)</f>
        <v>33048000</v>
      </c>
      <c r="F138" s="169">
        <f t="shared" si="21"/>
        <v>0</v>
      </c>
      <c r="G138" s="169">
        <f t="shared" si="21"/>
        <v>0</v>
      </c>
      <c r="H138" s="169">
        <f t="shared" si="21"/>
        <v>1500000</v>
      </c>
      <c r="I138" s="169">
        <f t="shared" si="21"/>
        <v>1700000</v>
      </c>
      <c r="J138" s="169">
        <f t="shared" si="21"/>
        <v>1800000</v>
      </c>
      <c r="K138" s="169">
        <f t="shared" si="21"/>
        <v>0</v>
      </c>
      <c r="L138" s="169">
        <f t="shared" si="21"/>
        <v>0</v>
      </c>
      <c r="M138" s="169">
        <f t="shared" si="21"/>
        <v>0</v>
      </c>
      <c r="N138" s="169">
        <f t="shared" si="21"/>
        <v>0</v>
      </c>
      <c r="O138" s="169">
        <f t="shared" si="21"/>
        <v>0</v>
      </c>
      <c r="P138" s="169">
        <f t="shared" si="21"/>
        <v>0</v>
      </c>
      <c r="Q138" s="169">
        <f t="shared" si="21"/>
        <v>0</v>
      </c>
      <c r="R138" s="169">
        <f t="shared" si="21"/>
        <v>0</v>
      </c>
      <c r="S138" s="169">
        <f t="shared" si="21"/>
        <v>0</v>
      </c>
      <c r="T138" s="198">
        <f>T68+T83+T100+T106+T112+T119+T121+T123</f>
        <v>8183670.5600000005</v>
      </c>
      <c r="U138" s="198">
        <f>U68+U83+U100+U106+U112+U119+U121+U123</f>
        <v>8268537.1779</v>
      </c>
      <c r="V138" s="198">
        <f>V68+V83+V100+V106+V112+V119+V121+V123</f>
        <v>8329072.345779</v>
      </c>
      <c r="W138" s="170" t="e">
        <f>SUM(W68+W83+#REF!+W100+W106+W112+W116+W119+W121+W123)</f>
        <v>#REF!</v>
      </c>
      <c r="X138" s="170" t="e">
        <f>SUM(X68+X83+#REF!+X100+X106+X112+X116+X119+X121+X123)</f>
        <v>#REF!</v>
      </c>
      <c r="Y138" s="170" t="e">
        <f>SUM(Y68+Y83+#REF!+Y100+Y106+Y112+Y116+Y119+Y121+Y123)</f>
        <v>#REF!</v>
      </c>
    </row>
    <row r="139" spans="1:25" s="31" customFormat="1" ht="18.75" customHeight="1">
      <c r="A139" s="85"/>
      <c r="B139" s="108"/>
      <c r="C139" s="108"/>
      <c r="D139" s="41"/>
      <c r="E139" s="221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3"/>
      <c r="U139" s="223"/>
      <c r="V139" s="223"/>
      <c r="W139" s="224"/>
      <c r="X139" s="224"/>
      <c r="Y139" s="224"/>
    </row>
    <row r="140" spans="1:25" s="31" customFormat="1" ht="18.75" customHeight="1">
      <c r="A140" s="68"/>
      <c r="B140" s="108" t="s">
        <v>116</v>
      </c>
      <c r="C140" s="108"/>
      <c r="D140" s="71"/>
      <c r="E140" s="221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6">
        <f>T63-T138</f>
        <v>72230.75999999978</v>
      </c>
      <c r="U140" s="226">
        <f>U63-U138+0.01</f>
        <v>52847.46969999954</v>
      </c>
      <c r="V140" s="226">
        <f>V63-V138+0.01</f>
        <v>30115.164121000318</v>
      </c>
      <c r="W140" s="224"/>
      <c r="X140" s="224"/>
      <c r="Y140" s="224"/>
    </row>
    <row r="141" spans="1:25" s="31" customFormat="1" ht="18.75" customHeight="1">
      <c r="A141" s="85"/>
      <c r="B141" s="108"/>
      <c r="C141" s="108"/>
      <c r="D141" s="41"/>
      <c r="E141" s="221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3"/>
      <c r="U141" s="223"/>
      <c r="V141" s="223"/>
      <c r="W141" s="224"/>
      <c r="X141" s="224"/>
      <c r="Y141" s="224"/>
    </row>
    <row r="142" spans="1:25" s="31" customFormat="1" ht="15.75" customHeight="1">
      <c r="A142" s="171"/>
      <c r="B142" s="96"/>
      <c r="C142" s="96"/>
      <c r="D142" s="85"/>
      <c r="E142" s="166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167"/>
      <c r="U142" s="167"/>
      <c r="V142" s="167"/>
      <c r="W142" s="167"/>
      <c r="X142" s="167"/>
      <c r="Y142" s="167"/>
    </row>
    <row r="143" spans="1:25" s="174" customFormat="1" ht="22.5">
      <c r="A143" s="32" t="s">
        <v>44</v>
      </c>
      <c r="B143" s="118" t="s">
        <v>45</v>
      </c>
      <c r="C143" s="119"/>
      <c r="D143" s="172"/>
      <c r="E143" s="115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98">
        <f>SUM(T144:T146)</f>
        <v>151719.24</v>
      </c>
      <c r="U143" s="198">
        <f>SUM(U144:U146)</f>
        <v>178312.54119999998</v>
      </c>
      <c r="V143" s="198">
        <f>SUM(V144:V146)</f>
        <v>206106.846144</v>
      </c>
      <c r="W143" s="173">
        <f>SUM(W146-W145-W144)</f>
        <v>-20000000</v>
      </c>
      <c r="X143" s="173">
        <f>SUM(X146-X145-X144)</f>
        <v>-20000000</v>
      </c>
      <c r="Y143" s="173">
        <f>SUM(Y146-Y145-Y144)</f>
        <v>-20000000</v>
      </c>
    </row>
    <row r="144" spans="1:25" s="174" customFormat="1" ht="20.25">
      <c r="A144" s="175" t="s">
        <v>46</v>
      </c>
      <c r="B144" s="176" t="s">
        <v>47</v>
      </c>
      <c r="C144" s="176"/>
      <c r="D144" s="177"/>
      <c r="E144" s="115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22">
        <v>222679.24</v>
      </c>
      <c r="U144" s="22">
        <f>T144*1.13</f>
        <v>251627.54119999998</v>
      </c>
      <c r="V144" s="22">
        <f>U144*1.12</f>
        <v>281822.846144</v>
      </c>
      <c r="W144" s="77">
        <v>0</v>
      </c>
      <c r="X144" s="77">
        <f aca="true" t="shared" si="22" ref="X144:Y146">W144*1.018</f>
        <v>0</v>
      </c>
      <c r="Y144" s="77">
        <f t="shared" si="22"/>
        <v>0</v>
      </c>
    </row>
    <row r="145" spans="1:25" s="174" customFormat="1" ht="20.25">
      <c r="A145" s="178" t="s">
        <v>48</v>
      </c>
      <c r="B145" s="176" t="s">
        <v>49</v>
      </c>
      <c r="C145" s="176"/>
      <c r="D145" s="177"/>
      <c r="E145" s="115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22">
        <v>28615</v>
      </c>
      <c r="U145" s="22">
        <v>25000</v>
      </c>
      <c r="V145" s="22">
        <v>21300</v>
      </c>
      <c r="W145" s="179">
        <v>20000000</v>
      </c>
      <c r="X145" s="179">
        <f>W145</f>
        <v>20000000</v>
      </c>
      <c r="Y145" s="179">
        <f>X145</f>
        <v>20000000</v>
      </c>
    </row>
    <row r="146" spans="1:25" s="174" customFormat="1" ht="20.25">
      <c r="A146" s="180" t="s">
        <v>50</v>
      </c>
      <c r="B146" s="176" t="s">
        <v>51</v>
      </c>
      <c r="C146" s="176"/>
      <c r="D146" s="177"/>
      <c r="E146" s="115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22">
        <v>-99575</v>
      </c>
      <c r="U146" s="22">
        <v>-98315</v>
      </c>
      <c r="V146" s="22">
        <v>-97016</v>
      </c>
      <c r="W146" s="77">
        <v>0</v>
      </c>
      <c r="X146" s="77">
        <f t="shared" si="22"/>
        <v>0</v>
      </c>
      <c r="Y146" s="77">
        <f t="shared" si="22"/>
        <v>0</v>
      </c>
    </row>
    <row r="147" spans="1:25" s="174" customFormat="1" ht="20.25">
      <c r="A147" s="32" t="s">
        <v>52</v>
      </c>
      <c r="B147" s="118" t="s">
        <v>59</v>
      </c>
      <c r="C147" s="119"/>
      <c r="D147" s="120"/>
      <c r="E147" s="115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06">
        <f>W147/1936.27</f>
        <v>0</v>
      </c>
      <c r="U147" s="106">
        <f>X147/1936.27</f>
        <v>0</v>
      </c>
      <c r="V147" s="106">
        <f>Y147/1936.27</f>
        <v>0</v>
      </c>
      <c r="W147" s="128">
        <v>0</v>
      </c>
      <c r="X147" s="128">
        <v>0</v>
      </c>
      <c r="Y147" s="128">
        <v>0</v>
      </c>
    </row>
    <row r="148" spans="1:25" s="174" customFormat="1" ht="20.25">
      <c r="A148" s="181"/>
      <c r="B148" s="113"/>
      <c r="C148" s="113"/>
      <c r="D148" s="53"/>
      <c r="E148" s="115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06"/>
      <c r="U148" s="106"/>
      <c r="V148" s="106"/>
      <c r="W148" s="77"/>
      <c r="X148" s="77"/>
      <c r="Y148" s="77"/>
    </row>
    <row r="149" spans="1:25" s="174" customFormat="1" ht="20.25">
      <c r="A149" s="32" t="s">
        <v>53</v>
      </c>
      <c r="B149" s="182" t="s">
        <v>54</v>
      </c>
      <c r="C149" s="183"/>
      <c r="D149" s="184"/>
      <c r="E149" s="115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22">
        <f>SUM(T150:T151)</f>
        <v>0</v>
      </c>
      <c r="U149" s="22">
        <f>SUM(U150:U151)</f>
        <v>0</v>
      </c>
      <c r="V149" s="22">
        <f>SUM(V150:V151)</f>
        <v>0</v>
      </c>
      <c r="W149" s="128">
        <f>SUM(-W150+W151)</f>
        <v>0</v>
      </c>
      <c r="X149" s="128">
        <f>SUM(-X150+X151)</f>
        <v>0</v>
      </c>
      <c r="Y149" s="128">
        <f>SUM(-Y150+Y151)</f>
        <v>0</v>
      </c>
    </row>
    <row r="150" spans="1:25" s="174" customFormat="1" ht="20.25">
      <c r="A150" s="175" t="s">
        <v>55</v>
      </c>
      <c r="B150" s="176" t="s">
        <v>121</v>
      </c>
      <c r="C150" s="185"/>
      <c r="D150" s="186"/>
      <c r="E150" s="115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22">
        <v>0</v>
      </c>
      <c r="U150" s="22">
        <v>0</v>
      </c>
      <c r="V150" s="22">
        <v>0</v>
      </c>
      <c r="W150" s="77">
        <v>0</v>
      </c>
      <c r="X150" s="77">
        <f>W150*1.018</f>
        <v>0</v>
      </c>
      <c r="Y150" s="77">
        <f>X150*1.018</f>
        <v>0</v>
      </c>
    </row>
    <row r="151" spans="1:25" s="31" customFormat="1" ht="15.75" customHeight="1">
      <c r="A151" s="57" t="s">
        <v>56</v>
      </c>
      <c r="B151" s="159" t="s">
        <v>57</v>
      </c>
      <c r="C151" s="108"/>
      <c r="D151" s="187"/>
      <c r="E151" s="188"/>
      <c r="F151" s="39"/>
      <c r="G151" s="39"/>
      <c r="H151" s="39"/>
      <c r="I151" s="39"/>
      <c r="J151" s="39"/>
      <c r="K151" s="39"/>
      <c r="L151" s="39"/>
      <c r="M151" s="39"/>
      <c r="N151" s="39"/>
      <c r="O151" s="105"/>
      <c r="P151" s="39"/>
      <c r="Q151" s="105"/>
      <c r="R151" s="105"/>
      <c r="S151" s="105"/>
      <c r="T151" s="22">
        <v>0</v>
      </c>
      <c r="U151" s="106">
        <f>X151/1936.27</f>
        <v>0</v>
      </c>
      <c r="V151" s="106"/>
      <c r="W151" s="165">
        <v>0</v>
      </c>
      <c r="X151" s="77">
        <f>W151*1.018</f>
        <v>0</v>
      </c>
      <c r="Y151" s="77">
        <f>X151*1.018</f>
        <v>0</v>
      </c>
    </row>
    <row r="152" spans="1:25" s="31" customFormat="1" ht="15.75" customHeight="1">
      <c r="A152" s="80"/>
      <c r="B152" s="159"/>
      <c r="C152" s="108"/>
      <c r="D152" s="189"/>
      <c r="E152" s="166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106"/>
      <c r="U152" s="106"/>
      <c r="V152" s="106"/>
      <c r="W152" s="167"/>
      <c r="X152" s="167"/>
      <c r="Y152" s="167"/>
    </row>
    <row r="153" spans="1:25" s="31" customFormat="1" ht="18.75" customHeight="1">
      <c r="A153" s="32" t="s">
        <v>58</v>
      </c>
      <c r="B153" s="118" t="s">
        <v>62</v>
      </c>
      <c r="C153" s="119"/>
      <c r="D153" s="190"/>
      <c r="E153" s="87"/>
      <c r="F153" s="83"/>
      <c r="G153" s="83"/>
      <c r="H153" s="83"/>
      <c r="I153" s="83"/>
      <c r="J153" s="83"/>
      <c r="K153" s="83"/>
      <c r="L153" s="83"/>
      <c r="M153" s="83"/>
      <c r="N153" s="83"/>
      <c r="O153" s="63"/>
      <c r="P153" s="60"/>
      <c r="Q153" s="132"/>
      <c r="R153" s="132"/>
      <c r="S153" s="132"/>
      <c r="T153" s="198">
        <f>SUM(T154:T155)</f>
        <v>223950</v>
      </c>
      <c r="U153" s="198">
        <f>SUM(U154:U155)</f>
        <v>231160</v>
      </c>
      <c r="V153" s="198">
        <f>SUM(V154:V155)</f>
        <v>236222</v>
      </c>
      <c r="W153" s="173">
        <v>154720074</v>
      </c>
      <c r="X153" s="128">
        <f>W153*1.018</f>
        <v>157505035.33200002</v>
      </c>
      <c r="Y153" s="128">
        <f>X153*1.018</f>
        <v>160340125.96797603</v>
      </c>
    </row>
    <row r="154" spans="1:25" s="31" customFormat="1" ht="18.75" customHeight="1">
      <c r="A154" s="228"/>
      <c r="B154" s="235" t="s">
        <v>110</v>
      </c>
      <c r="C154" s="236" t="s">
        <v>117</v>
      </c>
      <c r="D154" s="237"/>
      <c r="E154" s="102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197">
        <v>109300</v>
      </c>
      <c r="U154" s="197">
        <v>111845</v>
      </c>
      <c r="V154" s="197">
        <v>112730</v>
      </c>
      <c r="W154" s="227"/>
      <c r="X154" s="227"/>
      <c r="Y154" s="227"/>
    </row>
    <row r="155" spans="1:25" s="31" customFormat="1" ht="18.75" customHeight="1">
      <c r="A155" s="228"/>
      <c r="B155" s="232" t="s">
        <v>110</v>
      </c>
      <c r="C155" s="233" t="s">
        <v>118</v>
      </c>
      <c r="D155" s="234"/>
      <c r="E155" s="102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197">
        <v>114650</v>
      </c>
      <c r="U155" s="197">
        <v>119315</v>
      </c>
      <c r="V155" s="197">
        <v>123492</v>
      </c>
      <c r="W155" s="227"/>
      <c r="X155" s="227"/>
      <c r="Y155" s="227"/>
    </row>
    <row r="156" spans="1:25" s="31" customFormat="1" ht="15.75" customHeight="1">
      <c r="A156" s="191"/>
      <c r="E156" s="192"/>
      <c r="T156" s="106"/>
      <c r="U156" s="106"/>
      <c r="V156" s="106"/>
      <c r="W156" s="23"/>
      <c r="X156" s="23"/>
      <c r="Y156" s="23"/>
    </row>
    <row r="157" spans="1:25" s="31" customFormat="1" ht="24.75" customHeight="1">
      <c r="A157" s="32"/>
      <c r="B157" s="118" t="s">
        <v>60</v>
      </c>
      <c r="C157" s="119"/>
      <c r="D157" s="193"/>
      <c r="E157" s="192"/>
      <c r="T157" s="198">
        <f>T63-T138+T143+T149-T153</f>
        <v>-2.3283064365386963E-10</v>
      </c>
      <c r="U157" s="198">
        <f>U63-U138+U143+U149-U153</f>
        <v>0.000899999518878758</v>
      </c>
      <c r="V157" s="198">
        <f>V63-V138+V143+V149-V153</f>
        <v>0.0002650003298185766</v>
      </c>
      <c r="W157" s="194" t="e">
        <f>SUM(W63-W138-W143-W147-W149-W153)</f>
        <v>#REF!</v>
      </c>
      <c r="X157" s="194" t="e">
        <f>SUM(X63-X138-X143-X147-X149-X153)</f>
        <v>#REF!</v>
      </c>
      <c r="Y157" s="194" t="e">
        <f>SUM(Y63-Y138-Y143-Y147-Y149-Y153)</f>
        <v>#REF!</v>
      </c>
    </row>
    <row r="158" spans="1:22" ht="15.75" customHeight="1">
      <c r="A158" s="195"/>
      <c r="B158"/>
      <c r="C158"/>
      <c r="D158"/>
      <c r="E158" s="15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5"/>
      <c r="U158" s="5"/>
      <c r="V158" s="5"/>
    </row>
    <row r="159" spans="1:22" ht="15.75" customHeight="1">
      <c r="A159"/>
      <c r="B159"/>
      <c r="C159"/>
      <c r="D159"/>
      <c r="E159" s="15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5"/>
      <c r="U159" s="5"/>
      <c r="V159" s="5"/>
    </row>
    <row r="160" spans="1:22" ht="15.75" customHeight="1">
      <c r="A160"/>
      <c r="B160"/>
      <c r="C160"/>
      <c r="D160"/>
      <c r="E160" s="15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5"/>
      <c r="U160" s="5"/>
      <c r="V160" s="5"/>
    </row>
    <row r="161" spans="1:22" ht="15.75" customHeight="1">
      <c r="A161"/>
      <c r="B161"/>
      <c r="C161"/>
      <c r="D161"/>
      <c r="E161" s="15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5"/>
      <c r="U161" s="5"/>
      <c r="V161" s="5"/>
    </row>
    <row r="162" spans="1:22" ht="15.75" customHeight="1">
      <c r="A162"/>
      <c r="B162"/>
      <c r="C162"/>
      <c r="D162"/>
      <c r="E162" s="15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5"/>
      <c r="U162" s="5"/>
      <c r="V162" s="5"/>
    </row>
    <row r="163" spans="1:22" ht="15.75" customHeight="1">
      <c r="A163"/>
      <c r="B163"/>
      <c r="C163"/>
      <c r="D163"/>
      <c r="E163" s="15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5"/>
      <c r="U163" s="5"/>
      <c r="V163" s="5"/>
    </row>
    <row r="164" spans="1:22" ht="15.75" customHeight="1">
      <c r="A164"/>
      <c r="B164"/>
      <c r="C164"/>
      <c r="D164"/>
      <c r="E164" s="15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5"/>
      <c r="U164" s="5"/>
      <c r="V164" s="5"/>
    </row>
    <row r="165" spans="1:22" ht="15.75">
      <c r="A165"/>
      <c r="B165"/>
      <c r="C165"/>
      <c r="D165"/>
      <c r="E165" s="1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22" ht="15.75">
      <c r="A166"/>
      <c r="B166"/>
      <c r="C166"/>
      <c r="D166"/>
      <c r="E166" s="15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5"/>
      <c r="U166" s="5"/>
      <c r="V166" s="5"/>
    </row>
    <row r="167" spans="1:22" ht="15.75">
      <c r="A167"/>
      <c r="B167"/>
      <c r="C167"/>
      <c r="D167"/>
      <c r="E167" s="15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5"/>
      <c r="U167" s="5"/>
      <c r="V167" s="5"/>
    </row>
    <row r="168" spans="1:22" ht="15.75">
      <c r="A168"/>
      <c r="B168"/>
      <c r="C168"/>
      <c r="D168"/>
      <c r="E168" s="15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5"/>
      <c r="U168" s="5"/>
      <c r="V168" s="5"/>
    </row>
    <row r="169" spans="1:22" ht="15.75">
      <c r="A169"/>
      <c r="B169"/>
      <c r="C169"/>
      <c r="D169"/>
      <c r="E169" s="1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5"/>
      <c r="U169" s="5"/>
      <c r="V169" s="5"/>
    </row>
    <row r="170" spans="1:22" ht="15.75">
      <c r="A170"/>
      <c r="B170"/>
      <c r="C170"/>
      <c r="D170"/>
      <c r="E170" s="1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5"/>
      <c r="U170" s="5"/>
      <c r="V170" s="5"/>
    </row>
    <row r="171" spans="1:22" ht="15.75">
      <c r="A171"/>
      <c r="B171"/>
      <c r="C171"/>
      <c r="D171"/>
      <c r="E171" s="1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5"/>
      <c r="U171" s="5"/>
      <c r="V171" s="5"/>
    </row>
    <row r="172" spans="1:22" ht="15.75">
      <c r="A172"/>
      <c r="B172"/>
      <c r="C172"/>
      <c r="D172"/>
      <c r="E172" s="1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5"/>
      <c r="U172" s="5"/>
      <c r="V172" s="5"/>
    </row>
    <row r="173" spans="1:22" ht="15.75">
      <c r="A173"/>
      <c r="B173"/>
      <c r="C173"/>
      <c r="D173"/>
      <c r="E173" s="1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5"/>
      <c r="U173" s="5"/>
      <c r="V173" s="5"/>
    </row>
    <row r="174" spans="1:22" ht="15.75">
      <c r="A174"/>
      <c r="B174"/>
      <c r="C174"/>
      <c r="D174"/>
      <c r="E174" s="1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5"/>
      <c r="U174" s="5"/>
      <c r="V174" s="5"/>
    </row>
    <row r="175" spans="1:22" ht="15.75">
      <c r="A175"/>
      <c r="B175"/>
      <c r="C175"/>
      <c r="D175"/>
      <c r="E175" s="1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5"/>
      <c r="U175" s="5"/>
      <c r="V175" s="5"/>
    </row>
    <row r="176" spans="1:22" ht="15.75">
      <c r="A176"/>
      <c r="B176"/>
      <c r="C176"/>
      <c r="D176"/>
      <c r="E176" s="15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5"/>
      <c r="U176" s="5"/>
      <c r="V176" s="5"/>
    </row>
    <row r="177" spans="1:19" ht="12.75">
      <c r="A177"/>
      <c r="B177"/>
      <c r="C177"/>
      <c r="D177"/>
      <c r="E177" s="1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>
      <c r="A178"/>
      <c r="B178"/>
      <c r="C178"/>
      <c r="D178"/>
      <c r="E178" s="15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>
      <c r="A179"/>
      <c r="B179"/>
      <c r="C179"/>
      <c r="D179"/>
      <c r="E179" s="15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>
      <c r="A180"/>
      <c r="B180"/>
      <c r="C180"/>
      <c r="D180"/>
      <c r="E180" s="1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>
      <c r="A181"/>
      <c r="B181"/>
      <c r="C181"/>
      <c r="D181"/>
      <c r="E181" s="15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>
      <c r="A182"/>
      <c r="B182"/>
      <c r="C182"/>
      <c r="D182"/>
      <c r="E182" s="15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>
      <c r="A183"/>
      <c r="B183"/>
      <c r="C183"/>
      <c r="D183"/>
      <c r="E183" s="15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>
      <c r="A184"/>
      <c r="B184"/>
      <c r="C184"/>
      <c r="D184"/>
      <c r="E184" s="15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>
      <c r="A185"/>
      <c r="B185"/>
      <c r="C185"/>
      <c r="D185"/>
      <c r="E185" s="1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</sheetData>
  <mergeCells count="3">
    <mergeCell ref="A2:V2"/>
    <mergeCell ref="A3:V3"/>
    <mergeCell ref="A5:V5"/>
  </mergeCells>
  <printOptions horizontalCentered="1"/>
  <pageMargins left="0" right="0.7874015748031497" top="0" bottom="0" header="0" footer="0"/>
  <pageSetup fitToHeight="2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1"/>
  <sheetViews>
    <sheetView workbookViewId="0" topLeftCell="A28">
      <selection activeCell="A41" sqref="A41"/>
    </sheetView>
  </sheetViews>
  <sheetFormatPr defaultColWidth="9.140625" defaultRowHeight="12.75"/>
  <cols>
    <col min="1" max="1" width="83.00390625" style="16" customWidth="1"/>
  </cols>
  <sheetData>
    <row r="2" ht="12.75">
      <c r="A2" s="18" t="s">
        <v>130</v>
      </c>
    </row>
    <row r="4" ht="12.75">
      <c r="A4" s="16" t="s">
        <v>64</v>
      </c>
    </row>
    <row r="6" ht="12.75">
      <c r="A6" s="19" t="s">
        <v>65</v>
      </c>
    </row>
    <row r="8" ht="12.75">
      <c r="A8" s="17" t="s">
        <v>68</v>
      </c>
    </row>
    <row r="9" ht="12.75">
      <c r="A9" s="17"/>
    </row>
    <row r="10" ht="12.75">
      <c r="A10" s="16" t="s">
        <v>145</v>
      </c>
    </row>
    <row r="11" ht="12.75">
      <c r="A11" s="16" t="s">
        <v>152</v>
      </c>
    </row>
    <row r="12" ht="25.5">
      <c r="A12" s="16" t="s">
        <v>153</v>
      </c>
    </row>
    <row r="14" ht="12.75">
      <c r="A14" s="17" t="s">
        <v>72</v>
      </c>
    </row>
    <row r="15" ht="12.75">
      <c r="A15" s="17"/>
    </row>
    <row r="16" ht="12.75">
      <c r="A16" s="17" t="s">
        <v>154</v>
      </c>
    </row>
    <row r="17" ht="12.75">
      <c r="A17" s="17"/>
    </row>
    <row r="18" ht="12.75">
      <c r="A18" s="17" t="s">
        <v>73</v>
      </c>
    </row>
    <row r="20" ht="12.75">
      <c r="A20" s="17" t="s">
        <v>155</v>
      </c>
    </row>
    <row r="22" ht="12.75">
      <c r="A22" s="17" t="s">
        <v>66</v>
      </c>
    </row>
    <row r="24" ht="12.75">
      <c r="A24" s="16" t="s">
        <v>132</v>
      </c>
    </row>
    <row r="27" ht="12.75">
      <c r="A27" s="17" t="s">
        <v>79</v>
      </c>
    </row>
    <row r="29" ht="12.75">
      <c r="A29" s="16" t="s">
        <v>133</v>
      </c>
    </row>
    <row r="31" ht="12.75">
      <c r="A31" s="17" t="s">
        <v>74</v>
      </c>
    </row>
    <row r="33" ht="12.75">
      <c r="A33" s="17" t="s">
        <v>134</v>
      </c>
    </row>
    <row r="35" ht="12.75">
      <c r="A35" s="17" t="s">
        <v>80</v>
      </c>
    </row>
    <row r="37" ht="12.75">
      <c r="A37" s="17" t="s">
        <v>134</v>
      </c>
    </row>
    <row r="38" ht="12.75">
      <c r="A38" s="17"/>
    </row>
    <row r="39" ht="12.75">
      <c r="A39" s="17" t="s">
        <v>157</v>
      </c>
    </row>
    <row r="40" ht="12.75">
      <c r="A40" s="17" t="s">
        <v>158</v>
      </c>
    </row>
    <row r="42" ht="12.75">
      <c r="A42" s="17" t="s">
        <v>141</v>
      </c>
    </row>
    <row r="43" ht="12.75">
      <c r="A43" s="17"/>
    </row>
    <row r="44" ht="12.75">
      <c r="A44" s="21" t="s">
        <v>146</v>
      </c>
    </row>
    <row r="46" ht="12.75">
      <c r="A46" s="17" t="s">
        <v>81</v>
      </c>
    </row>
    <row r="48" ht="12.75">
      <c r="A48" s="17" t="s">
        <v>134</v>
      </c>
    </row>
    <row r="50" ht="12.75">
      <c r="A50" s="17" t="s">
        <v>125</v>
      </c>
    </row>
    <row r="51" ht="12.75">
      <c r="A51" s="17"/>
    </row>
    <row r="52" ht="12.75">
      <c r="A52" s="21" t="s">
        <v>135</v>
      </c>
    </row>
    <row r="54" ht="12.75">
      <c r="A54" s="17" t="s">
        <v>120</v>
      </c>
    </row>
    <row r="55" ht="12.75">
      <c r="A55" s="17"/>
    </row>
    <row r="56" ht="51">
      <c r="A56" s="16" t="s">
        <v>149</v>
      </c>
    </row>
    <row r="57" ht="51">
      <c r="A57" s="16" t="s">
        <v>150</v>
      </c>
    </row>
    <row r="59" ht="12.75">
      <c r="A59" s="17" t="s">
        <v>82</v>
      </c>
    </row>
    <row r="61" ht="38.25">
      <c r="A61" s="16" t="s">
        <v>136</v>
      </c>
    </row>
    <row r="62" ht="12.75">
      <c r="A62" s="16" t="s">
        <v>131</v>
      </c>
    </row>
    <row r="64" ht="12.75">
      <c r="A64" s="17" t="s">
        <v>83</v>
      </c>
    </row>
    <row r="66" ht="12.75">
      <c r="A66" s="17" t="s">
        <v>137</v>
      </c>
    </row>
    <row r="68" ht="12.75">
      <c r="A68" s="17" t="s">
        <v>84</v>
      </c>
    </row>
    <row r="70" ht="12.75">
      <c r="A70" s="17" t="s">
        <v>138</v>
      </c>
    </row>
    <row r="72" ht="12.75">
      <c r="A72" s="17" t="s">
        <v>85</v>
      </c>
    </row>
    <row r="74" ht="12.75">
      <c r="A74" s="17" t="s">
        <v>147</v>
      </c>
    </row>
    <row r="76" ht="12.75">
      <c r="A76" s="17"/>
    </row>
    <row r="77" ht="12.75">
      <c r="A77" s="17"/>
    </row>
    <row r="80" ht="12.75">
      <c r="A80" s="19" t="s">
        <v>67</v>
      </c>
    </row>
    <row r="82" ht="76.5">
      <c r="A82" s="21" t="s">
        <v>148</v>
      </c>
    </row>
    <row r="83" ht="12.75">
      <c r="A83" s="21"/>
    </row>
    <row r="84" ht="12.75">
      <c r="A84" s="17" t="s">
        <v>119</v>
      </c>
    </row>
    <row r="85" ht="12.75">
      <c r="A85" s="17"/>
    </row>
    <row r="86" spans="1:2" ht="12.75">
      <c r="A86" s="17" t="s">
        <v>139</v>
      </c>
      <c r="B86" t="s">
        <v>76</v>
      </c>
    </row>
    <row r="87" ht="12.75">
      <c r="A87" s="17"/>
    </row>
    <row r="88" ht="12.75">
      <c r="A88" s="17" t="s">
        <v>75</v>
      </c>
    </row>
    <row r="90" ht="12.75">
      <c r="A90" s="16" t="s">
        <v>140</v>
      </c>
    </row>
    <row r="93" ht="12.75">
      <c r="A93" s="18" t="s">
        <v>45</v>
      </c>
    </row>
    <row r="95" ht="38.25">
      <c r="A95" s="16" t="s">
        <v>151</v>
      </c>
    </row>
    <row r="97" ht="38.25">
      <c r="A97" s="16" t="s">
        <v>142</v>
      </c>
    </row>
    <row r="99" ht="38.25">
      <c r="A99" s="16" t="s">
        <v>143</v>
      </c>
    </row>
    <row r="101" ht="12.75">
      <c r="A101" s="18"/>
    </row>
    <row r="105" ht="12.75">
      <c r="A105" s="18" t="s">
        <v>69</v>
      </c>
    </row>
    <row r="107" ht="25.5">
      <c r="A107" s="199" t="s">
        <v>144</v>
      </c>
    </row>
    <row r="111" ht="12.75">
      <c r="A111" s="20"/>
    </row>
  </sheetData>
  <printOptions/>
  <pageMargins left="0.75" right="0.75" top="1" bottom="1" header="0.5" footer="0.5"/>
  <pageSetup horizontalDpi="600" verticalDpi="600" orientation="portrait" paperSize="9" scale="90" r:id="rId1"/>
  <rowBreaks count="1" manualBreakCount="1">
    <brk id="6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2008-09-26T15:11:03Z</cp:lastPrinted>
  <dcterms:created xsi:type="dcterms:W3CDTF">2000-01-12T12:55:58Z</dcterms:created>
  <dcterms:modified xsi:type="dcterms:W3CDTF">2008-11-19T10:15:36Z</dcterms:modified>
  <cp:category/>
  <cp:version/>
  <cp:contentType/>
  <cp:contentStatus/>
</cp:coreProperties>
</file>