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5" windowWidth="9690" windowHeight="7290" tabRatio="737" activeTab="0"/>
  </bookViews>
  <sheets>
    <sheet name="BILANCIO 2007" sheetId="1" r:id="rId1"/>
  </sheets>
  <definedNames>
    <definedName name="_xlnm.Print_Area" localSheetId="0">'BILANCIO 2007'!$B$1:$I$277</definedName>
  </definedNames>
  <calcPr fullCalcOnLoad="1"/>
</workbook>
</file>

<file path=xl/sharedStrings.xml><?xml version="1.0" encoding="utf-8"?>
<sst xmlns="http://schemas.openxmlformats.org/spreadsheetml/2006/main" count="409" uniqueCount="146">
  <si>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</si>
  <si>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</si>
  <si>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</si>
  <si>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</si>
  <si>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</si>
  <si>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</si>
  <si>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</si>
  <si>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</si>
  <si>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</si>
  <si>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</si>
  <si>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</si>
  <si>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</si>
  <si>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</si>
  <si>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</si>
  <si>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</si>
  <si>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</si>
  <si>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</si>
  <si>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</si>
  <si>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</si>
  <si>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</si>
  <si>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</si>
  <si>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</si>
  <si>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</si>
  <si>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</si>
  <si>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</si>
  <si>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</si>
  <si>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</si>
  <si>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</si>
  <si>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</si>
  <si>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</si>
  <si>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</si>
  <si>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</si>
  <si>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</si>
  <si>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</si>
  <si>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</si>
  <si>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</si>
  <si>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</si>
  <si>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</si>
  <si>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</si>
  <si>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</si>
  <si>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</si>
  <si>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</si>
  <si>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</si>
  <si>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</si>
  <si>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</si>
  <si>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</si>
  <si>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</si>
  <si>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</si>
  <si>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</si>
  <si>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</si>
  <si>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</si>
  <si>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</si>
  <si>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</si>
  <si>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</si>
  <si>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</si>
  <si>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</si>
  <si>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</si>
  <si>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</si>
  <si>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</si>
  <si>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</si>
  <si>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</si>
  <si>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</si>
  <si>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</si>
  <si>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</si>
  <si>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</si>
  <si>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</si>
  <si>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</si>
  <si>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</si>
  <si>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</si>
  <si>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</si>
  <si>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</si>
  <si>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</si>
  <si>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IRAP</t>
  </si>
  <si>
    <t>Farmacia 2 Pini</t>
  </si>
  <si>
    <t>Farmacia Gramsci</t>
  </si>
  <si>
    <t>Nuoto disabili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</si>
  <si>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</si>
  <si>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</si>
  <si>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</si>
  <si>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</si>
  <si>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</si>
  <si>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</si>
  <si>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</si>
  <si>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</si>
  <si>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</si>
  <si>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</si>
  <si>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</si>
  <si>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</si>
  <si>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</si>
  <si>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</si>
  <si>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</si>
  <si>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r>
      <t xml:space="preserve">Ristorazione </t>
    </r>
    <r>
      <rPr>
        <sz val="8"/>
        <rFont val="Geneva"/>
        <family val="0"/>
      </rPr>
      <t>(*vedi nota integrativa)</t>
    </r>
  </si>
  <si>
    <t xml:space="preserve">   A.S.P.e F. Azienda Servizi alla Persona e alla Famiglia</t>
  </si>
  <si>
    <t>C.A.H.Comunità Alloggio Handicap</t>
  </si>
  <si>
    <t>C.A.H. Comunità Alloggio Handicap</t>
  </si>
  <si>
    <t>C.A.H.Comunita' Alloggio Handicap</t>
  </si>
  <si>
    <t>CONSUNTIVO 2000</t>
  </si>
  <si>
    <t>redatto secondo il Decreto del Ministero del Tesoro 26.04.1995</t>
  </si>
  <si>
    <t>Costi comuni</t>
  </si>
  <si>
    <t>Servizio Trasporto Protetto</t>
  </si>
  <si>
    <t>Area Minori (ex C.a.g. e SADM)</t>
  </si>
  <si>
    <t>R.S.A. "Isabella D'Este"</t>
  </si>
  <si>
    <t>R.S.A. "Luigi Bianchi"</t>
  </si>
  <si>
    <t>R.S.A "Luigi Bianchi"</t>
  </si>
  <si>
    <t>IRES</t>
  </si>
  <si>
    <t>Fisioterapia</t>
  </si>
  <si>
    <t>di cui: contributi in conto esercizio</t>
  </si>
  <si>
    <t>Spese per lavoro interinale</t>
  </si>
  <si>
    <t>11) variazioni delle rimanenze delle materie</t>
  </si>
  <si>
    <t>prime, sussidiarie di consumo e merci;</t>
  </si>
  <si>
    <t>* Farmacia 2 Pini</t>
  </si>
  <si>
    <t>* Farmacia Gramsci</t>
  </si>
  <si>
    <t>S.A.D. e Voucher</t>
  </si>
  <si>
    <t>S.A.D.e Voucher</t>
  </si>
  <si>
    <t>e conforme agli art.2423 e seguenti del Codice Civile</t>
  </si>
  <si>
    <t>Comunità Residenziale Minori</t>
  </si>
  <si>
    <t>Servizio Affidi</t>
  </si>
  <si>
    <t>Comunità residenziale Minori</t>
  </si>
  <si>
    <t>contributo Fondo Sanitario Regionale</t>
  </si>
  <si>
    <t xml:space="preserve"> contributo Fondo Sanitario Regionale</t>
  </si>
  <si>
    <t xml:space="preserve"> contributo Regionale per lavori I.D'Este</t>
  </si>
  <si>
    <t>contributo ASL ex circolare 4</t>
  </si>
  <si>
    <t>contributo Piano di Zona</t>
  </si>
  <si>
    <t xml:space="preserve">contributo ASL legge 185 </t>
  </si>
  <si>
    <t>*Altri ricavi personale in distacco / comando</t>
  </si>
  <si>
    <t xml:space="preserve">*Altri ricavi e proventi </t>
  </si>
  <si>
    <t>*Altri ricavi e proventi contratto di servizio farm.</t>
  </si>
  <si>
    <t>*Altri ricavi e proventi affitti farmacie</t>
  </si>
  <si>
    <t>Area Integrazione Sociale</t>
  </si>
  <si>
    <t>BILANCIO DI PREVISIONE ANNO 2007</t>
  </si>
  <si>
    <t>PREVISIONALE 2007</t>
  </si>
  <si>
    <t>CONSUNTIVO 2005</t>
  </si>
  <si>
    <t xml:space="preserve"> contributo art.23 Statuto ASPeF</t>
  </si>
  <si>
    <t xml:space="preserve"> contributo Regionale per lavori L.Bianchi</t>
  </si>
  <si>
    <t>S.A.D. - Voucher</t>
  </si>
  <si>
    <t>S.A.D.- Voucher</t>
  </si>
  <si>
    <t>* altre</t>
  </si>
  <si>
    <t>Servizio Sportello Giovani</t>
  </si>
  <si>
    <t xml:space="preserve"> progetto Alzheimer</t>
  </si>
  <si>
    <t>Spese Sportello Giovani</t>
  </si>
  <si>
    <t>Spese Servizio Affidi</t>
  </si>
  <si>
    <t>Aspettativa personale dipendente</t>
  </si>
  <si>
    <t>CONTO ECONOMICO</t>
  </si>
  <si>
    <t>*Contributo Fondo perduto del socio</t>
  </si>
  <si>
    <t>e - costi per il personale in idoneità condizionata</t>
  </si>
  <si>
    <t xml:space="preserve">Circolare 4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</si>
</sst>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17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i/>
      <sz val="9"/>
      <name val="Arial"/>
      <family val="2"/>
    </font>
    <font>
      <sz val="11"/>
      <name val="Geneva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10" fillId="0" borderId="18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0" fillId="0" borderId="19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10" fillId="0" borderId="3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/>
    </xf>
    <xf numFmtId="3" fontId="0" fillId="2" borderId="26" xfId="0" applyNumberFormat="1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/>
      <protection locked="0"/>
    </xf>
    <xf numFmtId="3" fontId="10" fillId="2" borderId="19" xfId="0" applyNumberFormat="1" applyFon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0" fillId="2" borderId="19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10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17" xfId="0" applyNumberFormat="1" applyFill="1" applyBorder="1" applyAlignment="1" applyProtection="1">
      <alignment/>
      <protection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/>
    </xf>
    <xf numFmtId="4" fontId="10" fillId="0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/>
      <protection locked="0"/>
    </xf>
    <xf numFmtId="4" fontId="0" fillId="2" borderId="18" xfId="0" applyNumberFormat="1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4" fontId="0" fillId="2" borderId="19" xfId="0" applyNumberForma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2" borderId="8" xfId="0" applyNumberFormat="1" applyFont="1" applyFill="1" applyBorder="1" applyAlignment="1" applyProtection="1">
      <alignment/>
      <protection locked="0"/>
    </xf>
    <xf numFmtId="4" fontId="9" fillId="2" borderId="2" xfId="0" applyNumberFormat="1" applyFont="1" applyFill="1" applyBorder="1" applyAlignment="1" applyProtection="1">
      <alignment/>
      <protection/>
    </xf>
    <xf numFmtId="4" fontId="1" fillId="2" borderId="4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1" fillId="2" borderId="18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/>
      <protection locked="0"/>
    </xf>
    <xf numFmtId="4" fontId="13" fillId="2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18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4" fontId="13" fillId="0" borderId="5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/>
      <protection/>
    </xf>
    <xf numFmtId="4" fontId="13" fillId="0" borderId="1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 applyProtection="1">
      <alignment horizontal="right"/>
      <protection/>
    </xf>
    <xf numFmtId="4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 locked="0"/>
    </xf>
    <xf numFmtId="4" fontId="5" fillId="2" borderId="4" xfId="0" applyNumberFormat="1" applyFont="1" applyFill="1" applyBorder="1" applyAlignment="1" applyProtection="1">
      <alignment/>
      <protection/>
    </xf>
    <xf numFmtId="4" fontId="13" fillId="2" borderId="1" xfId="0" applyNumberFormat="1" applyFont="1" applyFill="1" applyBorder="1" applyAlignment="1" applyProtection="1">
      <alignment/>
      <protection locked="0"/>
    </xf>
    <xf numFmtId="4" fontId="4" fillId="2" borderId="2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 locked="0"/>
    </xf>
    <xf numFmtId="4" fontId="4" fillId="2" borderId="4" xfId="0" applyNumberFormat="1" applyFont="1" applyFill="1" applyBorder="1" applyAlignment="1" applyProtection="1">
      <alignment/>
      <protection/>
    </xf>
    <xf numFmtId="4" fontId="4" fillId="2" borderId="25" xfId="0" applyNumberFormat="1" applyFont="1" applyFill="1" applyBorder="1" applyAlignment="1" applyProtection="1">
      <alignment/>
      <protection/>
    </xf>
    <xf numFmtId="4" fontId="13" fillId="2" borderId="1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 locked="0"/>
    </xf>
    <xf numFmtId="4" fontId="4" fillId="2" borderId="18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/>
    </xf>
    <xf numFmtId="4" fontId="4" fillId="2" borderId="18" xfId="0" applyNumberFormat="1" applyFont="1" applyFill="1" applyBorder="1" applyAlignment="1" applyProtection="1">
      <alignment/>
      <protection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27" xfId="0" applyNumberFormat="1" applyFont="1" applyFill="1" applyBorder="1" applyAlignment="1" applyProtection="1">
      <alignment horizontal="right"/>
      <protection locked="0"/>
    </xf>
    <xf numFmtId="4" fontId="13" fillId="2" borderId="4" xfId="0" applyNumberFormat="1" applyFont="1" applyFill="1" applyBorder="1" applyAlignment="1" applyProtection="1">
      <alignment/>
      <protection locked="0"/>
    </xf>
    <xf numFmtId="4" fontId="13" fillId="2" borderId="5" xfId="0" applyNumberFormat="1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4" fontId="10" fillId="0" borderId="5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workbookViewId="0" topLeftCell="B257">
      <selection activeCell="F281" sqref="F281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37.25390625" style="9" customWidth="1"/>
    <col min="6" max="6" width="20.75390625" style="8" customWidth="1"/>
    <col min="7" max="7" width="19.25390625" style="8" customWidth="1"/>
    <col min="8" max="8" width="22.25390625" style="8" customWidth="1"/>
    <col min="9" max="9" width="17.0039062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73"/>
      <c r="C1" s="73"/>
      <c r="D1" s="73"/>
      <c r="E1" s="73"/>
      <c r="F1" s="74"/>
      <c r="G1" s="74"/>
      <c r="H1" s="75"/>
      <c r="I1" s="77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6"/>
      <c r="B3" s="76"/>
      <c r="C3" s="70"/>
      <c r="D3" s="70"/>
      <c r="E3" s="70"/>
      <c r="F3" s="71"/>
      <c r="G3" s="71"/>
      <c r="H3" s="72"/>
      <c r="I3" s="46"/>
    </row>
    <row r="4" spans="1:13" s="4" customFormat="1" ht="13.5" customHeight="1">
      <c r="A4" s="79"/>
      <c r="B4" s="79"/>
      <c r="C4" s="45"/>
      <c r="D4" s="45"/>
      <c r="E4" s="45"/>
      <c r="F4" s="80"/>
      <c r="G4" s="91"/>
      <c r="H4" s="29"/>
      <c r="I4" s="81"/>
      <c r="M4" s="89"/>
    </row>
    <row r="5" spans="1:13" s="4" customFormat="1" ht="13.5" customHeight="1">
      <c r="A5" s="83"/>
      <c r="B5" s="83"/>
      <c r="C5" s="82"/>
      <c r="D5" s="82"/>
      <c r="E5" s="82"/>
      <c r="F5" s="69"/>
      <c r="G5" s="91"/>
      <c r="H5" s="53"/>
      <c r="I5" s="81"/>
      <c r="M5" s="89"/>
    </row>
    <row r="6" spans="1:13" s="4" customFormat="1" ht="23.25">
      <c r="A6" s="83"/>
      <c r="B6" s="83"/>
      <c r="C6" s="82"/>
      <c r="D6" s="82"/>
      <c r="E6" s="82"/>
      <c r="F6" s="192" t="s">
        <v>92</v>
      </c>
      <c r="G6" s="92"/>
      <c r="H6" s="53"/>
      <c r="I6" s="81"/>
      <c r="M6" s="89"/>
    </row>
    <row r="7" spans="1:13" s="4" customFormat="1" ht="13.5" customHeight="1">
      <c r="A7" s="83"/>
      <c r="B7" s="83"/>
      <c r="C7" s="82"/>
      <c r="D7" s="82"/>
      <c r="E7" s="82"/>
      <c r="F7" s="69"/>
      <c r="G7" s="91"/>
      <c r="H7" s="53"/>
      <c r="I7" s="81"/>
      <c r="M7" s="89"/>
    </row>
    <row r="8" spans="1:9" ht="13.5" customHeight="1" thickBot="1">
      <c r="A8" s="47"/>
      <c r="B8" s="47"/>
      <c r="C8" s="48"/>
      <c r="D8" s="48"/>
      <c r="E8" s="48"/>
      <c r="F8" s="49"/>
      <c r="G8" s="49"/>
      <c r="H8" s="50"/>
      <c r="I8" s="51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6"/>
      <c r="C10" s="184"/>
      <c r="D10" s="184"/>
      <c r="E10" s="184"/>
      <c r="F10" s="6" t="s">
        <v>129</v>
      </c>
      <c r="G10" s="184"/>
      <c r="H10" s="184"/>
      <c r="I10" s="184"/>
    </row>
    <row r="11" spans="1:9" ht="16.5" customHeight="1">
      <c r="A11" s="5"/>
      <c r="B11" s="80"/>
      <c r="C11" s="80"/>
      <c r="D11" s="80"/>
      <c r="E11" s="80"/>
      <c r="F11" s="80" t="s">
        <v>97</v>
      </c>
      <c r="G11" s="80"/>
      <c r="H11" s="80"/>
      <c r="I11" s="80"/>
    </row>
    <row r="12" spans="1:13" s="86" customFormat="1" ht="12" customHeight="1">
      <c r="A12" s="84"/>
      <c r="B12" s="84"/>
      <c r="C12" s="84"/>
      <c r="D12" s="84"/>
      <c r="E12" s="84"/>
      <c r="F12" s="84" t="s">
        <v>114</v>
      </c>
      <c r="G12" s="189"/>
      <c r="H12" s="189"/>
      <c r="I12" s="85"/>
      <c r="M12" s="90"/>
    </row>
    <row r="13" spans="1:13" s="86" customFormat="1" ht="12" customHeight="1">
      <c r="A13" s="84"/>
      <c r="B13" s="84"/>
      <c r="C13" s="84"/>
      <c r="D13" s="84"/>
      <c r="E13" s="84"/>
      <c r="F13" s="84"/>
      <c r="G13" s="189"/>
      <c r="H13" s="189"/>
      <c r="I13" s="85"/>
      <c r="M13" s="90"/>
    </row>
    <row r="14" spans="1:7" ht="15.75" customHeight="1">
      <c r="A14" s="12"/>
      <c r="B14" s="12"/>
      <c r="C14" s="12"/>
      <c r="D14" s="12"/>
      <c r="E14" s="30"/>
      <c r="F14" s="233" t="s">
        <v>142</v>
      </c>
      <c r="G14" s="233"/>
    </row>
    <row r="15" spans="1:8" ht="12.75" customHeight="1">
      <c r="A15" s="12"/>
      <c r="B15" s="12"/>
      <c r="C15" s="12"/>
      <c r="D15" s="12"/>
      <c r="F15" s="29"/>
      <c r="G15" s="29"/>
      <c r="H15" s="63"/>
    </row>
    <row r="16" spans="1:11" ht="12.75" customHeight="1">
      <c r="A16" s="12"/>
      <c r="B16" s="12"/>
      <c r="C16" s="12"/>
      <c r="D16" s="12"/>
      <c r="F16" s="231" t="s">
        <v>130</v>
      </c>
      <c r="G16" s="232"/>
      <c r="H16" s="229" t="s">
        <v>131</v>
      </c>
      <c r="I16" s="230"/>
      <c r="J16" s="229" t="s">
        <v>96</v>
      </c>
      <c r="K16" s="230"/>
    </row>
    <row r="17" spans="1:11" ht="12.75" customHeight="1">
      <c r="A17" s="12"/>
      <c r="B17" s="31"/>
      <c r="C17" s="32"/>
      <c r="D17" s="32"/>
      <c r="E17" s="26" t="s">
        <v>1</v>
      </c>
      <c r="F17" s="10" t="s">
        <v>2</v>
      </c>
      <c r="G17" s="10" t="s">
        <v>3</v>
      </c>
      <c r="H17" s="94" t="s">
        <v>2</v>
      </c>
      <c r="I17" s="94" t="s">
        <v>3</v>
      </c>
      <c r="J17" s="94" t="s">
        <v>2</v>
      </c>
      <c r="K17" s="94" t="s">
        <v>3</v>
      </c>
    </row>
    <row r="18" spans="1:11" ht="12.75" customHeight="1">
      <c r="A18" s="12"/>
      <c r="B18" s="11"/>
      <c r="C18" s="12"/>
      <c r="D18" s="12"/>
      <c r="E18" s="9" t="s">
        <v>0</v>
      </c>
      <c r="F18" s="28"/>
      <c r="G18" s="28"/>
      <c r="H18" s="95"/>
      <c r="I18" s="95"/>
      <c r="J18" s="95"/>
      <c r="K18" s="95"/>
    </row>
    <row r="19" spans="1:11" ht="15.75" customHeight="1">
      <c r="A19" s="12"/>
      <c r="B19" s="193" t="s">
        <v>4</v>
      </c>
      <c r="C19" s="12"/>
      <c r="D19" s="12"/>
      <c r="F19" s="28"/>
      <c r="G19" s="194">
        <f>F21+F42+F46+F48+F51</f>
        <v>7951394.49</v>
      </c>
      <c r="H19" s="95"/>
      <c r="I19" s="209">
        <f>H21+H42+H46+H48+H51</f>
        <v>6883728.459999999</v>
      </c>
      <c r="J19" s="95"/>
      <c r="K19" s="96">
        <v>12020729812</v>
      </c>
    </row>
    <row r="20" spans="1:11" ht="12.75" customHeight="1">
      <c r="A20" s="12"/>
      <c r="B20" s="16"/>
      <c r="C20" s="12"/>
      <c r="D20" s="12"/>
      <c r="F20" s="28"/>
      <c r="G20" s="157"/>
      <c r="H20" s="95"/>
      <c r="I20" s="135"/>
      <c r="J20" s="95"/>
      <c r="K20" s="96"/>
    </row>
    <row r="21" spans="1:11" ht="15" customHeight="1">
      <c r="A21" s="12"/>
      <c r="B21" s="11"/>
      <c r="C21" s="17" t="s">
        <v>84</v>
      </c>
      <c r="D21" s="12"/>
      <c r="F21" s="195">
        <f>SUM(F23:F39)</f>
        <v>4060054.58</v>
      </c>
      <c r="G21" s="33"/>
      <c r="H21" s="210">
        <f>SUM(H23:H39)</f>
        <v>3673650.77</v>
      </c>
      <c r="I21" s="97"/>
      <c r="J21" s="97">
        <f>SUM(J23:J39)</f>
        <v>3203415685</v>
      </c>
      <c r="K21" s="97"/>
    </row>
    <row r="22" spans="1:11" ht="12.75" customHeight="1">
      <c r="A22" s="12"/>
      <c r="B22" s="11"/>
      <c r="C22" s="12"/>
      <c r="D22" s="12"/>
      <c r="F22" s="158"/>
      <c r="G22" s="33"/>
      <c r="H22" s="159"/>
      <c r="I22" s="97"/>
      <c r="J22" s="160"/>
      <c r="K22" s="97"/>
    </row>
    <row r="23" spans="1:11" ht="12.75" customHeight="1">
      <c r="A23" s="12"/>
      <c r="B23" s="11"/>
      <c r="C23" s="12"/>
      <c r="D23" t="s">
        <v>22</v>
      </c>
      <c r="E23" s="9" t="s">
        <v>101</v>
      </c>
      <c r="F23" s="196">
        <f>1435273.5+119200+102742.1</f>
        <v>1657215.6</v>
      </c>
      <c r="G23" s="36"/>
      <c r="H23" s="211">
        <v>1578760.53</v>
      </c>
      <c r="I23" s="97"/>
      <c r="J23" s="98">
        <v>2044114950</v>
      </c>
      <c r="K23" s="97"/>
    </row>
    <row r="24" spans="1:11" ht="12.75" customHeight="1">
      <c r="A24" s="12"/>
      <c r="B24" s="11"/>
      <c r="C24" s="12"/>
      <c r="D24" t="s">
        <v>22</v>
      </c>
      <c r="E24" s="9" t="s">
        <v>102</v>
      </c>
      <c r="F24" s="196">
        <f>619724.88+48800+43168.95</f>
        <v>711693.83</v>
      </c>
      <c r="G24" s="36"/>
      <c r="H24" s="211">
        <v>685467.77</v>
      </c>
      <c r="I24" s="97"/>
      <c r="J24" s="98"/>
      <c r="K24" s="97"/>
    </row>
    <row r="25" spans="1:11" ht="12.75" customHeight="1">
      <c r="A25" s="12"/>
      <c r="B25" s="11"/>
      <c r="C25" s="12"/>
      <c r="D25" t="s">
        <v>22</v>
      </c>
      <c r="E25" s="9" t="s">
        <v>105</v>
      </c>
      <c r="F25" s="196">
        <v>59968</v>
      </c>
      <c r="G25" s="36"/>
      <c r="H25" s="211">
        <v>27267.99</v>
      </c>
      <c r="I25" s="97"/>
      <c r="J25" s="98"/>
      <c r="K25" s="97"/>
    </row>
    <row r="26" spans="1:11" ht="12.75" customHeight="1">
      <c r="A26" s="12"/>
      <c r="B26" s="11"/>
      <c r="C26" s="12"/>
      <c r="D26" t="s">
        <v>22</v>
      </c>
      <c r="E26" s="9" t="s">
        <v>91</v>
      </c>
      <c r="F26" s="196">
        <v>0</v>
      </c>
      <c r="G26" s="36"/>
      <c r="H26" s="211">
        <v>0</v>
      </c>
      <c r="I26" s="97"/>
      <c r="J26" s="98">
        <v>0</v>
      </c>
      <c r="K26" s="97"/>
    </row>
    <row r="27" spans="1:11" ht="12.75" customHeight="1">
      <c r="A27" s="12"/>
      <c r="B27" s="11"/>
      <c r="C27" s="12"/>
      <c r="D27" t="s">
        <v>22</v>
      </c>
      <c r="E27" s="9" t="s">
        <v>112</v>
      </c>
      <c r="F27" s="197">
        <f>99005.7+131634.8+152470.5+30000</f>
        <v>413111</v>
      </c>
      <c r="G27" s="36"/>
      <c r="H27" s="211">
        <v>386911.96</v>
      </c>
      <c r="I27" s="97"/>
      <c r="J27" s="98">
        <v>525125985</v>
      </c>
      <c r="K27" s="97"/>
    </row>
    <row r="28" spans="1:11" ht="12.75" customHeight="1">
      <c r="A28" s="12"/>
      <c r="B28" s="11"/>
      <c r="C28" s="12"/>
      <c r="D28" t="s">
        <v>22</v>
      </c>
      <c r="E28" s="9" t="s">
        <v>89</v>
      </c>
      <c r="F28" s="197">
        <f>60416.96+8000-8000</f>
        <v>60416.95999999999</v>
      </c>
      <c r="G28" s="36"/>
      <c r="H28" s="211">
        <v>51875.16</v>
      </c>
      <c r="I28" s="97"/>
      <c r="J28" s="98">
        <v>85455465</v>
      </c>
      <c r="K28" s="97"/>
    </row>
    <row r="29" spans="1:11" ht="12.75" customHeight="1" hidden="1">
      <c r="A29" s="12"/>
      <c r="B29" s="11"/>
      <c r="C29" s="12"/>
      <c r="D29" t="s">
        <v>22</v>
      </c>
      <c r="E29" s="9" t="s">
        <v>90</v>
      </c>
      <c r="F29" s="198"/>
      <c r="G29" s="36"/>
      <c r="H29" s="211"/>
      <c r="I29" s="97"/>
      <c r="J29" s="98"/>
      <c r="K29" s="97"/>
    </row>
    <row r="30" spans="1:11" ht="12.75" customHeight="1">
      <c r="A30" s="12"/>
      <c r="B30" s="11"/>
      <c r="C30" s="12"/>
      <c r="D30" t="s">
        <v>22</v>
      </c>
      <c r="E30" s="9" t="s">
        <v>128</v>
      </c>
      <c r="F30" s="197">
        <f>93500+33181+35531.92+31264.54</f>
        <v>193477.46</v>
      </c>
      <c r="G30" s="36"/>
      <c r="H30" s="211">
        <v>54765.08</v>
      </c>
      <c r="I30" s="97"/>
      <c r="J30" s="98">
        <v>0</v>
      </c>
      <c r="K30" s="97"/>
    </row>
    <row r="31" spans="1:11" ht="12.75" customHeight="1">
      <c r="A31" s="12"/>
      <c r="B31" s="11"/>
      <c r="C31" s="12"/>
      <c r="D31" t="s">
        <v>22</v>
      </c>
      <c r="E31" s="9" t="s">
        <v>73</v>
      </c>
      <c r="F31" s="197">
        <v>0</v>
      </c>
      <c r="G31" s="36"/>
      <c r="H31" s="211">
        <v>173924.73</v>
      </c>
      <c r="I31" s="97"/>
      <c r="J31" s="98"/>
      <c r="K31" s="97"/>
    </row>
    <row r="32" spans="1:11" ht="12.75" customHeight="1">
      <c r="A32" s="12"/>
      <c r="B32" s="11"/>
      <c r="C32" s="12"/>
      <c r="D32" t="s">
        <v>22</v>
      </c>
      <c r="E32" s="9" t="s">
        <v>74</v>
      </c>
      <c r="F32" s="197">
        <v>0</v>
      </c>
      <c r="G32" s="36"/>
      <c r="H32" s="211">
        <v>257968.15</v>
      </c>
      <c r="I32" s="97"/>
      <c r="J32" s="98"/>
      <c r="K32" s="97"/>
    </row>
    <row r="33" spans="1:11" ht="12.75" customHeight="1">
      <c r="A33" s="12"/>
      <c r="B33" s="11"/>
      <c r="C33" s="12"/>
      <c r="D33" t="s">
        <v>22</v>
      </c>
      <c r="E33" s="9" t="s">
        <v>99</v>
      </c>
      <c r="F33" s="197">
        <v>11229.38</v>
      </c>
      <c r="G33" s="36"/>
      <c r="H33" s="211">
        <v>14288.67</v>
      </c>
      <c r="I33" s="97"/>
      <c r="J33" s="98">
        <v>109205285</v>
      </c>
      <c r="K33" s="97"/>
    </row>
    <row r="34" spans="1:11" ht="12.75" customHeight="1">
      <c r="A34" s="12"/>
      <c r="B34" s="11"/>
      <c r="C34" s="12"/>
      <c r="D34" s="12" t="s">
        <v>22</v>
      </c>
      <c r="E34" s="9" t="s">
        <v>100</v>
      </c>
      <c r="F34" s="197">
        <f>122604+132500</f>
        <v>255104</v>
      </c>
      <c r="G34" s="36"/>
      <c r="H34" s="211">
        <v>230008.22</v>
      </c>
      <c r="I34" s="97"/>
      <c r="J34" s="98"/>
      <c r="K34" s="97"/>
    </row>
    <row r="35" spans="1:11" ht="12.75" customHeight="1">
      <c r="A35" s="12"/>
      <c r="B35" s="11"/>
      <c r="C35" s="12"/>
      <c r="D35" s="12" t="s">
        <v>22</v>
      </c>
      <c r="E35" s="9" t="s">
        <v>137</v>
      </c>
      <c r="F35" s="197">
        <v>181276.75</v>
      </c>
      <c r="G35" s="36"/>
      <c r="H35" s="211">
        <v>0</v>
      </c>
      <c r="I35" s="97"/>
      <c r="J35" s="98"/>
      <c r="K35" s="97"/>
    </row>
    <row r="36" spans="1:11" ht="12.75" customHeight="1">
      <c r="A36" s="12"/>
      <c r="B36" s="11"/>
      <c r="C36" s="12"/>
      <c r="D36" s="12" t="s">
        <v>22</v>
      </c>
      <c r="E36" s="9" t="s">
        <v>115</v>
      </c>
      <c r="F36" s="197">
        <v>216000</v>
      </c>
      <c r="G36" s="36"/>
      <c r="H36" s="211">
        <v>0</v>
      </c>
      <c r="I36" s="97"/>
      <c r="J36" s="98"/>
      <c r="K36" s="97"/>
    </row>
    <row r="37" spans="1:11" ht="12.75" customHeight="1">
      <c r="A37" s="12"/>
      <c r="B37" s="11"/>
      <c r="C37" s="12"/>
      <c r="D37" s="12" t="s">
        <v>22</v>
      </c>
      <c r="E37" s="9" t="s">
        <v>116</v>
      </c>
      <c r="F37" s="197">
        <v>99000</v>
      </c>
      <c r="G37" s="36"/>
      <c r="H37" s="211">
        <v>0</v>
      </c>
      <c r="I37" s="97"/>
      <c r="J37" s="98"/>
      <c r="K37" s="97"/>
    </row>
    <row r="38" spans="1:11" ht="12.75" customHeight="1">
      <c r="A38" s="12"/>
      <c r="B38" s="11"/>
      <c r="C38" s="12"/>
      <c r="D38" t="s">
        <v>22</v>
      </c>
      <c r="E38" s="9" t="s">
        <v>75</v>
      </c>
      <c r="F38" s="197">
        <v>0</v>
      </c>
      <c r="G38" s="36"/>
      <c r="H38" s="211">
        <v>13234.48</v>
      </c>
      <c r="I38" s="97"/>
      <c r="J38" s="98">
        <v>249863500</v>
      </c>
      <c r="K38" s="97"/>
    </row>
    <row r="39" spans="1:11" ht="12.75" customHeight="1">
      <c r="A39" s="12"/>
      <c r="B39" s="11"/>
      <c r="C39" s="12"/>
      <c r="D39" t="s">
        <v>22</v>
      </c>
      <c r="E39" s="9" t="s">
        <v>93</v>
      </c>
      <c r="F39" s="197">
        <v>201561.6</v>
      </c>
      <c r="G39" s="36"/>
      <c r="H39" s="211">
        <v>199178.03</v>
      </c>
      <c r="I39" s="97"/>
      <c r="J39" s="98">
        <v>189650500</v>
      </c>
      <c r="K39" s="97"/>
    </row>
    <row r="40" spans="1:11" ht="12.75" customHeight="1">
      <c r="A40" s="12"/>
      <c r="B40" s="11"/>
      <c r="C40" s="12"/>
      <c r="D40"/>
      <c r="F40" s="197"/>
      <c r="G40" s="36"/>
      <c r="H40" s="133"/>
      <c r="I40" s="97"/>
      <c r="J40" s="98"/>
      <c r="K40" s="97"/>
    </row>
    <row r="41" spans="1:11" ht="12.75" customHeight="1">
      <c r="A41" s="12"/>
      <c r="B41" s="11"/>
      <c r="C41" s="17" t="s">
        <v>83</v>
      </c>
      <c r="D41" s="12"/>
      <c r="F41" s="27"/>
      <c r="G41" s="33"/>
      <c r="H41" s="100"/>
      <c r="I41" s="97"/>
      <c r="J41" s="100"/>
      <c r="K41" s="97"/>
    </row>
    <row r="42" spans="1:11" ht="12.75" customHeight="1">
      <c r="A42" s="12"/>
      <c r="B42" s="11"/>
      <c r="C42" s="12"/>
      <c r="D42" s="12" t="s">
        <v>5</v>
      </c>
      <c r="F42" s="27">
        <f>SUM(F43:F44)</f>
        <v>0</v>
      </c>
      <c r="G42" s="33"/>
      <c r="H42" s="212">
        <f>H43+H44</f>
        <v>-7076.7300000000005</v>
      </c>
      <c r="I42" s="97"/>
      <c r="J42" s="100">
        <f>J43+J44</f>
        <v>23192468</v>
      </c>
      <c r="K42" s="97"/>
    </row>
    <row r="43" spans="1:11" ht="12.75" customHeight="1">
      <c r="A43" s="12"/>
      <c r="B43" s="11"/>
      <c r="C43" s="12"/>
      <c r="D43" t="s">
        <v>22</v>
      </c>
      <c r="E43" s="9" t="s">
        <v>85</v>
      </c>
      <c r="F43" s="199">
        <v>0</v>
      </c>
      <c r="G43" s="87"/>
      <c r="H43" s="213">
        <v>-7779.27</v>
      </c>
      <c r="I43" s="97"/>
      <c r="J43" s="99">
        <v>22527154</v>
      </c>
      <c r="K43" s="97"/>
    </row>
    <row r="44" spans="1:11" ht="12.75" customHeight="1">
      <c r="A44" s="12"/>
      <c r="B44" s="11"/>
      <c r="C44" s="12"/>
      <c r="D44" t="s">
        <v>22</v>
      </c>
      <c r="E44" s="9" t="s">
        <v>88</v>
      </c>
      <c r="F44" s="200">
        <v>0</v>
      </c>
      <c r="G44" s="36"/>
      <c r="H44" s="214">
        <v>702.54</v>
      </c>
      <c r="I44" s="97"/>
      <c r="J44" s="101">
        <v>665314</v>
      </c>
      <c r="K44" s="97"/>
    </row>
    <row r="45" spans="1:11" ht="12.75" customHeight="1">
      <c r="A45" s="12"/>
      <c r="B45" s="11"/>
      <c r="C45" s="12"/>
      <c r="D45"/>
      <c r="F45" s="200"/>
      <c r="G45" s="36"/>
      <c r="H45" s="133"/>
      <c r="I45" s="97"/>
      <c r="J45" s="101"/>
      <c r="K45" s="97"/>
    </row>
    <row r="46" spans="1:11" ht="12.75" customHeight="1">
      <c r="A46" s="12"/>
      <c r="B46" s="11"/>
      <c r="C46" s="17" t="s">
        <v>82</v>
      </c>
      <c r="D46" s="12"/>
      <c r="F46" s="201">
        <v>0</v>
      </c>
      <c r="G46" s="33"/>
      <c r="H46" s="133">
        <f>J46/1936.27</f>
        <v>0</v>
      </c>
      <c r="I46" s="97"/>
      <c r="J46" s="102">
        <v>0</v>
      </c>
      <c r="K46" s="97"/>
    </row>
    <row r="47" spans="1:11" ht="12.75" customHeight="1">
      <c r="A47" s="12"/>
      <c r="B47" s="11"/>
      <c r="C47" s="12"/>
      <c r="D47" s="12"/>
      <c r="F47" s="202"/>
      <c r="G47" s="33"/>
      <c r="H47" s="133"/>
      <c r="I47" s="97"/>
      <c r="J47" s="103"/>
      <c r="K47" s="97"/>
    </row>
    <row r="48" spans="1:11" ht="12.75" customHeight="1">
      <c r="A48" s="12"/>
      <c r="B48" s="11"/>
      <c r="C48" s="17" t="s">
        <v>6</v>
      </c>
      <c r="D48" s="12"/>
      <c r="F48" s="202">
        <v>0</v>
      </c>
      <c r="G48" s="33"/>
      <c r="H48" s="133">
        <f>J48/1936.27</f>
        <v>0</v>
      </c>
      <c r="I48" s="97"/>
      <c r="J48" s="103">
        <v>0</v>
      </c>
      <c r="K48" s="97"/>
    </row>
    <row r="49" spans="1:11" ht="12.75" customHeight="1">
      <c r="A49" s="12"/>
      <c r="B49" s="11"/>
      <c r="C49" s="12"/>
      <c r="D49" s="12"/>
      <c r="F49" s="33"/>
      <c r="G49" s="33"/>
      <c r="H49" s="133"/>
      <c r="I49" s="97"/>
      <c r="J49" s="97"/>
      <c r="K49" s="97"/>
    </row>
    <row r="50" spans="1:11" ht="12.75" customHeight="1">
      <c r="A50" s="12"/>
      <c r="B50" s="11"/>
      <c r="C50" s="17" t="s">
        <v>7</v>
      </c>
      <c r="D50" s="12"/>
      <c r="F50" s="78" t="s">
        <v>0</v>
      </c>
      <c r="G50" s="15"/>
      <c r="H50" s="133">
        <f>J50/1936.27</f>
        <v>0</v>
      </c>
      <c r="I50" s="100"/>
      <c r="J50" s="104">
        <v>0</v>
      </c>
      <c r="K50" s="100"/>
    </row>
    <row r="51" spans="1:11" ht="15" customHeight="1">
      <c r="A51" s="12"/>
      <c r="B51" s="11"/>
      <c r="C51" s="12"/>
      <c r="D51" s="17" t="s">
        <v>8</v>
      </c>
      <c r="F51" s="203">
        <f>F53+F58+F63+F66+F67+F68+F72+F75+F76+F77+F79+F83+F84+F86+F89+F90+F91+F92+F93+F94</f>
        <v>3891339.9099999997</v>
      </c>
      <c r="G51" s="15"/>
      <c r="H51" s="215">
        <f>H53+H58+H63+H66+H67+H68+H72+H75+H76+H77+H79+H84+H86+H89+H90+H91+H92+H93</f>
        <v>3217154.4199999995</v>
      </c>
      <c r="I51" s="100"/>
      <c r="J51" s="105">
        <v>3635595181</v>
      </c>
      <c r="K51" s="100"/>
    </row>
    <row r="52" spans="1:11" ht="12.75" customHeight="1">
      <c r="A52" s="12"/>
      <c r="B52" s="11"/>
      <c r="C52" s="12"/>
      <c r="D52" s="12"/>
      <c r="F52" s="161"/>
      <c r="G52" s="15"/>
      <c r="H52" s="155"/>
      <c r="I52" s="100"/>
      <c r="J52" s="162"/>
      <c r="K52" s="100"/>
    </row>
    <row r="53" spans="1:11" ht="12.75" customHeight="1">
      <c r="A53" s="12"/>
      <c r="B53" s="11"/>
      <c r="C53" s="12"/>
      <c r="D53" t="s">
        <v>22</v>
      </c>
      <c r="E53" s="9" t="s">
        <v>101</v>
      </c>
      <c r="F53" s="197">
        <f>F54+2657</f>
        <v>1764007.3</v>
      </c>
      <c r="G53" s="36"/>
      <c r="H53" s="211">
        <f>H54+19.11+2355.63+244.19+9207.77</f>
        <v>1731121.0899999999</v>
      </c>
      <c r="I53" s="106"/>
      <c r="J53" s="98">
        <v>2867127482</v>
      </c>
      <c r="K53" s="106"/>
    </row>
    <row r="54" spans="1:11" ht="12.75" customHeight="1">
      <c r="A54" s="12"/>
      <c r="B54" s="11"/>
      <c r="C54" s="12"/>
      <c r="D54" s="173"/>
      <c r="E54" s="173" t="s">
        <v>106</v>
      </c>
      <c r="F54" s="204">
        <f>SUM(F55:F57)</f>
        <v>1761350.3</v>
      </c>
      <c r="G54" s="36"/>
      <c r="H54" s="175">
        <f>SUM(H55:H57)</f>
        <v>1719294.39</v>
      </c>
      <c r="I54" s="106"/>
      <c r="J54" s="98"/>
      <c r="K54" s="106"/>
    </row>
    <row r="55" spans="1:11" ht="12.75" customHeight="1">
      <c r="A55" s="12"/>
      <c r="B55" s="11"/>
      <c r="C55" s="12"/>
      <c r="D55" s="173"/>
      <c r="E55" s="190" t="s">
        <v>119</v>
      </c>
      <c r="F55" s="204">
        <v>1693939.3</v>
      </c>
      <c r="G55" s="36"/>
      <c r="H55" s="175">
        <v>1552417.24</v>
      </c>
      <c r="I55" s="106"/>
      <c r="J55" s="98"/>
      <c r="K55" s="106"/>
    </row>
    <row r="56" spans="1:11" ht="12.75" customHeight="1">
      <c r="A56" s="12"/>
      <c r="B56" s="11"/>
      <c r="C56" s="12"/>
      <c r="D56" s="173"/>
      <c r="E56" s="190" t="s">
        <v>120</v>
      </c>
      <c r="F56" s="204">
        <v>67411</v>
      </c>
      <c r="G56" s="36"/>
      <c r="H56" s="175">
        <v>67411</v>
      </c>
      <c r="I56" s="106"/>
      <c r="J56" s="98"/>
      <c r="K56" s="106"/>
    </row>
    <row r="57" spans="1:11" ht="12.75" customHeight="1">
      <c r="A57" s="12"/>
      <c r="B57" s="11"/>
      <c r="C57" s="12"/>
      <c r="D57" s="173"/>
      <c r="E57" s="190" t="s">
        <v>132</v>
      </c>
      <c r="F57" s="204">
        <v>0</v>
      </c>
      <c r="G57" s="36"/>
      <c r="H57" s="175">
        <v>99466.15</v>
      </c>
      <c r="I57" s="106"/>
      <c r="J57" s="98"/>
      <c r="K57" s="106"/>
    </row>
    <row r="58" spans="1:11" ht="12.75" customHeight="1">
      <c r="A58" s="12"/>
      <c r="B58" s="11"/>
      <c r="C58" s="12"/>
      <c r="D58" t="s">
        <v>22</v>
      </c>
      <c r="E58" s="9" t="s">
        <v>102</v>
      </c>
      <c r="F58" s="197">
        <f>F59+1200</f>
        <v>732240.16</v>
      </c>
      <c r="G58" s="36"/>
      <c r="H58" s="211">
        <f>H59+4365.85</f>
        <v>774394.1499999999</v>
      </c>
      <c r="I58" s="106"/>
      <c r="J58" s="98"/>
      <c r="K58" s="106"/>
    </row>
    <row r="59" spans="1:11" ht="12.75" customHeight="1">
      <c r="A59" s="12"/>
      <c r="B59" s="11"/>
      <c r="C59" s="12"/>
      <c r="D59" s="173"/>
      <c r="E59" s="173" t="s">
        <v>106</v>
      </c>
      <c r="F59" s="204">
        <f>SUM(F60:F62)</f>
        <v>731040.16</v>
      </c>
      <c r="G59" s="36"/>
      <c r="H59" s="175">
        <f>SUM(H60:H62)</f>
        <v>770028.2999999999</v>
      </c>
      <c r="I59" s="106"/>
      <c r="J59" s="98"/>
      <c r="K59" s="106"/>
    </row>
    <row r="60" spans="1:11" ht="12.75" customHeight="1">
      <c r="A60" s="12"/>
      <c r="B60" s="11"/>
      <c r="C60" s="12"/>
      <c r="D60" s="173"/>
      <c r="E60" s="190" t="s">
        <v>118</v>
      </c>
      <c r="F60" s="204">
        <v>722227.66</v>
      </c>
      <c r="G60" s="36"/>
      <c r="H60" s="175">
        <v>719410.95</v>
      </c>
      <c r="I60" s="106"/>
      <c r="J60" s="98"/>
      <c r="K60" s="106"/>
    </row>
    <row r="61" spans="1:11" ht="12.75" customHeight="1">
      <c r="A61" s="12"/>
      <c r="B61" s="11"/>
      <c r="C61" s="12"/>
      <c r="D61" s="173"/>
      <c r="E61" s="190" t="s">
        <v>133</v>
      </c>
      <c r="F61" s="204">
        <v>8812.5</v>
      </c>
      <c r="G61" s="36"/>
      <c r="H61" s="175">
        <v>8812.5</v>
      </c>
      <c r="I61" s="106"/>
      <c r="J61" s="98"/>
      <c r="K61" s="106"/>
    </row>
    <row r="62" spans="1:11" ht="12.75" customHeight="1">
      <c r="A62" s="12"/>
      <c r="B62" s="11"/>
      <c r="C62" s="12"/>
      <c r="D62" s="173"/>
      <c r="E62" s="190" t="s">
        <v>132</v>
      </c>
      <c r="F62" s="204">
        <v>0</v>
      </c>
      <c r="G62" s="36"/>
      <c r="H62" s="175">
        <v>41804.85</v>
      </c>
      <c r="I62" s="106"/>
      <c r="J62" s="98"/>
      <c r="K62" s="106"/>
    </row>
    <row r="63" spans="1:11" ht="12.75" customHeight="1">
      <c r="A63" s="12"/>
      <c r="B63" s="11"/>
      <c r="C63" s="12"/>
      <c r="D63" s="173" t="s">
        <v>22</v>
      </c>
      <c r="E63" s="9" t="s">
        <v>89</v>
      </c>
      <c r="F63" s="197">
        <f>F64</f>
        <v>71372.66</v>
      </c>
      <c r="G63" s="36"/>
      <c r="H63" s="211">
        <f>H64+281.37</f>
        <v>70730.44</v>
      </c>
      <c r="I63" s="106"/>
      <c r="J63" s="98"/>
      <c r="K63" s="106"/>
    </row>
    <row r="64" spans="1:11" ht="12.75" customHeight="1">
      <c r="A64" s="12"/>
      <c r="B64" s="11"/>
      <c r="C64" s="12"/>
      <c r="D64" s="173"/>
      <c r="E64" s="173" t="s">
        <v>106</v>
      </c>
      <c r="F64" s="204">
        <f>F65</f>
        <v>71372.66</v>
      </c>
      <c r="G64" s="36"/>
      <c r="H64" s="175">
        <f>SUM(H65)</f>
        <v>70449.07</v>
      </c>
      <c r="I64" s="106"/>
      <c r="J64" s="98"/>
      <c r="K64" s="106"/>
    </row>
    <row r="65" spans="1:11" ht="12.75" customHeight="1">
      <c r="A65" s="12"/>
      <c r="B65" s="11"/>
      <c r="C65" s="12"/>
      <c r="D65" s="173"/>
      <c r="E65" s="190" t="s">
        <v>118</v>
      </c>
      <c r="F65" s="204">
        <v>71372.66</v>
      </c>
      <c r="G65" s="36"/>
      <c r="H65" s="175">
        <v>70449.07</v>
      </c>
      <c r="I65" s="106"/>
      <c r="J65" s="98"/>
      <c r="K65" s="106"/>
    </row>
    <row r="66" spans="1:11" ht="12.75" customHeight="1">
      <c r="A66" s="12"/>
      <c r="B66" s="11"/>
      <c r="C66" s="12"/>
      <c r="D66" t="s">
        <v>22</v>
      </c>
      <c r="E66" s="9" t="s">
        <v>105</v>
      </c>
      <c r="F66" s="197">
        <v>0</v>
      </c>
      <c r="G66" s="36"/>
      <c r="H66" s="175">
        <v>229.87</v>
      </c>
      <c r="I66" s="106"/>
      <c r="J66" s="98"/>
      <c r="K66" s="106"/>
    </row>
    <row r="67" spans="1:11" ht="12.75" customHeight="1">
      <c r="A67" s="12"/>
      <c r="B67" s="11"/>
      <c r="C67" s="12"/>
      <c r="D67" t="s">
        <v>22</v>
      </c>
      <c r="E67" s="9" t="s">
        <v>88</v>
      </c>
      <c r="F67" s="197">
        <v>0</v>
      </c>
      <c r="G67" s="36"/>
      <c r="H67" s="211">
        <f>2029.8+3257.76+220</f>
        <v>5507.56</v>
      </c>
      <c r="I67" s="106"/>
      <c r="J67" s="98">
        <v>20645756</v>
      </c>
      <c r="K67" s="106"/>
    </row>
    <row r="68" spans="1:11" ht="12.75" customHeight="1">
      <c r="A68" s="12"/>
      <c r="B68" s="11"/>
      <c r="C68" s="12"/>
      <c r="D68" t="s">
        <v>22</v>
      </c>
      <c r="E68" s="9" t="s">
        <v>134</v>
      </c>
      <c r="F68" s="197">
        <f>F69</f>
        <v>223374</v>
      </c>
      <c r="G68" s="36"/>
      <c r="H68" s="211">
        <f>H69+1025.76</f>
        <v>105846.26</v>
      </c>
      <c r="I68" s="106"/>
      <c r="J68" s="98">
        <v>456346688</v>
      </c>
      <c r="K68" s="106"/>
    </row>
    <row r="69" spans="1:11" ht="12.75" customHeight="1">
      <c r="A69" s="12"/>
      <c r="B69" s="11"/>
      <c r="C69" s="12"/>
      <c r="D69"/>
      <c r="E69" s="173" t="s">
        <v>106</v>
      </c>
      <c r="F69" s="204">
        <f>SUM(F70:F71)</f>
        <v>223374</v>
      </c>
      <c r="G69" s="36"/>
      <c r="H69" s="175">
        <f>SUM(H70)</f>
        <v>104820.5</v>
      </c>
      <c r="I69" s="106"/>
      <c r="J69" s="98"/>
      <c r="K69" s="106"/>
    </row>
    <row r="70" spans="1:11" ht="12.75" customHeight="1">
      <c r="A70" s="12"/>
      <c r="B70" s="11"/>
      <c r="C70" s="12"/>
      <c r="D70"/>
      <c r="E70" s="190" t="s">
        <v>121</v>
      </c>
      <c r="F70" s="204">
        <v>73374</v>
      </c>
      <c r="G70" s="36"/>
      <c r="H70" s="175">
        <v>104820.5</v>
      </c>
      <c r="I70" s="106"/>
      <c r="J70" s="98"/>
      <c r="K70" s="106"/>
    </row>
    <row r="71" spans="1:11" ht="12.75" customHeight="1">
      <c r="A71" s="12"/>
      <c r="B71" s="11"/>
      <c r="C71" s="12"/>
      <c r="D71"/>
      <c r="E71" s="190" t="s">
        <v>138</v>
      </c>
      <c r="F71" s="204">
        <f>115000+35000</f>
        <v>150000</v>
      </c>
      <c r="G71" s="36"/>
      <c r="H71" s="175">
        <v>0</v>
      </c>
      <c r="I71" s="106"/>
      <c r="J71" s="98"/>
      <c r="K71" s="106"/>
    </row>
    <row r="72" spans="1:11" ht="12.75" customHeight="1">
      <c r="A72" s="12"/>
      <c r="B72" s="11"/>
      <c r="C72" s="12"/>
      <c r="D72" t="s">
        <v>22</v>
      </c>
      <c r="E72" s="9" t="s">
        <v>128</v>
      </c>
      <c r="F72" s="197">
        <f>F73</f>
        <v>51000</v>
      </c>
      <c r="G72" s="36"/>
      <c r="H72" s="211">
        <f>H73+2045</f>
        <v>61556.42</v>
      </c>
      <c r="I72" s="106"/>
      <c r="J72" s="98">
        <v>14836</v>
      </c>
      <c r="K72" s="106"/>
    </row>
    <row r="73" spans="1:11" ht="12.75" customHeight="1">
      <c r="A73" s="12"/>
      <c r="B73" s="11"/>
      <c r="C73" s="12"/>
      <c r="D73"/>
      <c r="E73" s="173" t="s">
        <v>106</v>
      </c>
      <c r="F73" s="204">
        <f>SUM(F74:F74)</f>
        <v>51000</v>
      </c>
      <c r="G73" s="36"/>
      <c r="H73" s="175">
        <f>SUM(H74)</f>
        <v>59511.42</v>
      </c>
      <c r="I73" s="106"/>
      <c r="J73" s="98"/>
      <c r="K73" s="106"/>
    </row>
    <row r="74" spans="1:11" ht="12.75" customHeight="1">
      <c r="A74" s="12"/>
      <c r="B74" s="11"/>
      <c r="C74" s="12"/>
      <c r="D74"/>
      <c r="E74" s="190" t="s">
        <v>122</v>
      </c>
      <c r="F74" s="204">
        <v>51000</v>
      </c>
      <c r="G74" s="36"/>
      <c r="H74" s="175">
        <f>46481.11+6666.67+6363.64</f>
        <v>59511.42</v>
      </c>
      <c r="I74" s="106"/>
      <c r="J74" s="98"/>
      <c r="K74" s="106"/>
    </row>
    <row r="75" spans="1:11" ht="12.75" customHeight="1">
      <c r="A75" s="12"/>
      <c r="B75" s="11"/>
      <c r="C75" s="12"/>
      <c r="D75" t="s">
        <v>22</v>
      </c>
      <c r="E75" s="9" t="s">
        <v>73</v>
      </c>
      <c r="F75" s="197">
        <v>0</v>
      </c>
      <c r="G75" s="36"/>
      <c r="H75" s="211">
        <v>0</v>
      </c>
      <c r="I75" s="106"/>
      <c r="J75" s="98">
        <v>1595647</v>
      </c>
      <c r="K75" s="106"/>
    </row>
    <row r="76" spans="1:11" ht="12.75" customHeight="1">
      <c r="A76" s="12"/>
      <c r="B76" s="11"/>
      <c r="C76" s="12"/>
      <c r="D76" t="s">
        <v>22</v>
      </c>
      <c r="E76" s="9" t="s">
        <v>74</v>
      </c>
      <c r="F76" s="197">
        <v>0</v>
      </c>
      <c r="G76" s="36"/>
      <c r="H76" s="211">
        <v>0</v>
      </c>
      <c r="I76" s="106"/>
      <c r="J76" s="98">
        <v>1628745</v>
      </c>
      <c r="K76" s="106"/>
    </row>
    <row r="77" spans="1:11" ht="12.75" customHeight="1">
      <c r="A77" s="12"/>
      <c r="B77" s="11"/>
      <c r="C77" s="12"/>
      <c r="D77" t="s">
        <v>22</v>
      </c>
      <c r="E77" s="9" t="s">
        <v>99</v>
      </c>
      <c r="F77" s="197">
        <v>0</v>
      </c>
      <c r="G77" s="36"/>
      <c r="H77" s="211">
        <f>2150+44.44</f>
        <v>2194.44</v>
      </c>
      <c r="I77" s="106"/>
      <c r="J77" s="98">
        <v>9644</v>
      </c>
      <c r="K77" s="106"/>
    </row>
    <row r="78" spans="1:11" ht="12.75" customHeight="1">
      <c r="A78" s="12"/>
      <c r="B78" s="11"/>
      <c r="C78" s="12"/>
      <c r="D78"/>
      <c r="E78" s="173" t="s">
        <v>106</v>
      </c>
      <c r="F78" s="179">
        <v>0</v>
      </c>
      <c r="G78" s="36"/>
      <c r="H78" s="175">
        <v>0</v>
      </c>
      <c r="I78" s="106"/>
      <c r="J78" s="98"/>
      <c r="K78" s="106"/>
    </row>
    <row r="79" spans="1:11" ht="12.75" customHeight="1">
      <c r="A79" s="12"/>
      <c r="B79" s="11"/>
      <c r="C79" s="12"/>
      <c r="D79" s="12" t="s">
        <v>22</v>
      </c>
      <c r="E79" s="9" t="s">
        <v>100</v>
      </c>
      <c r="F79" s="197">
        <f>F80</f>
        <v>26824</v>
      </c>
      <c r="G79" s="36"/>
      <c r="H79" s="211">
        <f>H80+54.26+7864.43</f>
        <v>59551.37</v>
      </c>
      <c r="I79" s="106"/>
      <c r="J79" s="98">
        <v>148088986</v>
      </c>
      <c r="K79" s="106"/>
    </row>
    <row r="80" spans="1:11" ht="12.75" customHeight="1">
      <c r="A80" s="12"/>
      <c r="B80" s="11"/>
      <c r="C80" s="12"/>
      <c r="D80" s="12"/>
      <c r="E80" s="173" t="s">
        <v>106</v>
      </c>
      <c r="F80" s="204">
        <f>SUM(F81:F82)</f>
        <v>26824</v>
      </c>
      <c r="G80" s="36"/>
      <c r="H80" s="175">
        <f>SUM(H81:H82)</f>
        <v>51632.68</v>
      </c>
      <c r="I80" s="106"/>
      <c r="J80" s="98"/>
      <c r="K80" s="106"/>
    </row>
    <row r="81" spans="1:11" ht="12.75" customHeight="1">
      <c r="A81" s="12"/>
      <c r="B81" s="11"/>
      <c r="C81" s="12"/>
      <c r="D81" s="12"/>
      <c r="E81" s="190" t="s">
        <v>121</v>
      </c>
      <c r="F81" s="204">
        <v>26824</v>
      </c>
      <c r="G81" s="36"/>
      <c r="H81" s="175">
        <v>38321.11</v>
      </c>
      <c r="I81" s="106"/>
      <c r="J81" s="98"/>
      <c r="K81" s="106"/>
    </row>
    <row r="82" spans="1:11" ht="12.75" customHeight="1">
      <c r="A82" s="12"/>
      <c r="B82" s="11"/>
      <c r="C82" s="12"/>
      <c r="D82" s="12"/>
      <c r="E82" s="190" t="s">
        <v>123</v>
      </c>
      <c r="F82" s="204">
        <v>0</v>
      </c>
      <c r="G82" s="36"/>
      <c r="H82" s="175">
        <v>13311.57</v>
      </c>
      <c r="I82" s="106"/>
      <c r="J82" s="98"/>
      <c r="K82" s="106"/>
    </row>
    <row r="83" spans="1:11" ht="12.75" customHeight="1">
      <c r="A83" s="12"/>
      <c r="B83" s="11"/>
      <c r="C83" s="12"/>
      <c r="D83" s="12"/>
      <c r="E83" s="228" t="s">
        <v>145</v>
      </c>
      <c r="F83" s="204">
        <f>19218.66+13916.96-5650.7</f>
        <v>27484.919999999995</v>
      </c>
      <c r="G83" s="36"/>
      <c r="H83" s="175"/>
      <c r="I83" s="106"/>
      <c r="J83" s="98"/>
      <c r="K83" s="106"/>
    </row>
    <row r="84" spans="1:11" ht="12.75" customHeight="1">
      <c r="A84" s="12"/>
      <c r="B84" s="11"/>
      <c r="C84" s="12"/>
      <c r="D84" t="s">
        <v>22</v>
      </c>
      <c r="E84" s="9" t="s">
        <v>75</v>
      </c>
      <c r="F84" s="197">
        <v>0</v>
      </c>
      <c r="G84" s="36"/>
      <c r="H84" s="211">
        <f>H85+73.65</f>
        <v>72313.12</v>
      </c>
      <c r="I84" s="106"/>
      <c r="J84" s="98">
        <v>1031082</v>
      </c>
      <c r="K84" s="106"/>
    </row>
    <row r="85" spans="1:11" ht="12.75" customHeight="1">
      <c r="A85" s="12"/>
      <c r="B85" s="11"/>
      <c r="C85" s="12"/>
      <c r="D85"/>
      <c r="E85" s="173" t="s">
        <v>106</v>
      </c>
      <c r="F85" s="204">
        <v>0</v>
      </c>
      <c r="G85" s="36"/>
      <c r="H85" s="175">
        <v>72239.47</v>
      </c>
      <c r="I85" s="106"/>
      <c r="J85" s="98"/>
      <c r="K85" s="106"/>
    </row>
    <row r="86" spans="1:11" ht="12.75" customHeight="1">
      <c r="A86" s="12"/>
      <c r="B86" s="11"/>
      <c r="C86" s="12"/>
      <c r="D86" t="s">
        <v>22</v>
      </c>
      <c r="E86" s="9" t="s">
        <v>94</v>
      </c>
      <c r="F86" s="197">
        <f>F87+4000</f>
        <v>44507.8</v>
      </c>
      <c r="G86" s="36"/>
      <c r="H86" s="211">
        <f>H87+170.79+400</f>
        <v>68261.79</v>
      </c>
      <c r="I86" s="106"/>
      <c r="J86" s="98">
        <v>31866498</v>
      </c>
      <c r="K86" s="106"/>
    </row>
    <row r="87" spans="1:11" ht="12.75" customHeight="1">
      <c r="A87" s="12"/>
      <c r="B87" s="11"/>
      <c r="C87" s="12"/>
      <c r="D87"/>
      <c r="E87" s="173" t="s">
        <v>106</v>
      </c>
      <c r="F87" s="204">
        <f>SUM(F88)</f>
        <v>40507.8</v>
      </c>
      <c r="G87" s="36"/>
      <c r="H87" s="175">
        <f>SUM(H88)</f>
        <v>67691</v>
      </c>
      <c r="I87" s="106"/>
      <c r="J87" s="98"/>
      <c r="K87" s="106"/>
    </row>
    <row r="88" spans="1:11" ht="12.75" customHeight="1">
      <c r="A88" s="12"/>
      <c r="B88" s="11"/>
      <c r="C88" s="12"/>
      <c r="D88"/>
      <c r="E88" s="190" t="s">
        <v>118</v>
      </c>
      <c r="F88" s="204">
        <v>40507.8</v>
      </c>
      <c r="G88" s="36"/>
      <c r="H88" s="175">
        <f>63176.6+4514.4</f>
        <v>67691</v>
      </c>
      <c r="I88" s="106"/>
      <c r="J88" s="98"/>
      <c r="K88" s="106"/>
    </row>
    <row r="89" spans="1:11" ht="12.75" customHeight="1">
      <c r="A89" s="12"/>
      <c r="B89" s="11"/>
      <c r="C89" s="12"/>
      <c r="D89" s="12" t="s">
        <v>124</v>
      </c>
      <c r="F89" s="197">
        <f>39000+76117.9</f>
        <v>115117.9</v>
      </c>
      <c r="G89" s="36"/>
      <c r="H89" s="211">
        <f>13716.77+52596.71</f>
        <v>66313.48</v>
      </c>
      <c r="I89" s="106"/>
      <c r="J89" s="98">
        <v>0</v>
      </c>
      <c r="K89" s="106"/>
    </row>
    <row r="90" spans="1:11" ht="12.75" customHeight="1">
      <c r="A90" s="12"/>
      <c r="B90" s="11"/>
      <c r="C90" s="12"/>
      <c r="D90" s="12" t="s">
        <v>143</v>
      </c>
      <c r="F90" s="197">
        <f>679651.84+6759.33</f>
        <v>686411.1699999999</v>
      </c>
      <c r="G90" s="36"/>
      <c r="H90" s="211">
        <v>145962.49</v>
      </c>
      <c r="I90" s="106"/>
      <c r="J90" s="98"/>
      <c r="K90" s="106"/>
    </row>
    <row r="91" spans="1:11" ht="12.75" customHeight="1">
      <c r="A91" s="12"/>
      <c r="B91" s="11"/>
      <c r="C91" s="12"/>
      <c r="D91" s="12" t="s">
        <v>126</v>
      </c>
      <c r="F91" s="197">
        <v>50000</v>
      </c>
      <c r="G91" s="36"/>
      <c r="H91" s="211">
        <v>16666.67</v>
      </c>
      <c r="I91" s="106"/>
      <c r="J91" s="98"/>
      <c r="K91" s="106"/>
    </row>
    <row r="92" spans="1:11" ht="12.75" customHeight="1">
      <c r="A92" s="12"/>
      <c r="B92" s="11"/>
      <c r="C92" s="12"/>
      <c r="D92" s="12" t="s">
        <v>127</v>
      </c>
      <c r="F92" s="197">
        <v>75000</v>
      </c>
      <c r="G92" s="36"/>
      <c r="H92" s="211">
        <v>33333.33</v>
      </c>
      <c r="I92" s="106"/>
      <c r="J92" s="98"/>
      <c r="K92" s="106"/>
    </row>
    <row r="93" spans="1:11" ht="12.75" customHeight="1">
      <c r="A93" s="12"/>
      <c r="B93" s="11"/>
      <c r="C93" s="12"/>
      <c r="D93" s="12" t="s">
        <v>125</v>
      </c>
      <c r="E93" s="12"/>
      <c r="F93" s="188">
        <v>0</v>
      </c>
      <c r="G93" s="15"/>
      <c r="H93" s="211">
        <f>1000+1718.62+453.32</f>
        <v>3171.94</v>
      </c>
      <c r="I93" s="100"/>
      <c r="J93" s="100"/>
      <c r="K93" s="100"/>
    </row>
    <row r="94" spans="1:11" ht="12.75" customHeight="1">
      <c r="A94" s="12"/>
      <c r="B94" s="11"/>
      <c r="C94" s="12"/>
      <c r="D94" s="12" t="s">
        <v>22</v>
      </c>
      <c r="E94" s="12" t="s">
        <v>141</v>
      </c>
      <c r="F94" s="188">
        <v>24000</v>
      </c>
      <c r="G94" s="15"/>
      <c r="H94" s="211">
        <v>0</v>
      </c>
      <c r="I94" s="100"/>
      <c r="J94" s="100"/>
      <c r="K94" s="100"/>
    </row>
    <row r="95" spans="1:11" ht="12.75" customHeight="1">
      <c r="A95" s="12"/>
      <c r="B95" s="11"/>
      <c r="C95" s="12"/>
      <c r="D95" s="12"/>
      <c r="E95" s="12"/>
      <c r="F95" s="15"/>
      <c r="G95" s="15"/>
      <c r="H95" s="100"/>
      <c r="I95" s="100"/>
      <c r="J95" s="100"/>
      <c r="K95" s="100"/>
    </row>
    <row r="96" spans="1:13" s="3" customFormat="1" ht="15.75" customHeight="1">
      <c r="A96" s="17"/>
      <c r="B96" s="193" t="s">
        <v>9</v>
      </c>
      <c r="C96" s="17"/>
      <c r="D96" s="17"/>
      <c r="E96" s="24"/>
      <c r="F96" s="18"/>
      <c r="G96" s="194">
        <f>-(F99+F119+F142+F156+F164+F178+F180+F182)</f>
        <v>-8023898.59</v>
      </c>
      <c r="H96" s="107"/>
      <c r="I96" s="209">
        <f>-(H99+H119+H142+H156+H164+H173+H178+H180+H182)</f>
        <v>-7252003.32</v>
      </c>
      <c r="J96" s="107"/>
      <c r="K96" s="108">
        <v>-13079347992</v>
      </c>
      <c r="M96" s="88"/>
    </row>
    <row r="97" spans="1:13" s="3" customFormat="1" ht="12.75" customHeight="1">
      <c r="A97" s="17"/>
      <c r="B97" s="16"/>
      <c r="C97" s="17"/>
      <c r="D97" s="17"/>
      <c r="E97" s="24"/>
      <c r="F97" s="18"/>
      <c r="G97" s="157"/>
      <c r="H97" s="107"/>
      <c r="I97" s="137"/>
      <c r="J97" s="107"/>
      <c r="K97" s="108"/>
      <c r="M97" s="88"/>
    </row>
    <row r="98" spans="1:11" ht="12.75" customHeight="1">
      <c r="A98" s="12"/>
      <c r="B98" s="11"/>
      <c r="C98" s="17" t="s">
        <v>10</v>
      </c>
      <c r="D98" s="12"/>
      <c r="F98" s="15" t="s">
        <v>0</v>
      </c>
      <c r="G98" s="15"/>
      <c r="H98" s="100" t="s">
        <v>0</v>
      </c>
      <c r="I98" s="100"/>
      <c r="J98" s="100" t="s">
        <v>0</v>
      </c>
      <c r="K98" s="100"/>
    </row>
    <row r="99" spans="1:11" ht="15.75" customHeight="1">
      <c r="A99" s="12"/>
      <c r="B99" s="11"/>
      <c r="D99" s="17" t="s">
        <v>11</v>
      </c>
      <c r="E99" s="60"/>
      <c r="F99" s="195">
        <f>SUM(F101:F117)</f>
        <v>794901.4899999999</v>
      </c>
      <c r="G99" s="15"/>
      <c r="H99" s="210">
        <f>SUM(H101:H117)</f>
        <v>1080926.8099999998</v>
      </c>
      <c r="I99" s="100"/>
      <c r="J99" s="100">
        <v>4380769479</v>
      </c>
      <c r="K99" s="100"/>
    </row>
    <row r="100" spans="1:11" ht="12.75" customHeight="1">
      <c r="A100" s="12"/>
      <c r="B100" s="11"/>
      <c r="D100" s="12"/>
      <c r="F100" s="158"/>
      <c r="G100" s="15"/>
      <c r="H100" s="159"/>
      <c r="I100" s="100"/>
      <c r="J100" s="100"/>
      <c r="K100" s="100"/>
    </row>
    <row r="101" spans="1:11" ht="12.75" customHeight="1">
      <c r="A101" s="12"/>
      <c r="B101" s="11"/>
      <c r="C101" s="12"/>
      <c r="D101" t="s">
        <v>22</v>
      </c>
      <c r="E101" s="9" t="s">
        <v>101</v>
      </c>
      <c r="F101" s="197">
        <v>299667.02</v>
      </c>
      <c r="G101" s="15"/>
      <c r="H101" s="211">
        <v>299836.16</v>
      </c>
      <c r="I101" s="100"/>
      <c r="J101" s="106">
        <v>605752456</v>
      </c>
      <c r="K101" s="100"/>
    </row>
    <row r="102" spans="1:11" ht="12.75" customHeight="1">
      <c r="A102" s="12"/>
      <c r="B102" s="11"/>
      <c r="C102" s="12"/>
      <c r="D102" t="s">
        <v>22</v>
      </c>
      <c r="E102" s="9" t="s">
        <v>102</v>
      </c>
      <c r="F102" s="197">
        <v>135399.1</v>
      </c>
      <c r="G102" s="15"/>
      <c r="H102" s="211">
        <v>139506.78</v>
      </c>
      <c r="I102" s="100"/>
      <c r="J102" s="106"/>
      <c r="K102" s="100"/>
    </row>
    <row r="103" spans="1:11" ht="12.75" customHeight="1">
      <c r="A103" s="12"/>
      <c r="B103" s="11"/>
      <c r="C103" s="12"/>
      <c r="D103" t="s">
        <v>22</v>
      </c>
      <c r="E103" s="9" t="s">
        <v>105</v>
      </c>
      <c r="F103" s="197">
        <v>1000</v>
      </c>
      <c r="G103" s="15"/>
      <c r="H103" s="211">
        <v>898.98</v>
      </c>
      <c r="I103" s="100"/>
      <c r="J103" s="106"/>
      <c r="K103" s="100"/>
    </row>
    <row r="104" spans="1:11" ht="12.75" customHeight="1">
      <c r="A104" s="12"/>
      <c r="B104" s="11"/>
      <c r="C104" s="12"/>
      <c r="D104" t="s">
        <v>22</v>
      </c>
      <c r="E104" s="9" t="s">
        <v>88</v>
      </c>
      <c r="F104" s="197">
        <v>221143.62</v>
      </c>
      <c r="G104" s="15"/>
      <c r="H104" s="211">
        <v>217856.92</v>
      </c>
      <c r="I104" s="100"/>
      <c r="J104" s="106">
        <v>487105241</v>
      </c>
      <c r="K104" s="100"/>
    </row>
    <row r="105" spans="1:11" ht="12.75" customHeight="1">
      <c r="A105" s="12"/>
      <c r="B105" s="11"/>
      <c r="C105" s="12"/>
      <c r="D105" t="s">
        <v>22</v>
      </c>
      <c r="E105" s="9" t="s">
        <v>112</v>
      </c>
      <c r="F105" s="197">
        <v>19348.98</v>
      </c>
      <c r="G105" s="15"/>
      <c r="H105" s="211">
        <v>13737.96</v>
      </c>
      <c r="I105" s="100"/>
      <c r="J105" s="106">
        <v>13703490</v>
      </c>
      <c r="K105" s="100"/>
    </row>
    <row r="106" spans="1:11" ht="12.75" customHeight="1">
      <c r="A106" s="12"/>
      <c r="B106" s="11"/>
      <c r="C106" s="12"/>
      <c r="D106" t="s">
        <v>22</v>
      </c>
      <c r="E106" s="9" t="s">
        <v>89</v>
      </c>
      <c r="F106" s="197">
        <v>7167.6</v>
      </c>
      <c r="G106" s="15"/>
      <c r="H106" s="211">
        <v>4943.95</v>
      </c>
      <c r="I106" s="100"/>
      <c r="J106" s="106">
        <v>6937294</v>
      </c>
      <c r="K106" s="100"/>
    </row>
    <row r="107" spans="1:11" ht="12.75" customHeight="1">
      <c r="A107" s="12"/>
      <c r="B107" s="11"/>
      <c r="C107" s="12"/>
      <c r="D107" t="s">
        <v>22</v>
      </c>
      <c r="E107" s="9" t="s">
        <v>128</v>
      </c>
      <c r="F107" s="197">
        <v>23648.82</v>
      </c>
      <c r="G107" s="15"/>
      <c r="H107" s="211">
        <v>20528.15</v>
      </c>
      <c r="I107" s="100"/>
      <c r="J107" s="106">
        <v>16285199</v>
      </c>
      <c r="K107" s="100"/>
    </row>
    <row r="108" spans="1:11" ht="12.75" customHeight="1">
      <c r="A108" s="12"/>
      <c r="B108" s="11"/>
      <c r="C108" s="12"/>
      <c r="D108" t="s">
        <v>22</v>
      </c>
      <c r="E108" s="9" t="s">
        <v>73</v>
      </c>
      <c r="F108" s="197">
        <v>0</v>
      </c>
      <c r="G108" s="15"/>
      <c r="H108" s="211">
        <v>139603.34</v>
      </c>
      <c r="I108" s="100"/>
      <c r="J108" s="106">
        <v>1373587462</v>
      </c>
      <c r="K108" s="100"/>
    </row>
    <row r="109" spans="1:11" ht="12.75" customHeight="1">
      <c r="A109" s="12"/>
      <c r="B109" s="11"/>
      <c r="C109" s="12"/>
      <c r="D109" t="s">
        <v>22</v>
      </c>
      <c r="E109" s="9" t="s">
        <v>74</v>
      </c>
      <c r="F109" s="197">
        <v>0</v>
      </c>
      <c r="G109" s="15"/>
      <c r="H109" s="211">
        <v>206909.09</v>
      </c>
      <c r="I109" s="100"/>
      <c r="J109" s="106">
        <v>1829247116</v>
      </c>
      <c r="K109" s="100"/>
    </row>
    <row r="110" spans="1:11" ht="12.75" customHeight="1">
      <c r="A110" s="12"/>
      <c r="B110" s="11"/>
      <c r="C110" s="12"/>
      <c r="D110" t="s">
        <v>22</v>
      </c>
      <c r="E110" s="9" t="s">
        <v>99</v>
      </c>
      <c r="F110" s="197">
        <v>6481.62</v>
      </c>
      <c r="G110" s="15"/>
      <c r="H110" s="211">
        <v>5892.27</v>
      </c>
      <c r="I110" s="100"/>
      <c r="J110" s="106">
        <v>5812110</v>
      </c>
      <c r="K110" s="100"/>
    </row>
    <row r="111" spans="1:11" ht="12.75" customHeight="1">
      <c r="A111" s="12"/>
      <c r="B111" s="11"/>
      <c r="C111" s="12"/>
      <c r="D111" s="12" t="s">
        <v>22</v>
      </c>
      <c r="E111" s="9" t="s">
        <v>100</v>
      </c>
      <c r="F111" s="197">
        <v>19989.93</v>
      </c>
      <c r="G111" s="15"/>
      <c r="H111" s="211">
        <v>11267.01</v>
      </c>
      <c r="I111" s="100"/>
      <c r="J111" s="106"/>
      <c r="K111" s="100"/>
    </row>
    <row r="112" spans="1:11" ht="12.75" customHeight="1">
      <c r="A112" s="12"/>
      <c r="B112" s="11"/>
      <c r="C112" s="12"/>
      <c r="D112" s="12" t="s">
        <v>22</v>
      </c>
      <c r="E112" s="9" t="s">
        <v>137</v>
      </c>
      <c r="F112" s="197">
        <v>20310</v>
      </c>
      <c r="G112" s="15"/>
      <c r="H112" s="211">
        <v>0</v>
      </c>
      <c r="I112" s="100"/>
      <c r="J112" s="106"/>
      <c r="K112" s="100"/>
    </row>
    <row r="113" spans="1:11" ht="12.75" customHeight="1">
      <c r="A113" s="12"/>
      <c r="B113" s="11"/>
      <c r="C113" s="12"/>
      <c r="D113" s="12" t="s">
        <v>22</v>
      </c>
      <c r="E113" s="9" t="s">
        <v>115</v>
      </c>
      <c r="F113" s="197">
        <v>9000</v>
      </c>
      <c r="G113" s="15"/>
      <c r="H113" s="211">
        <v>0</v>
      </c>
      <c r="I113" s="100"/>
      <c r="J113" s="106"/>
      <c r="K113" s="100"/>
    </row>
    <row r="114" spans="1:11" ht="12.75" customHeight="1">
      <c r="A114" s="12"/>
      <c r="B114" s="11"/>
      <c r="C114" s="12"/>
      <c r="D114" s="12" t="s">
        <v>22</v>
      </c>
      <c r="E114" s="9" t="s">
        <v>116</v>
      </c>
      <c r="F114" s="197">
        <v>5000</v>
      </c>
      <c r="G114" s="15"/>
      <c r="H114" s="211">
        <v>0</v>
      </c>
      <c r="I114" s="100"/>
      <c r="J114" s="106"/>
      <c r="K114" s="100"/>
    </row>
    <row r="115" spans="1:11" ht="12.75" customHeight="1">
      <c r="A115" s="12"/>
      <c r="B115" s="11"/>
      <c r="C115" s="12"/>
      <c r="D115" t="s">
        <v>22</v>
      </c>
      <c r="E115" s="9" t="s">
        <v>75</v>
      </c>
      <c r="F115" s="197">
        <v>0</v>
      </c>
      <c r="G115" s="15"/>
      <c r="H115" s="211">
        <v>84.03</v>
      </c>
      <c r="I115" s="100"/>
      <c r="J115" s="106">
        <v>0</v>
      </c>
      <c r="K115" s="100"/>
    </row>
    <row r="116" spans="1:11" ht="12.75" customHeight="1">
      <c r="A116" s="12"/>
      <c r="B116" s="11"/>
      <c r="C116" s="12"/>
      <c r="D116" t="s">
        <v>22</v>
      </c>
      <c r="E116" s="9" t="s">
        <v>94</v>
      </c>
      <c r="F116" s="197">
        <v>9395.94</v>
      </c>
      <c r="G116" s="15"/>
      <c r="H116" s="211">
        <v>8562.79</v>
      </c>
      <c r="I116" s="100"/>
      <c r="J116" s="106">
        <v>12518923</v>
      </c>
      <c r="K116" s="100"/>
    </row>
    <row r="117" spans="1:11" ht="12.75" customHeight="1">
      <c r="A117" s="12"/>
      <c r="B117" s="11"/>
      <c r="C117" s="12"/>
      <c r="D117" s="12" t="s">
        <v>22</v>
      </c>
      <c r="E117" s="22" t="s">
        <v>98</v>
      </c>
      <c r="F117" s="197">
        <v>17348.86</v>
      </c>
      <c r="G117" s="15"/>
      <c r="H117" s="211">
        <v>11299.38</v>
      </c>
      <c r="I117" s="100"/>
      <c r="J117" s="106">
        <v>13589893</v>
      </c>
      <c r="K117" s="100"/>
    </row>
    <row r="118" spans="1:11" ht="12.75" customHeight="1">
      <c r="A118" s="12"/>
      <c r="B118" s="11"/>
      <c r="C118" s="12"/>
      <c r="D118" s="12"/>
      <c r="E118" s="22"/>
      <c r="F118" s="140"/>
      <c r="G118" s="15"/>
      <c r="H118" s="133"/>
      <c r="I118" s="100"/>
      <c r="J118" s="106"/>
      <c r="K118" s="100"/>
    </row>
    <row r="119" spans="1:11" ht="14.25" customHeight="1">
      <c r="A119" s="12"/>
      <c r="B119" s="11"/>
      <c r="C119" s="17" t="s">
        <v>12</v>
      </c>
      <c r="D119" s="12"/>
      <c r="F119" s="203">
        <f>SUM(F121:F140)</f>
        <v>3988186.17</v>
      </c>
      <c r="G119" s="15"/>
      <c r="H119" s="215">
        <f>SUM(H121:H140)</f>
        <v>3564209.3200000003</v>
      </c>
      <c r="I119" s="100"/>
      <c r="J119" s="109">
        <v>4210407973</v>
      </c>
      <c r="K119" s="100"/>
    </row>
    <row r="120" spans="1:11" ht="12.75" customHeight="1">
      <c r="A120" s="12"/>
      <c r="B120" s="11"/>
      <c r="C120" s="12"/>
      <c r="D120" s="12"/>
      <c r="F120" s="161"/>
      <c r="G120" s="15"/>
      <c r="H120" s="155"/>
      <c r="I120" s="100"/>
      <c r="J120" s="105"/>
      <c r="K120" s="100"/>
    </row>
    <row r="121" spans="1:11" ht="12.75" customHeight="1">
      <c r="A121" s="12"/>
      <c r="B121" s="11"/>
      <c r="C121" s="12"/>
      <c r="D121" t="s">
        <v>22</v>
      </c>
      <c r="E121" s="9" t="s">
        <v>101</v>
      </c>
      <c r="F121" s="197">
        <f>1784932.96-327760-1500</f>
        <v>1455672.96</v>
      </c>
      <c r="G121" s="15"/>
      <c r="H121" s="211">
        <f>1724813.36-387005.85</f>
        <v>1337807.5100000002</v>
      </c>
      <c r="I121" s="100"/>
      <c r="J121" s="106">
        <v>1408440542</v>
      </c>
      <c r="K121" s="100"/>
    </row>
    <row r="122" spans="1:11" ht="12.75" customHeight="1">
      <c r="A122" s="12"/>
      <c r="B122" s="11"/>
      <c r="C122" s="12"/>
      <c r="D122" t="s">
        <v>22</v>
      </c>
      <c r="E122" s="9" t="s">
        <v>103</v>
      </c>
      <c r="F122" s="197">
        <f>1023947-204780-1500</f>
        <v>817667</v>
      </c>
      <c r="G122" s="15"/>
      <c r="H122" s="211">
        <f>971984.93-162607.5-85668.64</f>
        <v>723708.79</v>
      </c>
      <c r="I122" s="100"/>
      <c r="J122" s="106"/>
      <c r="K122" s="100"/>
    </row>
    <row r="123" spans="1:11" ht="12.75" customHeight="1">
      <c r="A123" s="12"/>
      <c r="B123" s="11"/>
      <c r="C123" s="12"/>
      <c r="D123" t="s">
        <v>22</v>
      </c>
      <c r="E123" s="9" t="s">
        <v>105</v>
      </c>
      <c r="F123" s="197">
        <v>10520</v>
      </c>
      <c r="G123" s="15"/>
      <c r="H123" s="211">
        <v>1915.87</v>
      </c>
      <c r="I123" s="100"/>
      <c r="J123" s="106"/>
      <c r="K123" s="100"/>
    </row>
    <row r="124" spans="1:11" ht="12.75" customHeight="1">
      <c r="A124" s="12"/>
      <c r="B124" s="11"/>
      <c r="C124" s="12"/>
      <c r="D124" t="s">
        <v>22</v>
      </c>
      <c r="E124" s="9" t="s">
        <v>88</v>
      </c>
      <c r="F124" s="197">
        <v>61674.5</v>
      </c>
      <c r="G124" s="15"/>
      <c r="H124" s="211">
        <f>82377.48-35000</f>
        <v>47377.479999999996</v>
      </c>
      <c r="I124" s="100"/>
      <c r="J124" s="106">
        <v>177401293</v>
      </c>
      <c r="K124" s="100"/>
    </row>
    <row r="125" spans="1:11" ht="12.75" customHeight="1">
      <c r="A125" s="12"/>
      <c r="B125" s="11"/>
      <c r="C125" s="12"/>
      <c r="D125" t="s">
        <v>22</v>
      </c>
      <c r="E125" s="9" t="s">
        <v>113</v>
      </c>
      <c r="F125" s="197">
        <f>501857.08-4820</f>
        <v>497037.08</v>
      </c>
      <c r="G125" s="15"/>
      <c r="H125" s="211">
        <v>373226.46</v>
      </c>
      <c r="I125" s="100"/>
      <c r="J125" s="106">
        <v>540772475</v>
      </c>
      <c r="K125" s="100"/>
    </row>
    <row r="126" spans="1:11" ht="12.75" customHeight="1">
      <c r="A126" s="12"/>
      <c r="B126" s="11"/>
      <c r="C126" s="12"/>
      <c r="D126" t="s">
        <v>22</v>
      </c>
      <c r="E126" s="9" t="s">
        <v>89</v>
      </c>
      <c r="F126" s="197">
        <f>19712.17-9640</f>
        <v>10072.169999999998</v>
      </c>
      <c r="G126" s="15"/>
      <c r="H126" s="211">
        <f>26836.67-3453.91</f>
        <v>23382.76</v>
      </c>
      <c r="I126" s="100"/>
      <c r="J126" s="106">
        <v>79304413</v>
      </c>
      <c r="K126" s="100"/>
    </row>
    <row r="127" spans="1:11" ht="12.75" customHeight="1">
      <c r="A127" s="12"/>
      <c r="B127" s="11"/>
      <c r="C127" s="12"/>
      <c r="D127" t="s">
        <v>22</v>
      </c>
      <c r="E127" s="9" t="s">
        <v>128</v>
      </c>
      <c r="F127" s="197">
        <f>72003.42-20000</f>
        <v>52003.42</v>
      </c>
      <c r="G127" s="15"/>
      <c r="H127" s="211">
        <v>112414.68</v>
      </c>
      <c r="I127" s="100"/>
      <c r="J127" s="106">
        <v>146792901</v>
      </c>
      <c r="K127" s="100"/>
    </row>
    <row r="128" spans="1:11" ht="12.75" customHeight="1">
      <c r="A128" s="12"/>
      <c r="B128" s="11"/>
      <c r="C128" s="12"/>
      <c r="D128" t="s">
        <v>22</v>
      </c>
      <c r="E128" s="9" t="s">
        <v>73</v>
      </c>
      <c r="F128" s="197">
        <v>0</v>
      </c>
      <c r="G128" s="15"/>
      <c r="H128" s="211">
        <v>11177.84</v>
      </c>
      <c r="I128" s="100"/>
      <c r="J128" s="106">
        <v>90314829</v>
      </c>
      <c r="K128" s="100"/>
    </row>
    <row r="129" spans="1:11" ht="12.75" customHeight="1">
      <c r="A129" s="12"/>
      <c r="B129" s="11"/>
      <c r="C129" s="12"/>
      <c r="D129" t="s">
        <v>22</v>
      </c>
      <c r="E129" s="9" t="s">
        <v>74</v>
      </c>
      <c r="F129" s="197">
        <v>0</v>
      </c>
      <c r="G129" s="15"/>
      <c r="H129" s="211">
        <v>6113.97</v>
      </c>
      <c r="I129" s="100"/>
      <c r="J129" s="106">
        <v>81606455</v>
      </c>
      <c r="K129" s="100"/>
    </row>
    <row r="130" spans="1:11" ht="12.75" customHeight="1">
      <c r="A130" s="12"/>
      <c r="B130" s="11"/>
      <c r="C130" s="12"/>
      <c r="D130" t="s">
        <v>22</v>
      </c>
      <c r="E130" s="9" t="s">
        <v>99</v>
      </c>
      <c r="F130" s="197">
        <v>11181.81</v>
      </c>
      <c r="G130" s="15"/>
      <c r="H130" s="211">
        <v>12868.1</v>
      </c>
      <c r="I130" s="100"/>
      <c r="J130" s="106">
        <v>81579641</v>
      </c>
      <c r="K130" s="100"/>
    </row>
    <row r="131" spans="1:11" ht="12.75" customHeight="1">
      <c r="A131" s="12"/>
      <c r="B131" s="11"/>
      <c r="C131" s="12"/>
      <c r="D131" s="12" t="s">
        <v>22</v>
      </c>
      <c r="E131" s="9" t="s">
        <v>100</v>
      </c>
      <c r="F131" s="197">
        <v>207905.84</v>
      </c>
      <c r="G131" s="15"/>
      <c r="H131" s="211">
        <v>173214.63</v>
      </c>
      <c r="I131" s="100"/>
      <c r="J131" s="106"/>
      <c r="K131" s="100"/>
    </row>
    <row r="132" spans="1:11" ht="12.75" customHeight="1">
      <c r="A132" s="12"/>
      <c r="B132" s="11"/>
      <c r="C132" s="12"/>
      <c r="D132" s="12" t="s">
        <v>22</v>
      </c>
      <c r="E132" s="9" t="s">
        <v>139</v>
      </c>
      <c r="F132" s="197">
        <f>133071.1-20000</f>
        <v>113071.1</v>
      </c>
      <c r="G132" s="15"/>
      <c r="H132" s="211">
        <v>0</v>
      </c>
      <c r="I132" s="100"/>
      <c r="J132" s="106"/>
      <c r="K132" s="100"/>
    </row>
    <row r="133" spans="1:11" ht="12.75" customHeight="1">
      <c r="A133" s="12"/>
      <c r="B133" s="11"/>
      <c r="C133" s="12"/>
      <c r="D133" s="12" t="s">
        <v>22</v>
      </c>
      <c r="E133" s="9" t="s">
        <v>115</v>
      </c>
      <c r="F133" s="197">
        <v>196500</v>
      </c>
      <c r="G133" s="15"/>
      <c r="H133" s="211">
        <v>0</v>
      </c>
      <c r="I133" s="100"/>
      <c r="J133" s="106"/>
      <c r="K133" s="100"/>
    </row>
    <row r="134" spans="1:11" ht="12.75" customHeight="1">
      <c r="A134" s="12"/>
      <c r="B134" s="11"/>
      <c r="C134" s="12"/>
      <c r="D134" s="12" t="s">
        <v>22</v>
      </c>
      <c r="E134" s="9" t="s">
        <v>116</v>
      </c>
      <c r="F134" s="197">
        <f>61050-20000</f>
        <v>41050</v>
      </c>
      <c r="G134" s="15"/>
      <c r="H134" s="211">
        <v>0</v>
      </c>
      <c r="I134" s="100"/>
      <c r="J134" s="106"/>
      <c r="K134" s="100"/>
    </row>
    <row r="135" spans="1:11" ht="12.75" customHeight="1">
      <c r="A135" s="12"/>
      <c r="B135" s="11"/>
      <c r="C135" s="12"/>
      <c r="D135" t="s">
        <v>22</v>
      </c>
      <c r="E135" s="9" t="s">
        <v>75</v>
      </c>
      <c r="F135" s="197">
        <v>0</v>
      </c>
      <c r="G135" s="15"/>
      <c r="H135" s="211">
        <v>63753.21</v>
      </c>
      <c r="I135" s="100"/>
      <c r="J135" s="106">
        <v>43500907</v>
      </c>
      <c r="K135" s="100"/>
    </row>
    <row r="136" spans="1:11" ht="12.75" customHeight="1">
      <c r="A136" s="12"/>
      <c r="B136" s="11"/>
      <c r="C136" s="12"/>
      <c r="D136" t="s">
        <v>22</v>
      </c>
      <c r="E136" s="9" t="s">
        <v>93</v>
      </c>
      <c r="F136" s="197">
        <v>196542.76</v>
      </c>
      <c r="G136" s="15"/>
      <c r="H136" s="211">
        <v>192389.68</v>
      </c>
      <c r="I136" s="100"/>
      <c r="J136" s="106">
        <v>192837781</v>
      </c>
      <c r="K136" s="100"/>
    </row>
    <row r="137" spans="1:11" ht="12.75" customHeight="1">
      <c r="A137" s="12"/>
      <c r="B137" s="11"/>
      <c r="C137" s="12"/>
      <c r="D137" t="s">
        <v>22</v>
      </c>
      <c r="E137" s="9" t="s">
        <v>107</v>
      </c>
      <c r="F137" s="197">
        <v>0</v>
      </c>
      <c r="G137" s="15"/>
      <c r="H137" s="211">
        <v>120668.64</v>
      </c>
      <c r="I137" s="100"/>
      <c r="J137" s="106"/>
      <c r="K137" s="100"/>
    </row>
    <row r="138" spans="1:11" ht="12.75" customHeight="1">
      <c r="A138" s="12"/>
      <c r="B138" s="11"/>
      <c r="C138" s="12"/>
      <c r="D138" s="12" t="s">
        <v>22</v>
      </c>
      <c r="E138" s="9" t="s">
        <v>86</v>
      </c>
      <c r="F138" s="197">
        <f>80440.4+7924.12</f>
        <v>88364.51999999999</v>
      </c>
      <c r="G138" s="15"/>
      <c r="H138" s="211">
        <f>61755.46+6705</f>
        <v>68460.45999999999</v>
      </c>
      <c r="I138" s="100"/>
      <c r="J138" s="106">
        <v>132008967</v>
      </c>
      <c r="K138" s="100"/>
    </row>
    <row r="139" spans="1:11" ht="12.75" customHeight="1">
      <c r="A139" s="12"/>
      <c r="B139" s="11"/>
      <c r="C139" s="12"/>
      <c r="D139" s="12" t="s">
        <v>22</v>
      </c>
      <c r="E139" s="9" t="s">
        <v>87</v>
      </c>
      <c r="F139" s="197">
        <v>30484.58</v>
      </c>
      <c r="G139" s="14"/>
      <c r="H139" s="211">
        <v>33542.9</v>
      </c>
      <c r="I139" s="100"/>
      <c r="J139" s="110">
        <v>57946270</v>
      </c>
      <c r="K139" s="100"/>
    </row>
    <row r="140" spans="1:11" ht="12.75" customHeight="1">
      <c r="A140" s="12"/>
      <c r="B140" s="11"/>
      <c r="C140" s="12"/>
      <c r="D140" s="12" t="s">
        <v>22</v>
      </c>
      <c r="E140" s="22" t="s">
        <v>98</v>
      </c>
      <c r="F140" s="197">
        <f>219250.75-88364.52-30484.58+98036.78</f>
        <v>198438.43</v>
      </c>
      <c r="G140" s="15"/>
      <c r="H140" s="211">
        <f>241778.57-61755.46-6705-33542.9+127438.93-5027.8</f>
        <v>262186.34</v>
      </c>
      <c r="I140" s="100"/>
      <c r="J140" s="106">
        <v>280534</v>
      </c>
      <c r="K140" s="100"/>
    </row>
    <row r="141" spans="1:11" ht="12.75" customHeight="1">
      <c r="A141" s="12"/>
      <c r="B141" s="11"/>
      <c r="C141" s="12"/>
      <c r="D141" s="12"/>
      <c r="E141" s="22"/>
      <c r="F141" s="140"/>
      <c r="G141" s="15"/>
      <c r="H141" s="133"/>
      <c r="I141" s="100"/>
      <c r="J141" s="106"/>
      <c r="K141" s="100"/>
    </row>
    <row r="142" spans="1:11" ht="15" customHeight="1">
      <c r="A142" s="12"/>
      <c r="B142" s="11"/>
      <c r="C142" s="17" t="s">
        <v>13</v>
      </c>
      <c r="D142" s="12"/>
      <c r="E142" s="60"/>
      <c r="F142" s="203">
        <f>SUM(F144:F154)</f>
        <v>33436.44</v>
      </c>
      <c r="G142" s="15"/>
      <c r="H142" s="215">
        <f>SUM(H144:H154)</f>
        <v>35714.91</v>
      </c>
      <c r="I142" s="100"/>
      <c r="J142" s="109">
        <v>161250379</v>
      </c>
      <c r="K142" s="100"/>
    </row>
    <row r="143" spans="1:11" ht="12.75" customHeight="1">
      <c r="A143" s="12"/>
      <c r="B143" s="11"/>
      <c r="C143" s="12"/>
      <c r="D143" s="12"/>
      <c r="F143" s="141"/>
      <c r="G143" s="15"/>
      <c r="H143" s="155"/>
      <c r="I143" s="100"/>
      <c r="J143" s="105"/>
      <c r="K143" s="100"/>
    </row>
    <row r="144" spans="1:11" ht="12.75" customHeight="1">
      <c r="A144" s="12"/>
      <c r="B144" s="11"/>
      <c r="C144" s="12"/>
      <c r="D144" t="s">
        <v>22</v>
      </c>
      <c r="E144" s="9" t="s">
        <v>101</v>
      </c>
      <c r="F144" s="205">
        <v>14083.6</v>
      </c>
      <c r="G144" s="15"/>
      <c r="H144" s="216">
        <v>12193.92</v>
      </c>
      <c r="I144" s="100"/>
      <c r="J144" s="106">
        <v>46644000</v>
      </c>
      <c r="K144" s="100"/>
    </row>
    <row r="145" spans="1:11" ht="12.75" customHeight="1">
      <c r="A145" s="12"/>
      <c r="B145" s="11"/>
      <c r="C145" s="12"/>
      <c r="D145" s="12" t="s">
        <v>22</v>
      </c>
      <c r="E145" s="9" t="s">
        <v>102</v>
      </c>
      <c r="F145" s="205">
        <v>0</v>
      </c>
      <c r="G145" s="15"/>
      <c r="H145" s="216">
        <v>0</v>
      </c>
      <c r="I145" s="100"/>
      <c r="J145" s="106"/>
      <c r="K145" s="100"/>
    </row>
    <row r="146" spans="1:11" ht="12.75" customHeight="1">
      <c r="A146" s="12"/>
      <c r="B146" s="11"/>
      <c r="C146" s="12"/>
      <c r="D146" t="s">
        <v>22</v>
      </c>
      <c r="E146" s="9" t="s">
        <v>88</v>
      </c>
      <c r="F146" s="205">
        <v>0</v>
      </c>
      <c r="G146" s="15"/>
      <c r="H146" s="216">
        <v>0</v>
      </c>
      <c r="I146" s="100"/>
      <c r="J146" s="106"/>
      <c r="K146" s="100"/>
    </row>
    <row r="147" spans="1:11" ht="12.75" customHeight="1">
      <c r="A147" s="12"/>
      <c r="B147" s="11"/>
      <c r="C147" s="12"/>
      <c r="D147" t="s">
        <v>22</v>
      </c>
      <c r="E147" s="9" t="s">
        <v>135</v>
      </c>
      <c r="F147" s="205">
        <v>2266.01</v>
      </c>
      <c r="G147" s="15"/>
      <c r="H147" s="216">
        <v>2032.32</v>
      </c>
      <c r="I147" s="100"/>
      <c r="J147" s="106">
        <v>20292480</v>
      </c>
      <c r="K147" s="100"/>
    </row>
    <row r="148" spans="1:11" ht="12.75" customHeight="1">
      <c r="A148" s="12"/>
      <c r="B148" s="11"/>
      <c r="C148" s="12"/>
      <c r="D148" t="s">
        <v>22</v>
      </c>
      <c r="E148" s="9" t="s">
        <v>128</v>
      </c>
      <c r="F148" s="205">
        <v>10861.25</v>
      </c>
      <c r="G148" s="15"/>
      <c r="H148" s="216">
        <v>10504.65</v>
      </c>
      <c r="I148" s="100"/>
      <c r="J148" s="106"/>
      <c r="K148" s="100"/>
    </row>
    <row r="149" spans="1:11" ht="12.75" customHeight="1">
      <c r="A149" s="12"/>
      <c r="B149" s="11"/>
      <c r="C149" s="12"/>
      <c r="D149" t="s">
        <v>22</v>
      </c>
      <c r="E149" s="9" t="s">
        <v>73</v>
      </c>
      <c r="F149" s="205">
        <v>0</v>
      </c>
      <c r="G149" s="15"/>
      <c r="H149" s="216">
        <v>2421</v>
      </c>
      <c r="I149" s="100"/>
      <c r="J149" s="106">
        <v>25668000</v>
      </c>
      <c r="K149" s="100"/>
    </row>
    <row r="150" spans="1:11" ht="12.75" customHeight="1">
      <c r="A150" s="12"/>
      <c r="B150" s="11"/>
      <c r="C150" s="12"/>
      <c r="D150" t="s">
        <v>22</v>
      </c>
      <c r="E150" s="9" t="s">
        <v>74</v>
      </c>
      <c r="F150" s="205">
        <v>0</v>
      </c>
      <c r="G150" s="15"/>
      <c r="H150" s="216">
        <v>3778.56</v>
      </c>
      <c r="I150" s="100"/>
      <c r="J150" s="106">
        <v>43741899</v>
      </c>
      <c r="K150" s="100"/>
    </row>
    <row r="151" spans="1:11" ht="12.75" customHeight="1">
      <c r="A151" s="12"/>
      <c r="B151" s="11"/>
      <c r="C151" s="12"/>
      <c r="D151" t="s">
        <v>22</v>
      </c>
      <c r="E151" s="9" t="s">
        <v>100</v>
      </c>
      <c r="F151" s="205">
        <v>1925.58</v>
      </c>
      <c r="G151" s="15"/>
      <c r="H151" s="211">
        <v>798.16</v>
      </c>
      <c r="I151" s="100"/>
      <c r="J151" s="106"/>
      <c r="K151" s="100"/>
    </row>
    <row r="152" spans="1:11" ht="12.75" customHeight="1">
      <c r="A152" s="12"/>
      <c r="B152" s="11"/>
      <c r="C152" s="12"/>
      <c r="D152" t="s">
        <v>22</v>
      </c>
      <c r="E152" s="9" t="s">
        <v>116</v>
      </c>
      <c r="F152" s="205">
        <v>3000</v>
      </c>
      <c r="G152" s="15"/>
      <c r="H152" s="211">
        <v>0</v>
      </c>
      <c r="I152" s="100"/>
      <c r="J152" s="106"/>
      <c r="K152" s="100"/>
    </row>
    <row r="153" spans="1:11" ht="12.75" customHeight="1">
      <c r="A153" s="12"/>
      <c r="B153" s="11"/>
      <c r="C153" s="12"/>
      <c r="D153" t="s">
        <v>22</v>
      </c>
      <c r="E153" s="9" t="s">
        <v>95</v>
      </c>
      <c r="F153" s="205">
        <v>1300</v>
      </c>
      <c r="G153" s="15"/>
      <c r="H153" s="216">
        <v>1241.72</v>
      </c>
      <c r="I153" s="100"/>
      <c r="J153" s="106">
        <v>0</v>
      </c>
      <c r="K153" s="100"/>
    </row>
    <row r="154" spans="1:11" ht="12.75" customHeight="1">
      <c r="A154" s="12"/>
      <c r="B154" s="11"/>
      <c r="C154" s="12"/>
      <c r="D154" s="12" t="s">
        <v>22</v>
      </c>
      <c r="E154" s="22" t="s">
        <v>98</v>
      </c>
      <c r="F154" s="205">
        <v>0</v>
      </c>
      <c r="G154" s="15"/>
      <c r="H154" s="216">
        <v>2744.58</v>
      </c>
      <c r="I154" s="100"/>
      <c r="J154" s="106">
        <v>840000</v>
      </c>
      <c r="K154" s="100"/>
    </row>
    <row r="155" spans="1:11" ht="12.75" customHeight="1">
      <c r="A155" s="12"/>
      <c r="B155" s="11"/>
      <c r="C155" s="12"/>
      <c r="D155" s="12"/>
      <c r="E155" s="22"/>
      <c r="F155" s="227"/>
      <c r="G155" s="15"/>
      <c r="H155" s="164"/>
      <c r="I155" s="100"/>
      <c r="J155" s="165"/>
      <c r="K155" s="100"/>
    </row>
    <row r="156" spans="1:11" ht="15" customHeight="1">
      <c r="A156" s="12"/>
      <c r="B156" s="11"/>
      <c r="C156" s="17" t="s">
        <v>14</v>
      </c>
      <c r="D156" s="12"/>
      <c r="E156" s="60"/>
      <c r="F156" s="203">
        <f>SUM(F158:F162)</f>
        <v>2838181.4099999997</v>
      </c>
      <c r="G156" s="15"/>
      <c r="H156" s="215">
        <f>SUM(H158:H162)</f>
        <v>2349157.6499999994</v>
      </c>
      <c r="I156" s="100"/>
      <c r="J156" s="111">
        <v>4230576296</v>
      </c>
      <c r="K156" s="100"/>
    </row>
    <row r="157" spans="1:11" ht="12.75" customHeight="1">
      <c r="A157" s="12"/>
      <c r="B157" s="11"/>
      <c r="C157" s="12"/>
      <c r="D157" s="12"/>
      <c r="E157" s="60"/>
      <c r="F157" s="166"/>
      <c r="G157" s="15"/>
      <c r="H157" s="167"/>
      <c r="I157" s="100"/>
      <c r="J157" s="168"/>
      <c r="K157" s="100"/>
    </row>
    <row r="158" spans="1:11" ht="12.75" customHeight="1">
      <c r="A158" s="12"/>
      <c r="B158" s="11"/>
      <c r="D158" s="35" t="s">
        <v>15</v>
      </c>
      <c r="E158" s="65"/>
      <c r="F158" s="206">
        <f>1616341.4+332500+67267.36+125020+53880-100000-260000</f>
        <v>1835008.7599999998</v>
      </c>
      <c r="G158" s="15"/>
      <c r="H158" s="217">
        <f>1581889.71+37108.96+78389.16+66364.61</f>
        <v>1763752.44</v>
      </c>
      <c r="I158" s="100"/>
      <c r="J158" s="112">
        <v>3171029617</v>
      </c>
      <c r="K158" s="100"/>
    </row>
    <row r="159" spans="1:11" ht="12.75" customHeight="1">
      <c r="A159" s="12"/>
      <c r="B159" s="11"/>
      <c r="D159" s="35" t="s">
        <v>16</v>
      </c>
      <c r="E159" s="65"/>
      <c r="F159" s="206">
        <f>640855.23-29810.66-65000</f>
        <v>546044.57</v>
      </c>
      <c r="G159" s="15"/>
      <c r="H159" s="217">
        <f>375754.22+24705.51+9470.2+25122.51+15927.59</f>
        <v>450980.03</v>
      </c>
      <c r="I159" s="100"/>
      <c r="J159" s="112">
        <v>747920893</v>
      </c>
      <c r="K159" s="100"/>
    </row>
    <row r="160" spans="1:11" ht="12.75" customHeight="1">
      <c r="A160" s="12"/>
      <c r="B160" s="11"/>
      <c r="D160" s="35" t="s">
        <v>17</v>
      </c>
      <c r="E160" s="65"/>
      <c r="F160" s="206">
        <f>132128.08-15000</f>
        <v>117128.07999999999</v>
      </c>
      <c r="G160" s="15"/>
      <c r="H160" s="217">
        <f>127763.61+5419.44</f>
        <v>133183.05</v>
      </c>
      <c r="I160" s="100"/>
      <c r="J160" s="112">
        <v>191128342</v>
      </c>
      <c r="K160" s="100"/>
    </row>
    <row r="161" spans="1:11" ht="12.75" customHeight="1">
      <c r="A161" s="12"/>
      <c r="B161" s="11"/>
      <c r="D161" s="35" t="s">
        <v>18</v>
      </c>
      <c r="E161" s="65"/>
      <c r="F161" s="206">
        <v>0</v>
      </c>
      <c r="G161" s="15"/>
      <c r="H161" s="217">
        <v>0</v>
      </c>
      <c r="I161" s="100"/>
      <c r="J161" s="112">
        <v>0</v>
      </c>
      <c r="K161" s="100"/>
    </row>
    <row r="162" spans="1:11" ht="12.75" customHeight="1">
      <c r="A162" s="12"/>
      <c r="B162" s="11"/>
      <c r="D162" s="35" t="s">
        <v>144</v>
      </c>
      <c r="E162" s="65"/>
      <c r="F162" s="206">
        <f>260000+65000+15000</f>
        <v>340000</v>
      </c>
      <c r="G162" s="15"/>
      <c r="H162" s="218">
        <f>1242.13</f>
        <v>1242.13</v>
      </c>
      <c r="I162" s="100"/>
      <c r="J162" s="113">
        <v>120497444</v>
      </c>
      <c r="K162" s="100"/>
    </row>
    <row r="163" spans="1:11" ht="12.75" customHeight="1">
      <c r="A163" s="12"/>
      <c r="B163" s="11"/>
      <c r="D163" s="35"/>
      <c r="E163" s="65"/>
      <c r="F163" s="206"/>
      <c r="G163" s="15"/>
      <c r="H163" s="226"/>
      <c r="I163" s="100"/>
      <c r="J163" s="112"/>
      <c r="K163" s="100"/>
    </row>
    <row r="164" spans="1:11" ht="15" customHeight="1">
      <c r="A164" s="12"/>
      <c r="B164" s="11"/>
      <c r="C164" s="17" t="s">
        <v>19</v>
      </c>
      <c r="D164" s="12"/>
      <c r="E164" s="60"/>
      <c r="F164" s="203">
        <f>SUM(F166:F169)</f>
        <v>270565.39</v>
      </c>
      <c r="G164" s="15"/>
      <c r="H164" s="215">
        <f>SUM(H166:H170)</f>
        <v>196946.44</v>
      </c>
      <c r="I164" s="100"/>
      <c r="J164" s="111">
        <v>102692356</v>
      </c>
      <c r="K164" s="100"/>
    </row>
    <row r="165" spans="1:11" ht="12.75" customHeight="1">
      <c r="A165" s="12"/>
      <c r="B165" s="11"/>
      <c r="C165" s="12"/>
      <c r="D165" s="12"/>
      <c r="E165" s="60"/>
      <c r="F165" s="166"/>
      <c r="G165" s="15"/>
      <c r="H165" s="167"/>
      <c r="I165" s="100"/>
      <c r="J165" s="168"/>
      <c r="K165" s="100"/>
    </row>
    <row r="166" spans="1:11" ht="12.75" customHeight="1">
      <c r="A166" s="12"/>
      <c r="B166" s="11"/>
      <c r="C166" s="12"/>
      <c r="D166" s="35" t="s">
        <v>20</v>
      </c>
      <c r="E166" s="65"/>
      <c r="F166" s="206">
        <v>26453.52</v>
      </c>
      <c r="G166" s="15"/>
      <c r="H166" s="217">
        <v>18117.05</v>
      </c>
      <c r="I166" s="100"/>
      <c r="J166" s="112">
        <v>17054628</v>
      </c>
      <c r="K166" s="100"/>
    </row>
    <row r="167" spans="1:11" ht="12.75" customHeight="1">
      <c r="A167" s="12"/>
      <c r="B167" s="11"/>
      <c r="D167" s="35" t="s">
        <v>21</v>
      </c>
      <c r="E167" s="66"/>
      <c r="F167" s="206">
        <f>235611.87+8500</f>
        <v>244111.87</v>
      </c>
      <c r="G167" s="15"/>
      <c r="H167" s="217">
        <v>178829.39</v>
      </c>
      <c r="I167" s="100"/>
      <c r="J167" s="112">
        <v>79698780</v>
      </c>
      <c r="K167" s="100"/>
    </row>
    <row r="168" spans="1:11" ht="12.75" customHeight="1">
      <c r="A168" s="12"/>
      <c r="B168" s="11"/>
      <c r="D168" s="35" t="s">
        <v>23</v>
      </c>
      <c r="E168" s="65"/>
      <c r="F168" s="206">
        <v>0</v>
      </c>
      <c r="G168" s="15"/>
      <c r="H168" s="211">
        <v>0</v>
      </c>
      <c r="I168" s="100"/>
      <c r="J168" s="112">
        <v>0</v>
      </c>
      <c r="K168" s="100"/>
    </row>
    <row r="169" spans="1:11" ht="12.75" customHeight="1">
      <c r="A169" s="12"/>
      <c r="B169" s="11"/>
      <c r="D169" s="35" t="s">
        <v>24</v>
      </c>
      <c r="E169" s="65"/>
      <c r="F169" s="206"/>
      <c r="G169" s="15"/>
      <c r="H169" s="219"/>
      <c r="I169" s="100"/>
      <c r="J169" s="112">
        <v>5938948</v>
      </c>
      <c r="K169" s="100"/>
    </row>
    <row r="170" spans="1:11" ht="12.75" customHeight="1">
      <c r="A170" s="12"/>
      <c r="B170" s="11"/>
      <c r="D170" s="35"/>
      <c r="E170" s="66" t="s">
        <v>25</v>
      </c>
      <c r="F170" s="206">
        <v>0</v>
      </c>
      <c r="G170" s="15"/>
      <c r="H170" s="218">
        <v>0</v>
      </c>
      <c r="I170" s="100"/>
      <c r="J170" s="113"/>
      <c r="K170" s="100"/>
    </row>
    <row r="171" spans="1:11" ht="12.75" customHeight="1">
      <c r="A171" s="12"/>
      <c r="B171" s="11"/>
      <c r="D171" s="35"/>
      <c r="E171" s="66"/>
      <c r="F171" s="169"/>
      <c r="G171" s="15"/>
      <c r="H171" s="170"/>
      <c r="I171" s="100"/>
      <c r="J171" s="165"/>
      <c r="K171" s="100"/>
    </row>
    <row r="172" spans="1:11" ht="12.75" customHeight="1">
      <c r="A172" s="12"/>
      <c r="B172" s="11"/>
      <c r="C172" s="17" t="s">
        <v>108</v>
      </c>
      <c r="D172" s="12"/>
      <c r="E172" s="60"/>
      <c r="F172" s="169"/>
      <c r="G172" s="15"/>
      <c r="H172" s="170"/>
      <c r="I172" s="100"/>
      <c r="J172" s="165"/>
      <c r="K172" s="100"/>
    </row>
    <row r="173" spans="1:11" ht="14.25" customHeight="1">
      <c r="A173" s="12"/>
      <c r="B173" s="11"/>
      <c r="D173" s="35"/>
      <c r="E173" s="13" t="s">
        <v>109</v>
      </c>
      <c r="F173" s="195">
        <v>0</v>
      </c>
      <c r="G173" s="15"/>
      <c r="H173" s="210">
        <f>SUM(H175:H176)</f>
        <v>-52179.05</v>
      </c>
      <c r="I173" s="100"/>
      <c r="J173" s="165"/>
      <c r="K173" s="100"/>
    </row>
    <row r="174" spans="1:11" ht="12.75" customHeight="1">
      <c r="A174" s="12"/>
      <c r="B174" s="11"/>
      <c r="D174" s="35"/>
      <c r="E174" s="13"/>
      <c r="F174" s="169"/>
      <c r="G174" s="15"/>
      <c r="H174" s="178"/>
      <c r="I174" s="100"/>
      <c r="J174" s="165"/>
      <c r="K174" s="100"/>
    </row>
    <row r="175" spans="1:11" ht="12.75" customHeight="1">
      <c r="A175" s="12"/>
      <c r="B175" s="11"/>
      <c r="D175" s="35"/>
      <c r="E175" s="60" t="s">
        <v>110</v>
      </c>
      <c r="F175" s="207">
        <v>0</v>
      </c>
      <c r="G175" s="15"/>
      <c r="H175" s="216">
        <f>96767.84-115473.7</f>
        <v>-18705.86</v>
      </c>
      <c r="I175" s="100"/>
      <c r="J175" s="165"/>
      <c r="K175" s="100"/>
    </row>
    <row r="176" spans="1:11" ht="12.75" customHeight="1">
      <c r="A176" s="12"/>
      <c r="B176" s="11"/>
      <c r="D176" s="35"/>
      <c r="E176" s="60" t="s">
        <v>111</v>
      </c>
      <c r="F176" s="207">
        <v>0</v>
      </c>
      <c r="G176" s="15"/>
      <c r="H176" s="216">
        <f>188257.03-221730.22</f>
        <v>-33473.19</v>
      </c>
      <c r="I176" s="100"/>
      <c r="J176" s="165"/>
      <c r="K176" s="100"/>
    </row>
    <row r="177" spans="1:11" ht="12.75" customHeight="1">
      <c r="A177" s="12"/>
      <c r="B177" s="11"/>
      <c r="D177" s="35"/>
      <c r="E177" s="66"/>
      <c r="F177" s="169"/>
      <c r="G177" s="15"/>
      <c r="H177" s="170"/>
      <c r="I177" s="100"/>
      <c r="J177" s="165"/>
      <c r="K177" s="100"/>
    </row>
    <row r="178" spans="1:11" ht="14.25" customHeight="1">
      <c r="A178" s="12"/>
      <c r="B178" s="11"/>
      <c r="C178" s="17" t="s">
        <v>26</v>
      </c>
      <c r="D178" s="12"/>
      <c r="E178" s="60"/>
      <c r="F178" s="195">
        <v>15000</v>
      </c>
      <c r="G178" s="15"/>
      <c r="H178" s="210">
        <v>0</v>
      </c>
      <c r="I178" s="100"/>
      <c r="J178" s="100"/>
      <c r="K178" s="100"/>
    </row>
    <row r="179" spans="1:11" ht="12.75" customHeight="1">
      <c r="A179" s="12"/>
      <c r="B179" s="11"/>
      <c r="C179" s="12"/>
      <c r="D179" s="12"/>
      <c r="E179" s="60"/>
      <c r="F179" s="156"/>
      <c r="G179" s="15"/>
      <c r="H179" s="133"/>
      <c r="I179" s="100"/>
      <c r="J179" s="100"/>
      <c r="K179" s="100"/>
    </row>
    <row r="180" spans="1:11" ht="13.5" customHeight="1">
      <c r="A180" s="12"/>
      <c r="B180" s="11"/>
      <c r="C180" s="17" t="s">
        <v>27</v>
      </c>
      <c r="D180" s="12"/>
      <c r="E180" s="60"/>
      <c r="F180" s="195">
        <v>0</v>
      </c>
      <c r="G180" s="15"/>
      <c r="H180" s="215">
        <v>0</v>
      </c>
      <c r="I180" s="100"/>
      <c r="J180" s="114">
        <v>0</v>
      </c>
      <c r="K180" s="100"/>
    </row>
    <row r="181" spans="1:11" ht="12.75" customHeight="1">
      <c r="A181" s="12"/>
      <c r="B181" s="11"/>
      <c r="C181" s="12"/>
      <c r="D181" s="12"/>
      <c r="E181" s="60"/>
      <c r="F181" s="144"/>
      <c r="G181" s="15"/>
      <c r="H181" s="134"/>
      <c r="I181" s="100"/>
      <c r="J181" s="100"/>
      <c r="K181" s="100"/>
    </row>
    <row r="182" spans="1:11" ht="15" customHeight="1">
      <c r="A182" s="12"/>
      <c r="B182" s="11"/>
      <c r="C182" s="17" t="s">
        <v>28</v>
      </c>
      <c r="D182" s="12"/>
      <c r="E182" s="60"/>
      <c r="F182" s="195">
        <f>SUM(F184:F199)</f>
        <v>83627.69</v>
      </c>
      <c r="G182" s="15"/>
      <c r="H182" s="210">
        <f>SUM(H184:H199)</f>
        <v>77227.23999999999</v>
      </c>
      <c r="I182" s="100"/>
      <c r="J182" s="100">
        <v>90628081</v>
      </c>
      <c r="K182" s="100"/>
    </row>
    <row r="183" spans="1:11" ht="12.75" customHeight="1">
      <c r="A183" s="12"/>
      <c r="B183" s="11"/>
      <c r="C183" s="12"/>
      <c r="D183" s="12"/>
      <c r="F183" s="156"/>
      <c r="G183" s="15"/>
      <c r="H183" s="159"/>
      <c r="I183" s="100"/>
      <c r="J183" s="100"/>
      <c r="K183" s="100"/>
    </row>
    <row r="184" spans="1:11" ht="12.75" customHeight="1">
      <c r="A184" s="12"/>
      <c r="B184" s="11"/>
      <c r="C184" s="12"/>
      <c r="D184" t="s">
        <v>22</v>
      </c>
      <c r="E184" s="9" t="s">
        <v>101</v>
      </c>
      <c r="F184" s="205">
        <v>41415.41</v>
      </c>
      <c r="G184" s="15"/>
      <c r="H184" s="216">
        <v>35743.12</v>
      </c>
      <c r="I184" s="100"/>
      <c r="J184" s="106">
        <v>37950450</v>
      </c>
      <c r="K184" s="100"/>
    </row>
    <row r="185" spans="1:11" ht="12.75" customHeight="1">
      <c r="A185" s="12"/>
      <c r="B185" s="11"/>
      <c r="C185" s="12"/>
      <c r="D185" t="s">
        <v>22</v>
      </c>
      <c r="E185" s="9" t="s">
        <v>102</v>
      </c>
      <c r="F185" s="205">
        <v>18367.94</v>
      </c>
      <c r="G185" s="15"/>
      <c r="H185" s="216">
        <v>13961.94</v>
      </c>
      <c r="I185" s="100"/>
      <c r="J185" s="106"/>
      <c r="K185" s="100"/>
    </row>
    <row r="186" spans="1:11" ht="12.75" customHeight="1">
      <c r="A186" s="12"/>
      <c r="B186" s="11"/>
      <c r="C186" s="12"/>
      <c r="D186" t="s">
        <v>22</v>
      </c>
      <c r="E186" s="9" t="s">
        <v>105</v>
      </c>
      <c r="F186" s="205">
        <v>530.6</v>
      </c>
      <c r="G186" s="15"/>
      <c r="H186" s="216">
        <v>414.1</v>
      </c>
      <c r="I186" s="100"/>
      <c r="J186" s="106"/>
      <c r="K186" s="100"/>
    </row>
    <row r="187" spans="1:11" ht="12.75" customHeight="1">
      <c r="A187" s="12"/>
      <c r="B187" s="11"/>
      <c r="C187" s="12"/>
      <c r="D187" t="s">
        <v>22</v>
      </c>
      <c r="E187" s="9" t="s">
        <v>88</v>
      </c>
      <c r="F187" s="205">
        <v>738</v>
      </c>
      <c r="G187" s="15"/>
      <c r="H187" s="216">
        <v>0</v>
      </c>
      <c r="I187" s="100"/>
      <c r="J187" s="106">
        <v>11603127</v>
      </c>
      <c r="K187" s="100"/>
    </row>
    <row r="188" spans="1:11" ht="12.75" customHeight="1">
      <c r="A188" s="12"/>
      <c r="B188" s="11"/>
      <c r="C188" s="12"/>
      <c r="D188" t="s">
        <v>22</v>
      </c>
      <c r="E188" s="9" t="s">
        <v>113</v>
      </c>
      <c r="F188" s="205">
        <v>1821.05</v>
      </c>
      <c r="G188" s="15"/>
      <c r="H188" s="216">
        <v>2232.89</v>
      </c>
      <c r="I188" s="100"/>
      <c r="J188" s="106">
        <v>6956169</v>
      </c>
      <c r="K188" s="100"/>
    </row>
    <row r="189" spans="1:11" ht="12.75" customHeight="1">
      <c r="A189" s="12"/>
      <c r="B189" s="11"/>
      <c r="C189" s="12"/>
      <c r="D189" t="s">
        <v>22</v>
      </c>
      <c r="E189" s="9" t="s">
        <v>89</v>
      </c>
      <c r="F189" s="205">
        <v>341.37</v>
      </c>
      <c r="G189" s="15"/>
      <c r="H189" s="216">
        <v>283.18</v>
      </c>
      <c r="I189" s="100"/>
      <c r="J189" s="106">
        <v>1037334</v>
      </c>
      <c r="K189" s="100"/>
    </row>
    <row r="190" spans="1:11" ht="12.75" customHeight="1">
      <c r="A190" s="12"/>
      <c r="B190" s="11"/>
      <c r="C190" s="12"/>
      <c r="D190" t="s">
        <v>22</v>
      </c>
      <c r="E190" s="9" t="s">
        <v>128</v>
      </c>
      <c r="F190" s="205">
        <v>4095.18</v>
      </c>
      <c r="G190" s="15"/>
      <c r="H190" s="216">
        <v>3983.54</v>
      </c>
      <c r="I190" s="100"/>
      <c r="J190" s="106">
        <v>376600</v>
      </c>
      <c r="K190" s="100"/>
    </row>
    <row r="191" spans="1:11" ht="12.75" customHeight="1">
      <c r="A191" s="12"/>
      <c r="B191" s="11"/>
      <c r="C191" s="12"/>
      <c r="D191" t="s">
        <v>22</v>
      </c>
      <c r="E191" s="9" t="s">
        <v>73</v>
      </c>
      <c r="F191" s="205">
        <v>0</v>
      </c>
      <c r="G191" s="15"/>
      <c r="H191" s="216">
        <v>1139.67</v>
      </c>
      <c r="I191" s="100"/>
      <c r="J191" s="106">
        <v>3473024</v>
      </c>
      <c r="K191" s="100"/>
    </row>
    <row r="192" spans="1:11" ht="12.75" customHeight="1">
      <c r="A192" s="12"/>
      <c r="B192" s="11"/>
      <c r="C192" s="12"/>
      <c r="D192" t="s">
        <v>22</v>
      </c>
      <c r="E192" s="9" t="s">
        <v>74</v>
      </c>
      <c r="F192" s="205">
        <v>0</v>
      </c>
      <c r="G192" s="15"/>
      <c r="H192" s="216">
        <v>641.38</v>
      </c>
      <c r="I192" s="100"/>
      <c r="J192" s="106">
        <v>5142046</v>
      </c>
      <c r="K192" s="100"/>
    </row>
    <row r="193" spans="1:11" ht="13.5" customHeight="1">
      <c r="A193" s="12"/>
      <c r="B193" s="11"/>
      <c r="C193" s="12"/>
      <c r="D193" t="s">
        <v>22</v>
      </c>
      <c r="E193" s="9" t="s">
        <v>99</v>
      </c>
      <c r="F193" s="205">
        <v>155.08</v>
      </c>
      <c r="G193" s="15"/>
      <c r="H193" s="216">
        <v>225.27</v>
      </c>
      <c r="I193" s="100"/>
      <c r="J193" s="106">
        <v>376792</v>
      </c>
      <c r="K193" s="100"/>
    </row>
    <row r="194" spans="1:11" ht="12.75" customHeight="1">
      <c r="A194" s="12"/>
      <c r="B194" s="11"/>
      <c r="C194" s="12"/>
      <c r="D194" s="12" t="s">
        <v>22</v>
      </c>
      <c r="E194" s="9" t="s">
        <v>100</v>
      </c>
      <c r="F194" s="205">
        <v>810.28</v>
      </c>
      <c r="G194" s="15"/>
      <c r="H194" s="216">
        <v>823.42</v>
      </c>
      <c r="I194" s="100"/>
      <c r="J194" s="106">
        <v>8957720</v>
      </c>
      <c r="K194" s="100"/>
    </row>
    <row r="195" spans="1:11" ht="12.75" customHeight="1">
      <c r="A195" s="12"/>
      <c r="B195" s="11"/>
      <c r="C195" s="12"/>
      <c r="D195" s="12" t="s">
        <v>22</v>
      </c>
      <c r="E195" s="9" t="s">
        <v>140</v>
      </c>
      <c r="F195" s="205">
        <v>0</v>
      </c>
      <c r="G195" s="15"/>
      <c r="H195" s="216">
        <v>0</v>
      </c>
      <c r="I195" s="100"/>
      <c r="J195" s="106"/>
      <c r="K195" s="100"/>
    </row>
    <row r="196" spans="1:11" ht="12.75" customHeight="1">
      <c r="A196" s="12"/>
      <c r="B196" s="11"/>
      <c r="C196" s="12"/>
      <c r="D196" s="12" t="s">
        <v>22</v>
      </c>
      <c r="E196" s="9" t="s">
        <v>117</v>
      </c>
      <c r="F196" s="205">
        <v>2000</v>
      </c>
      <c r="G196" s="15"/>
      <c r="H196" s="216">
        <v>0</v>
      </c>
      <c r="I196" s="100"/>
      <c r="J196" s="106"/>
      <c r="K196" s="100"/>
    </row>
    <row r="197" spans="1:11" ht="12.75" customHeight="1">
      <c r="A197" s="12"/>
      <c r="B197" s="11"/>
      <c r="C197" s="12"/>
      <c r="D197" t="s">
        <v>22</v>
      </c>
      <c r="E197" s="9" t="s">
        <v>75</v>
      </c>
      <c r="F197" s="205">
        <v>0</v>
      </c>
      <c r="G197" s="15"/>
      <c r="H197" s="216">
        <v>108.11</v>
      </c>
      <c r="I197" s="100"/>
      <c r="J197" s="106">
        <v>745186</v>
      </c>
      <c r="K197" s="100"/>
    </row>
    <row r="198" spans="1:11" ht="12.75" customHeight="1">
      <c r="A198" s="12"/>
      <c r="B198" s="11"/>
      <c r="C198" s="12"/>
      <c r="D198" t="s">
        <v>22</v>
      </c>
      <c r="E198" s="9" t="s">
        <v>93</v>
      </c>
      <c r="F198" s="205">
        <v>489.3</v>
      </c>
      <c r="G198" s="15"/>
      <c r="H198" s="216">
        <v>511.69</v>
      </c>
      <c r="I198" s="100"/>
      <c r="J198" s="106">
        <v>318424</v>
      </c>
      <c r="K198" s="100"/>
    </row>
    <row r="199" spans="1:11" ht="12.75" customHeight="1">
      <c r="A199" s="12"/>
      <c r="B199" s="11"/>
      <c r="C199" s="12"/>
      <c r="D199" s="12" t="s">
        <v>22</v>
      </c>
      <c r="E199" s="9" t="s">
        <v>98</v>
      </c>
      <c r="F199" s="205">
        <v>12863.48</v>
      </c>
      <c r="G199" s="15"/>
      <c r="H199" s="216">
        <v>17158.93</v>
      </c>
      <c r="I199" s="100"/>
      <c r="J199" s="106">
        <v>10024017</v>
      </c>
      <c r="K199" s="100"/>
    </row>
    <row r="200" spans="1:11" ht="12.75" customHeight="1">
      <c r="A200" s="12"/>
      <c r="B200" s="11"/>
      <c r="C200" s="12"/>
      <c r="D200" s="12"/>
      <c r="F200" s="183"/>
      <c r="G200" s="15"/>
      <c r="H200" s="177"/>
      <c r="I200" s="100"/>
      <c r="J200" s="106"/>
      <c r="K200" s="100"/>
    </row>
    <row r="201" spans="1:11" ht="15.75" customHeight="1">
      <c r="A201" s="52"/>
      <c r="B201" s="16" t="s">
        <v>29</v>
      </c>
      <c r="C201" s="37"/>
      <c r="D201" s="37"/>
      <c r="E201" s="59"/>
      <c r="F201" s="15" t="s">
        <v>0</v>
      </c>
      <c r="G201" s="194">
        <f>G19+G96</f>
        <v>-72504.09999999963</v>
      </c>
      <c r="H201" s="135"/>
      <c r="I201" s="209">
        <f>I19+I96</f>
        <v>-368274.86000000127</v>
      </c>
      <c r="J201" s="100" t="s">
        <v>0</v>
      </c>
      <c r="K201" s="96">
        <v>-1058618180</v>
      </c>
    </row>
    <row r="202" spans="1:11" ht="12.75" customHeight="1">
      <c r="A202" s="12"/>
      <c r="B202" s="19" t="s">
        <v>30</v>
      </c>
      <c r="C202" s="12"/>
      <c r="D202" s="12"/>
      <c r="E202" s="13"/>
      <c r="F202" s="15" t="s">
        <v>0</v>
      </c>
      <c r="G202" s="15"/>
      <c r="H202" s="100"/>
      <c r="I202" s="100" t="s">
        <v>0</v>
      </c>
      <c r="J202" s="100">
        <v>0</v>
      </c>
      <c r="K202" s="100" t="s">
        <v>0</v>
      </c>
    </row>
    <row r="203" spans="1:11" ht="12.75" customHeight="1">
      <c r="A203" s="12"/>
      <c r="B203" s="11"/>
      <c r="C203" s="12"/>
      <c r="D203" s="12"/>
      <c r="E203" s="13"/>
      <c r="F203" s="15" t="s">
        <v>0</v>
      </c>
      <c r="G203" s="15"/>
      <c r="H203" s="100"/>
      <c r="I203" s="100"/>
      <c r="J203" s="100"/>
      <c r="K203" s="100"/>
    </row>
    <row r="204" spans="1:13" s="3" customFormat="1" ht="15.75" customHeight="1">
      <c r="A204" s="17"/>
      <c r="B204" s="16" t="s">
        <v>31</v>
      </c>
      <c r="C204" s="17"/>
      <c r="D204" s="17"/>
      <c r="E204" s="58"/>
      <c r="F204" s="18" t="s">
        <v>0</v>
      </c>
      <c r="G204" s="194">
        <f>(F206+F211+F233)</f>
        <v>203388.12</v>
      </c>
      <c r="H204" s="107"/>
      <c r="I204" s="209">
        <f>H206+H211+H233</f>
        <v>194688.09999999998</v>
      </c>
      <c r="J204" s="107">
        <v>0</v>
      </c>
      <c r="K204" s="108">
        <v>47865644</v>
      </c>
      <c r="M204" s="88"/>
    </row>
    <row r="205" spans="1:13" s="3" customFormat="1" ht="12.75" customHeight="1">
      <c r="A205" s="17"/>
      <c r="B205" s="16"/>
      <c r="C205" s="17"/>
      <c r="D205" s="17"/>
      <c r="E205" s="58"/>
      <c r="F205" s="171"/>
      <c r="G205" s="157"/>
      <c r="H205" s="172"/>
      <c r="I205" s="135"/>
      <c r="J205" s="172"/>
      <c r="K205" s="108"/>
      <c r="M205" s="88"/>
    </row>
    <row r="206" spans="1:11" ht="14.25" customHeight="1">
      <c r="A206" s="12"/>
      <c r="B206" s="11"/>
      <c r="C206" s="12" t="s">
        <v>32</v>
      </c>
      <c r="D206" s="12"/>
      <c r="E206" s="60"/>
      <c r="F206" s="195">
        <f>SUM(F207:F209)</f>
        <v>255000</v>
      </c>
      <c r="G206" s="15" t="s">
        <v>0</v>
      </c>
      <c r="H206" s="210">
        <f>SUM(H207:H209)</f>
        <v>212506</v>
      </c>
      <c r="I206" s="100"/>
      <c r="J206" s="115">
        <f>SUM(J207:J209)</f>
        <v>0</v>
      </c>
      <c r="K206" s="100"/>
    </row>
    <row r="207" spans="1:11" ht="12.75" customHeight="1">
      <c r="A207" s="12"/>
      <c r="B207" s="11"/>
      <c r="E207" s="13" t="s">
        <v>33</v>
      </c>
      <c r="F207" s="205">
        <v>255000</v>
      </c>
      <c r="G207" s="15"/>
      <c r="H207" s="211">
        <v>212506</v>
      </c>
      <c r="I207" s="100" t="s">
        <v>0</v>
      </c>
      <c r="J207" s="112">
        <v>0</v>
      </c>
      <c r="K207" s="100" t="s">
        <v>0</v>
      </c>
    </row>
    <row r="208" spans="1:11" ht="12.75" customHeight="1">
      <c r="A208" s="12"/>
      <c r="B208" s="11"/>
      <c r="E208" s="13" t="s">
        <v>34</v>
      </c>
      <c r="F208" s="205">
        <v>0</v>
      </c>
      <c r="G208" s="15"/>
      <c r="H208" s="211">
        <v>0</v>
      </c>
      <c r="I208" s="100"/>
      <c r="J208" s="112">
        <v>0</v>
      </c>
      <c r="K208" s="100"/>
    </row>
    <row r="209" spans="1:11" ht="12.75" customHeight="1">
      <c r="A209" s="12"/>
      <c r="B209" s="11"/>
      <c r="E209" s="13" t="s">
        <v>35</v>
      </c>
      <c r="F209" s="205">
        <v>0</v>
      </c>
      <c r="G209" s="15"/>
      <c r="H209" s="211">
        <v>0</v>
      </c>
      <c r="I209" s="100"/>
      <c r="J209" s="113">
        <v>0</v>
      </c>
      <c r="K209" s="100"/>
    </row>
    <row r="210" spans="1:11" ht="12.75" customHeight="1">
      <c r="A210" s="12"/>
      <c r="B210" s="11"/>
      <c r="E210" s="13"/>
      <c r="F210" s="163"/>
      <c r="G210" s="15"/>
      <c r="H210" s="133"/>
      <c r="I210" s="100"/>
      <c r="J210" s="112"/>
      <c r="K210" s="100"/>
    </row>
    <row r="211" spans="1:11" ht="15.75" customHeight="1">
      <c r="A211" s="12"/>
      <c r="B211" s="11"/>
      <c r="C211" s="12" t="s">
        <v>36</v>
      </c>
      <c r="D211" s="12"/>
      <c r="E211" s="60"/>
      <c r="F211" s="203">
        <f>SUM(F213+F218+F220+F223+F227)</f>
        <v>8964.12</v>
      </c>
      <c r="G211" s="15" t="s">
        <v>0</v>
      </c>
      <c r="H211" s="215">
        <f>SUM(H213+H218+H220+H223+H227)</f>
        <v>10489.71</v>
      </c>
      <c r="I211" s="100"/>
      <c r="J211" s="111">
        <v>47891039</v>
      </c>
      <c r="K211" s="100"/>
    </row>
    <row r="212" spans="1:11" ht="12.75" customHeight="1">
      <c r="A212" s="12"/>
      <c r="B212" s="11"/>
      <c r="C212" s="12"/>
      <c r="D212" s="12"/>
      <c r="E212" s="60"/>
      <c r="F212" s="166"/>
      <c r="G212" s="15"/>
      <c r="H212" s="167"/>
      <c r="I212" s="100"/>
      <c r="J212" s="168"/>
      <c r="K212" s="100"/>
    </row>
    <row r="213" spans="1:11" ht="12.75" customHeight="1">
      <c r="A213" s="12"/>
      <c r="B213" s="11"/>
      <c r="D213" s="23" t="s">
        <v>37</v>
      </c>
      <c r="E213" s="61"/>
      <c r="F213" s="147">
        <f>SUM(F214:F216)</f>
        <v>0</v>
      </c>
      <c r="G213" s="15"/>
      <c r="H213" s="152">
        <v>0</v>
      </c>
      <c r="I213" s="100"/>
      <c r="J213" s="116">
        <v>0</v>
      </c>
      <c r="K213" s="100"/>
    </row>
    <row r="214" spans="1:11" ht="12.75" customHeight="1">
      <c r="A214" s="12"/>
      <c r="B214" s="11"/>
      <c r="D214" s="23"/>
      <c r="E214" s="13" t="s">
        <v>33</v>
      </c>
      <c r="F214" s="145">
        <v>0</v>
      </c>
      <c r="G214" s="15"/>
      <c r="H214" s="152">
        <v>0</v>
      </c>
      <c r="I214" s="100"/>
      <c r="J214" s="112" t="s">
        <v>0</v>
      </c>
      <c r="K214" s="100"/>
    </row>
    <row r="215" spans="1:11" ht="12.75" customHeight="1">
      <c r="A215" s="12"/>
      <c r="B215" s="11"/>
      <c r="D215" s="20"/>
      <c r="E215" s="13" t="s">
        <v>34</v>
      </c>
      <c r="F215" s="145">
        <v>0</v>
      </c>
      <c r="G215" s="15"/>
      <c r="H215" s="152">
        <v>0</v>
      </c>
      <c r="I215" s="100"/>
      <c r="J215" s="112"/>
      <c r="K215" s="100"/>
    </row>
    <row r="216" spans="1:11" ht="12.75" customHeight="1">
      <c r="A216" s="12"/>
      <c r="B216" s="11"/>
      <c r="D216" s="20"/>
      <c r="E216" s="13" t="s">
        <v>35</v>
      </c>
      <c r="F216" s="145">
        <v>0</v>
      </c>
      <c r="G216" s="15"/>
      <c r="H216" s="152">
        <v>0</v>
      </c>
      <c r="I216" s="100"/>
      <c r="J216" s="113" t="s">
        <v>0</v>
      </c>
      <c r="K216" s="100"/>
    </row>
    <row r="217" spans="1:11" ht="12.75" customHeight="1">
      <c r="A217" s="12"/>
      <c r="B217" s="11"/>
      <c r="D217" s="23" t="s">
        <v>38</v>
      </c>
      <c r="E217" s="61"/>
      <c r="F217" s="55" t="s">
        <v>0</v>
      </c>
      <c r="G217" s="15"/>
      <c r="H217" s="115"/>
      <c r="I217" s="100"/>
      <c r="J217" s="115"/>
      <c r="K217" s="100"/>
    </row>
    <row r="218" spans="1:11" ht="12.75" customHeight="1">
      <c r="A218" s="12"/>
      <c r="B218" s="11"/>
      <c r="D218" s="20"/>
      <c r="E218" s="62" t="s">
        <v>39</v>
      </c>
      <c r="F218" s="153">
        <v>0</v>
      </c>
      <c r="G218" s="15"/>
      <c r="H218" s="154">
        <v>0</v>
      </c>
      <c r="I218" s="100"/>
      <c r="J218" s="117" t="s">
        <v>0</v>
      </c>
      <c r="K218" s="100"/>
    </row>
    <row r="219" spans="1:11" ht="12.75" customHeight="1">
      <c r="A219" s="12"/>
      <c r="B219" s="11"/>
      <c r="D219" s="23" t="s">
        <v>40</v>
      </c>
      <c r="E219" s="61"/>
      <c r="F219" s="55" t="s">
        <v>0</v>
      </c>
      <c r="G219" s="15"/>
      <c r="H219" s="115" t="s">
        <v>0</v>
      </c>
      <c r="I219" s="100"/>
      <c r="J219" s="115" t="s">
        <v>0</v>
      </c>
      <c r="K219" s="100"/>
    </row>
    <row r="220" spans="1:11" ht="12.75" customHeight="1">
      <c r="A220" s="12"/>
      <c r="B220" s="11"/>
      <c r="D220" s="23"/>
      <c r="E220" s="61" t="s">
        <v>41</v>
      </c>
      <c r="F220" s="153">
        <v>0</v>
      </c>
      <c r="G220" s="15"/>
      <c r="H220" s="154">
        <v>0</v>
      </c>
      <c r="I220" s="100"/>
      <c r="J220" s="117"/>
      <c r="K220" s="100"/>
    </row>
    <row r="221" spans="1:11" ht="12.75" customHeight="1">
      <c r="A221" s="12"/>
      <c r="B221" s="11"/>
      <c r="D221" s="23" t="s">
        <v>42</v>
      </c>
      <c r="E221" s="61"/>
      <c r="F221" s="55" t="s">
        <v>0</v>
      </c>
      <c r="G221" s="15"/>
      <c r="H221" s="115"/>
      <c r="I221" s="100"/>
      <c r="J221" s="115"/>
      <c r="K221" s="100"/>
    </row>
    <row r="222" spans="1:11" ht="12.75" customHeight="1">
      <c r="A222" s="12"/>
      <c r="B222" s="11"/>
      <c r="D222" s="20"/>
      <c r="E222" s="62" t="s">
        <v>43</v>
      </c>
      <c r="F222" s="57" t="s">
        <v>0</v>
      </c>
      <c r="G222" s="15"/>
      <c r="H222" s="116"/>
      <c r="I222" s="100"/>
      <c r="J222" s="116"/>
      <c r="K222" s="100"/>
    </row>
    <row r="223" spans="1:11" ht="12.75" customHeight="1">
      <c r="A223" s="12"/>
      <c r="B223" s="11"/>
      <c r="D223" s="20"/>
      <c r="E223" s="61" t="s">
        <v>44</v>
      </c>
      <c r="F223" s="148">
        <v>0</v>
      </c>
      <c r="G223" s="15"/>
      <c r="H223" s="138">
        <v>0</v>
      </c>
      <c r="I223" s="100"/>
      <c r="J223" s="118"/>
      <c r="K223" s="100"/>
    </row>
    <row r="224" spans="1:11" ht="12.75" customHeight="1">
      <c r="A224" s="12"/>
      <c r="B224" s="11"/>
      <c r="D224" s="20"/>
      <c r="E224" s="13" t="s">
        <v>33</v>
      </c>
      <c r="F224" s="148">
        <v>0</v>
      </c>
      <c r="G224" s="15"/>
      <c r="H224" s="138">
        <v>0</v>
      </c>
      <c r="I224" s="100"/>
      <c r="J224" s="118"/>
      <c r="K224" s="100"/>
    </row>
    <row r="225" spans="1:11" ht="12.75" customHeight="1">
      <c r="A225" s="12"/>
      <c r="B225" s="11"/>
      <c r="D225" s="20"/>
      <c r="E225" s="13" t="s">
        <v>34</v>
      </c>
      <c r="F225" s="148">
        <v>0</v>
      </c>
      <c r="G225" s="15"/>
      <c r="H225" s="138">
        <v>0</v>
      </c>
      <c r="I225" s="100"/>
      <c r="J225" s="118"/>
      <c r="K225" s="100"/>
    </row>
    <row r="226" spans="1:11" ht="12.75" customHeight="1">
      <c r="A226" s="12"/>
      <c r="B226" s="11"/>
      <c r="D226" s="20"/>
      <c r="E226" s="13" t="s">
        <v>76</v>
      </c>
      <c r="F226" s="148">
        <v>0</v>
      </c>
      <c r="G226" s="15"/>
      <c r="H226" s="138">
        <v>0</v>
      </c>
      <c r="I226" s="100"/>
      <c r="J226" s="118"/>
      <c r="K226" s="100"/>
    </row>
    <row r="227" spans="1:11" ht="12.75" customHeight="1">
      <c r="A227" s="12"/>
      <c r="B227" s="11"/>
      <c r="D227" s="20"/>
      <c r="E227" s="13" t="s">
        <v>35</v>
      </c>
      <c r="F227" s="166">
        <f>SUM(F228:F230)</f>
        <v>8964.12</v>
      </c>
      <c r="G227" s="68"/>
      <c r="H227" s="180">
        <f>SUM(H228:H230)</f>
        <v>10489.71</v>
      </c>
      <c r="I227" s="100"/>
      <c r="J227" s="118">
        <f>SUM(J228:J230)</f>
        <v>47891039</v>
      </c>
      <c r="K227" s="100"/>
    </row>
    <row r="228" spans="1:11" ht="12.75" customHeight="1">
      <c r="A228" s="12"/>
      <c r="B228" s="11"/>
      <c r="D228" s="20"/>
      <c r="E228" s="67" t="s">
        <v>45</v>
      </c>
      <c r="F228" s="185">
        <v>8964.12</v>
      </c>
      <c r="G228" s="36"/>
      <c r="H228" s="181">
        <v>10489.71</v>
      </c>
      <c r="I228" s="106"/>
      <c r="J228" s="119">
        <v>47891039</v>
      </c>
      <c r="K228" s="106"/>
    </row>
    <row r="229" spans="1:11" ht="12.75" customHeight="1">
      <c r="A229" s="12"/>
      <c r="B229" s="11"/>
      <c r="D229" s="20"/>
      <c r="E229" s="67" t="s">
        <v>46</v>
      </c>
      <c r="F229" s="149">
        <v>0</v>
      </c>
      <c r="G229" s="36"/>
      <c r="H229" s="133">
        <v>0</v>
      </c>
      <c r="I229" s="106"/>
      <c r="J229" s="119">
        <v>0</v>
      </c>
      <c r="K229" s="106"/>
    </row>
    <row r="230" spans="1:11" ht="12.75" customHeight="1">
      <c r="A230" s="12"/>
      <c r="B230" s="11"/>
      <c r="D230" s="20"/>
      <c r="E230" s="67" t="s">
        <v>47</v>
      </c>
      <c r="F230" s="149">
        <v>0</v>
      </c>
      <c r="G230" s="36"/>
      <c r="H230" s="133">
        <v>0</v>
      </c>
      <c r="I230" s="106" t="s">
        <v>0</v>
      </c>
      <c r="J230" s="120">
        <v>0</v>
      </c>
      <c r="K230" s="106" t="s">
        <v>0</v>
      </c>
    </row>
    <row r="231" spans="1:11" ht="12.75" customHeight="1">
      <c r="A231" s="12"/>
      <c r="B231" s="11"/>
      <c r="C231" s="12" t="s">
        <v>48</v>
      </c>
      <c r="D231" s="12"/>
      <c r="E231" s="13"/>
      <c r="F231" s="15" t="s">
        <v>0</v>
      </c>
      <c r="G231" s="15"/>
      <c r="H231" s="100"/>
      <c r="I231" s="100"/>
      <c r="J231" s="100">
        <v>0</v>
      </c>
      <c r="K231" s="100"/>
    </row>
    <row r="232" spans="1:11" ht="12.75" customHeight="1">
      <c r="A232" s="12"/>
      <c r="B232" s="11"/>
      <c r="C232" s="12"/>
      <c r="D232" s="12"/>
      <c r="E232" s="13" t="s">
        <v>49</v>
      </c>
      <c r="F232" s="15" t="s">
        <v>0</v>
      </c>
      <c r="G232" s="15"/>
      <c r="H232" s="100"/>
      <c r="I232" s="100"/>
      <c r="J232" s="100">
        <v>0</v>
      </c>
      <c r="K232" s="100"/>
    </row>
    <row r="233" spans="1:11" ht="15" customHeight="1">
      <c r="A233" s="12"/>
      <c r="B233" s="11"/>
      <c r="C233" s="12"/>
      <c r="D233" s="12"/>
      <c r="E233" s="13" t="s">
        <v>77</v>
      </c>
      <c r="F233" s="203">
        <f>F234+F235+F236+F237</f>
        <v>-60576</v>
      </c>
      <c r="G233" s="15" t="s">
        <v>0</v>
      </c>
      <c r="H233" s="215">
        <f>SUM(H234:H237)</f>
        <v>-28307.61</v>
      </c>
      <c r="I233" s="100"/>
      <c r="J233" s="105">
        <v>25395</v>
      </c>
      <c r="K233" s="100"/>
    </row>
    <row r="234" spans="1:11" ht="12.75" customHeight="1">
      <c r="A234" s="12"/>
      <c r="B234" s="11"/>
      <c r="C234" s="12"/>
      <c r="D234" s="12"/>
      <c r="E234" s="13" t="s">
        <v>33</v>
      </c>
      <c r="F234" s="148">
        <v>0</v>
      </c>
      <c r="G234" s="15"/>
      <c r="H234" s="211">
        <v>0</v>
      </c>
      <c r="I234" s="100"/>
      <c r="J234" s="118">
        <v>0</v>
      </c>
      <c r="K234" s="100"/>
    </row>
    <row r="235" spans="1:11" ht="12.75" customHeight="1">
      <c r="A235" s="12"/>
      <c r="B235" s="11"/>
      <c r="C235" s="12"/>
      <c r="D235" s="12"/>
      <c r="E235" s="13" t="s">
        <v>34</v>
      </c>
      <c r="F235" s="148">
        <v>0</v>
      </c>
      <c r="G235" s="15"/>
      <c r="H235" s="211">
        <v>0</v>
      </c>
      <c r="I235" s="100"/>
      <c r="J235" s="118">
        <v>0</v>
      </c>
      <c r="K235" s="100"/>
    </row>
    <row r="236" spans="1:11" ht="12.75" customHeight="1">
      <c r="A236" s="12"/>
      <c r="B236" s="11"/>
      <c r="C236" s="12"/>
      <c r="D236" s="12"/>
      <c r="E236" s="13" t="s">
        <v>76</v>
      </c>
      <c r="F236" s="148">
        <v>0</v>
      </c>
      <c r="G236" s="15"/>
      <c r="H236" s="211">
        <v>0</v>
      </c>
      <c r="I236" s="100"/>
      <c r="J236" s="118">
        <v>0</v>
      </c>
      <c r="K236" s="100"/>
    </row>
    <row r="237" spans="1:11" ht="12.75" customHeight="1">
      <c r="A237" s="12"/>
      <c r="B237" s="11"/>
      <c r="C237" s="12"/>
      <c r="D237" s="12"/>
      <c r="E237" s="13" t="s">
        <v>35</v>
      </c>
      <c r="F237" s="186">
        <f>SUM(F238:F240)</f>
        <v>-60576</v>
      </c>
      <c r="G237" s="15"/>
      <c r="H237" s="220">
        <f>SUM(H238:H240)</f>
        <v>-28307.61</v>
      </c>
      <c r="I237" s="100"/>
      <c r="J237" s="118">
        <f>SUM(J238:J240)</f>
        <v>25395</v>
      </c>
      <c r="K237" s="100"/>
    </row>
    <row r="238" spans="1:11" ht="12.75" customHeight="1">
      <c r="A238" s="12"/>
      <c r="B238" s="11"/>
      <c r="C238" s="12"/>
      <c r="D238" s="12"/>
      <c r="E238" s="67" t="s">
        <v>50</v>
      </c>
      <c r="F238" s="187">
        <v>-60576</v>
      </c>
      <c r="G238" s="36"/>
      <c r="H238" s="211">
        <v>-23230.18</v>
      </c>
      <c r="I238" s="106"/>
      <c r="J238" s="121">
        <v>0</v>
      </c>
      <c r="K238" s="106"/>
    </row>
    <row r="239" spans="1:11" ht="12.75" customHeight="1">
      <c r="A239" s="12"/>
      <c r="B239" s="11"/>
      <c r="C239" s="12"/>
      <c r="D239" s="12"/>
      <c r="E239" s="67" t="s">
        <v>51</v>
      </c>
      <c r="F239" s="150">
        <v>0</v>
      </c>
      <c r="G239" s="36"/>
      <c r="H239" s="221">
        <v>-49.63</v>
      </c>
      <c r="I239" s="106"/>
      <c r="J239" s="121">
        <v>0</v>
      </c>
      <c r="K239" s="106">
        <v>0</v>
      </c>
    </row>
    <row r="240" spans="1:11" ht="12.75" customHeight="1" thickBot="1">
      <c r="A240" s="12"/>
      <c r="B240" s="11"/>
      <c r="C240" s="12"/>
      <c r="D240" s="12"/>
      <c r="E240" s="67" t="s">
        <v>52</v>
      </c>
      <c r="F240" s="150">
        <v>0</v>
      </c>
      <c r="G240" s="36"/>
      <c r="H240" s="222">
        <v>-5027.8</v>
      </c>
      <c r="I240" s="106"/>
      <c r="J240" s="122">
        <v>25395</v>
      </c>
      <c r="K240" s="106"/>
    </row>
    <row r="241" spans="1:11" ht="12.75" customHeight="1" thickTop="1">
      <c r="A241" s="12"/>
      <c r="B241" s="11"/>
      <c r="C241" s="12"/>
      <c r="D241" s="12"/>
      <c r="E241" s="13"/>
      <c r="F241" s="38" t="s">
        <v>0</v>
      </c>
      <c r="G241" s="15"/>
      <c r="H241" s="123"/>
      <c r="I241" s="100"/>
      <c r="J241" s="123"/>
      <c r="K241" s="100"/>
    </row>
    <row r="242" spans="1:13" s="3" customFormat="1" ht="12.75" customHeight="1">
      <c r="A242" s="24"/>
      <c r="B242" s="25" t="s">
        <v>53</v>
      </c>
      <c r="C242" s="24"/>
      <c r="D242" s="24"/>
      <c r="E242" s="58"/>
      <c r="F242" s="18" t="s">
        <v>0</v>
      </c>
      <c r="G242" s="143">
        <f>F243+F249</f>
        <v>0</v>
      </c>
      <c r="H242" s="107" t="s">
        <v>0</v>
      </c>
      <c r="I242" s="182">
        <f>H243+H249</f>
        <v>0</v>
      </c>
      <c r="J242" s="107" t="s">
        <v>0</v>
      </c>
      <c r="K242" s="108"/>
      <c r="M242" s="88"/>
    </row>
    <row r="243" spans="2:11" ht="12.75" customHeight="1">
      <c r="B243" s="39"/>
      <c r="C243" s="9" t="s">
        <v>54</v>
      </c>
      <c r="E243" s="60"/>
      <c r="F243" s="146">
        <f>F244+F246+F248</f>
        <v>0</v>
      </c>
      <c r="G243" s="15"/>
      <c r="H243" s="136">
        <f>H244+H246+H248</f>
        <v>0</v>
      </c>
      <c r="I243" s="100"/>
      <c r="J243" s="111"/>
      <c r="K243" s="100"/>
    </row>
    <row r="244" spans="2:11" ht="12.75" customHeight="1">
      <c r="B244" s="39"/>
      <c r="D244" s="20" t="s">
        <v>55</v>
      </c>
      <c r="E244" s="61"/>
      <c r="F244" s="56"/>
      <c r="G244" s="15"/>
      <c r="H244" s="98"/>
      <c r="I244" s="100"/>
      <c r="J244" s="112">
        <v>0</v>
      </c>
      <c r="K244" s="100"/>
    </row>
    <row r="245" spans="2:11" ht="12.75" customHeight="1">
      <c r="B245" s="39"/>
      <c r="D245" s="20" t="s">
        <v>56</v>
      </c>
      <c r="E245" s="61"/>
      <c r="F245" s="56" t="s">
        <v>0</v>
      </c>
      <c r="G245" s="15"/>
      <c r="H245" s="112"/>
      <c r="I245" s="100"/>
      <c r="J245" s="112"/>
      <c r="K245" s="100"/>
    </row>
    <row r="246" spans="2:11" ht="12.75" customHeight="1">
      <c r="B246" s="39"/>
      <c r="D246" s="20" t="s">
        <v>0</v>
      </c>
      <c r="E246" s="61" t="s">
        <v>57</v>
      </c>
      <c r="F246" s="56"/>
      <c r="G246" s="15"/>
      <c r="H246" s="98"/>
      <c r="I246" s="100"/>
      <c r="J246" s="112">
        <v>0</v>
      </c>
      <c r="K246" s="100"/>
    </row>
    <row r="247" spans="2:11" ht="12.75" customHeight="1">
      <c r="B247" s="39"/>
      <c r="D247" s="20" t="s">
        <v>58</v>
      </c>
      <c r="E247" s="61"/>
      <c r="F247" s="56" t="s">
        <v>0</v>
      </c>
      <c r="G247" s="15"/>
      <c r="H247" s="112"/>
      <c r="I247" s="100"/>
      <c r="J247" s="112"/>
      <c r="K247" s="100"/>
    </row>
    <row r="248" spans="2:11" ht="12.75" customHeight="1">
      <c r="B248" s="39"/>
      <c r="D248" s="20"/>
      <c r="E248" s="61" t="s">
        <v>41</v>
      </c>
      <c r="F248" s="64"/>
      <c r="G248" s="15"/>
      <c r="H248" s="98"/>
      <c r="I248" s="100"/>
      <c r="J248" s="113">
        <v>0</v>
      </c>
      <c r="K248" s="100"/>
    </row>
    <row r="249" spans="2:11" ht="12.75" customHeight="1">
      <c r="B249" s="39"/>
      <c r="C249" s="9" t="s">
        <v>59</v>
      </c>
      <c r="E249" s="60"/>
      <c r="F249" s="142">
        <f>F250+F252+F254</f>
        <v>0</v>
      </c>
      <c r="G249" s="15"/>
      <c r="H249" s="139">
        <v>0</v>
      </c>
      <c r="I249" s="100"/>
      <c r="J249" s="105"/>
      <c r="K249" s="100"/>
    </row>
    <row r="250" spans="2:11" ht="12.75" customHeight="1">
      <c r="B250" s="39"/>
      <c r="D250" s="20" t="s">
        <v>55</v>
      </c>
      <c r="E250" s="61"/>
      <c r="F250" s="36"/>
      <c r="G250" s="15"/>
      <c r="H250" s="98"/>
      <c r="I250" s="100"/>
      <c r="J250" s="106">
        <v>0</v>
      </c>
      <c r="K250" s="100"/>
    </row>
    <row r="251" spans="2:11" ht="12.75" customHeight="1">
      <c r="B251" s="39"/>
      <c r="D251" s="20" t="s">
        <v>60</v>
      </c>
      <c r="E251" s="61"/>
      <c r="F251" s="36" t="s">
        <v>0</v>
      </c>
      <c r="G251" s="15"/>
      <c r="H251" s="98"/>
      <c r="I251" s="100"/>
      <c r="J251" s="106"/>
      <c r="K251" s="100"/>
    </row>
    <row r="252" spans="2:11" ht="12.75" customHeight="1">
      <c r="B252" s="39"/>
      <c r="D252" s="20" t="s">
        <v>0</v>
      </c>
      <c r="E252" s="61" t="s">
        <v>57</v>
      </c>
      <c r="F252" s="36"/>
      <c r="G252" s="15"/>
      <c r="H252" s="106" t="s">
        <v>0</v>
      </c>
      <c r="I252" s="100"/>
      <c r="J252" s="106" t="s">
        <v>0</v>
      </c>
      <c r="K252" s="100"/>
    </row>
    <row r="253" spans="2:11" ht="12.75" customHeight="1">
      <c r="B253" s="39"/>
      <c r="D253" s="20" t="s">
        <v>58</v>
      </c>
      <c r="E253" s="61"/>
      <c r="F253" s="36" t="s">
        <v>0</v>
      </c>
      <c r="G253" s="15"/>
      <c r="H253" s="106" t="s">
        <v>0</v>
      </c>
      <c r="I253" s="100"/>
      <c r="J253" s="106" t="s">
        <v>0</v>
      </c>
      <c r="K253" s="100"/>
    </row>
    <row r="254" spans="2:11" ht="12.75" customHeight="1" thickBot="1">
      <c r="B254" s="39"/>
      <c r="D254" s="20"/>
      <c r="E254" s="61" t="s">
        <v>41</v>
      </c>
      <c r="F254" s="44"/>
      <c r="G254" s="15"/>
      <c r="H254" s="98"/>
      <c r="I254" s="100"/>
      <c r="J254" s="124">
        <v>0</v>
      </c>
      <c r="K254" s="100"/>
    </row>
    <row r="255" spans="2:11" ht="12.75" customHeight="1" thickTop="1">
      <c r="B255" s="39"/>
      <c r="E255" s="60"/>
      <c r="F255" s="15" t="s">
        <v>0</v>
      </c>
      <c r="G255" s="15"/>
      <c r="H255" s="100" t="s">
        <v>0</v>
      </c>
      <c r="I255" s="100"/>
      <c r="J255" s="100" t="s">
        <v>0</v>
      </c>
      <c r="K255" s="100"/>
    </row>
    <row r="256" spans="1:13" s="3" customFormat="1" ht="15.75" customHeight="1">
      <c r="A256" s="24"/>
      <c r="B256" s="25" t="s">
        <v>61</v>
      </c>
      <c r="C256" s="24"/>
      <c r="D256" s="24"/>
      <c r="E256" s="58"/>
      <c r="F256" s="18" t="s">
        <v>0</v>
      </c>
      <c r="G256" s="157">
        <f>F259-F266</f>
        <v>0</v>
      </c>
      <c r="H256" s="176"/>
      <c r="I256" s="209">
        <f>H259-H266</f>
        <v>4128.779999999999</v>
      </c>
      <c r="J256" s="107">
        <v>0</v>
      </c>
      <c r="K256" s="108">
        <v>-172630294</v>
      </c>
      <c r="M256" s="88"/>
    </row>
    <row r="257" spans="2:11" ht="12.75" customHeight="1">
      <c r="B257" s="39"/>
      <c r="C257" s="9" t="s">
        <v>62</v>
      </c>
      <c r="E257" s="60"/>
      <c r="F257" s="55" t="s">
        <v>0</v>
      </c>
      <c r="G257" s="15"/>
      <c r="H257" s="115">
        <v>0</v>
      </c>
      <c r="I257" s="100"/>
      <c r="J257" s="115">
        <v>0</v>
      </c>
      <c r="K257" s="100"/>
    </row>
    <row r="258" spans="2:11" ht="12.75" customHeight="1">
      <c r="B258" s="39"/>
      <c r="E258" s="60" t="s">
        <v>63</v>
      </c>
      <c r="F258" s="57" t="s">
        <v>0</v>
      </c>
      <c r="G258" s="15"/>
      <c r="H258" s="116">
        <v>0</v>
      </c>
      <c r="I258" s="100"/>
      <c r="J258" s="116">
        <v>0</v>
      </c>
      <c r="K258" s="100"/>
    </row>
    <row r="259" spans="2:11" ht="12.75" customHeight="1">
      <c r="B259" s="39"/>
      <c r="E259" s="60" t="s">
        <v>64</v>
      </c>
      <c r="F259" s="156">
        <f>SUM(F260:F262)</f>
        <v>0</v>
      </c>
      <c r="G259" s="15"/>
      <c r="H259" s="223">
        <f>SUM(H260:H262)</f>
        <v>14623.65</v>
      </c>
      <c r="I259" s="100"/>
      <c r="J259" s="100">
        <v>48258840</v>
      </c>
      <c r="K259" s="100"/>
    </row>
    <row r="260" spans="2:11" ht="12.75" customHeight="1">
      <c r="B260" s="39"/>
      <c r="E260" s="60" t="s">
        <v>78</v>
      </c>
      <c r="F260" s="151">
        <v>0</v>
      </c>
      <c r="G260" s="15"/>
      <c r="H260" s="177">
        <v>0</v>
      </c>
      <c r="I260" s="100"/>
      <c r="J260" s="93">
        <v>0</v>
      </c>
      <c r="K260" s="100"/>
    </row>
    <row r="261" spans="2:11" ht="12.75" customHeight="1">
      <c r="B261" s="39"/>
      <c r="E261" s="60" t="s">
        <v>79</v>
      </c>
      <c r="F261" s="151">
        <v>0</v>
      </c>
      <c r="G261" s="14"/>
      <c r="H261" s="177">
        <v>14623.65</v>
      </c>
      <c r="I261" s="125"/>
      <c r="J261" s="106">
        <v>48258840</v>
      </c>
      <c r="K261" s="125"/>
    </row>
    <row r="262" spans="2:11" ht="12.75" customHeight="1" thickBot="1">
      <c r="B262" s="39"/>
      <c r="E262" s="60" t="s">
        <v>136</v>
      </c>
      <c r="F262" s="151">
        <v>0</v>
      </c>
      <c r="G262" s="15"/>
      <c r="H262" s="174">
        <v>0</v>
      </c>
      <c r="I262" s="100"/>
      <c r="J262" s="124">
        <v>0</v>
      </c>
      <c r="K262" s="100"/>
    </row>
    <row r="263" spans="2:11" ht="12.75" customHeight="1" thickTop="1">
      <c r="B263" s="39"/>
      <c r="C263" s="9" t="s">
        <v>65</v>
      </c>
      <c r="E263" s="60"/>
      <c r="F263" s="15" t="s">
        <v>0</v>
      </c>
      <c r="G263" s="15"/>
      <c r="H263" s="134">
        <v>0</v>
      </c>
      <c r="I263" s="100"/>
      <c r="J263" s="100">
        <v>0</v>
      </c>
      <c r="K263" s="100"/>
    </row>
    <row r="264" spans="2:11" ht="12.75" customHeight="1">
      <c r="B264" s="39"/>
      <c r="E264" s="60" t="s">
        <v>66</v>
      </c>
      <c r="F264" s="15" t="s">
        <v>0</v>
      </c>
      <c r="G264" s="15"/>
      <c r="H264" s="134">
        <v>0</v>
      </c>
      <c r="I264" s="100"/>
      <c r="J264" s="100">
        <v>0</v>
      </c>
      <c r="K264" s="100"/>
    </row>
    <row r="265" spans="2:11" ht="12.75" customHeight="1">
      <c r="B265" s="39"/>
      <c r="E265" s="60" t="s">
        <v>67</v>
      </c>
      <c r="F265" s="15" t="s">
        <v>0</v>
      </c>
      <c r="G265" s="15"/>
      <c r="H265" s="134">
        <v>0</v>
      </c>
      <c r="I265" s="100"/>
      <c r="J265" s="100">
        <v>0</v>
      </c>
      <c r="K265" s="100"/>
    </row>
    <row r="266" spans="2:11" ht="12.75" customHeight="1">
      <c r="B266" s="39"/>
      <c r="E266" s="60" t="s">
        <v>68</v>
      </c>
      <c r="F266" s="144">
        <f>SUM(F267:F268)</f>
        <v>0</v>
      </c>
      <c r="G266" s="21"/>
      <c r="H266" s="176">
        <f>SUM(H267:H268)</f>
        <v>10494.87</v>
      </c>
      <c r="I266" s="126"/>
      <c r="J266" s="100">
        <v>220889134</v>
      </c>
      <c r="K266" s="126"/>
    </row>
    <row r="267" spans="2:11" ht="12.75" customHeight="1">
      <c r="B267" s="39"/>
      <c r="E267" s="60" t="s">
        <v>80</v>
      </c>
      <c r="F267" s="151">
        <v>0</v>
      </c>
      <c r="G267" s="15"/>
      <c r="H267" s="133">
        <v>0</v>
      </c>
      <c r="I267" s="100"/>
      <c r="J267" s="106">
        <v>0</v>
      </c>
      <c r="K267" s="100"/>
    </row>
    <row r="268" spans="2:11" ht="12.75" customHeight="1" thickBot="1">
      <c r="B268" s="39"/>
      <c r="E268" s="60" t="s">
        <v>81</v>
      </c>
      <c r="F268" s="151">
        <v>0</v>
      </c>
      <c r="G268" s="15"/>
      <c r="H268" s="177">
        <v>10494.87</v>
      </c>
      <c r="I268" s="100">
        <v>0</v>
      </c>
      <c r="J268" s="106">
        <v>220889134</v>
      </c>
      <c r="K268" s="100">
        <v>0</v>
      </c>
    </row>
    <row r="269" spans="2:11" ht="12.75" customHeight="1" thickTop="1">
      <c r="B269" s="39"/>
      <c r="E269" s="60"/>
      <c r="F269" s="38" t="s">
        <v>0</v>
      </c>
      <c r="G269" s="15"/>
      <c r="H269" s="123" t="s">
        <v>0</v>
      </c>
      <c r="I269" s="100">
        <v>0</v>
      </c>
      <c r="J269" s="123" t="s">
        <v>0</v>
      </c>
      <c r="K269" s="100">
        <v>0</v>
      </c>
    </row>
    <row r="270" spans="1:11" ht="15.75" customHeight="1">
      <c r="A270" s="1"/>
      <c r="B270" s="25" t="s">
        <v>69</v>
      </c>
      <c r="E270" s="60"/>
      <c r="F270" s="54" t="s">
        <v>0</v>
      </c>
      <c r="G270" s="194">
        <f>G201+G204+G242+G256</f>
        <v>130884.02000000037</v>
      </c>
      <c r="H270" s="127">
        <v>0</v>
      </c>
      <c r="I270" s="209">
        <f>I201+I204+I242+I256</f>
        <v>-169457.9800000013</v>
      </c>
      <c r="J270" s="127">
        <v>0</v>
      </c>
      <c r="K270" s="128">
        <v>-1183382830</v>
      </c>
    </row>
    <row r="271" spans="1:11" ht="12.75" customHeight="1">
      <c r="A271" s="1"/>
      <c r="B271" s="39"/>
      <c r="E271" s="60"/>
      <c r="F271" s="15" t="s">
        <v>0</v>
      </c>
      <c r="G271" s="15"/>
      <c r="H271" s="100">
        <v>0</v>
      </c>
      <c r="I271" s="100"/>
      <c r="J271" s="100">
        <v>0</v>
      </c>
      <c r="K271" s="100"/>
    </row>
    <row r="272" spans="1:11" ht="12.75" customHeight="1">
      <c r="A272" s="1"/>
      <c r="B272" s="39"/>
      <c r="C272" s="9" t="s">
        <v>70</v>
      </c>
      <c r="E272" s="60"/>
      <c r="F272" s="15" t="s">
        <v>0</v>
      </c>
      <c r="G272" s="191">
        <f>SUM(F273)</f>
        <v>130884.02</v>
      </c>
      <c r="H272" s="129" t="s">
        <v>0</v>
      </c>
      <c r="I272" s="224">
        <f>SUM(H273:H274)</f>
        <v>103092</v>
      </c>
      <c r="J272" s="129" t="s">
        <v>0</v>
      </c>
      <c r="K272" s="129">
        <v>147807000</v>
      </c>
    </row>
    <row r="273" spans="1:11" ht="12.75" customHeight="1">
      <c r="A273" s="1"/>
      <c r="B273" s="39"/>
      <c r="D273" s="9" t="s">
        <v>22</v>
      </c>
      <c r="E273" s="60" t="s">
        <v>72</v>
      </c>
      <c r="F273" s="208">
        <v>130884.02</v>
      </c>
      <c r="G273" s="27"/>
      <c r="H273" s="177">
        <v>103092</v>
      </c>
      <c r="I273" s="130"/>
      <c r="J273" s="106">
        <v>147807000</v>
      </c>
      <c r="K273" s="130"/>
    </row>
    <row r="274" spans="1:11" ht="12.75" customHeight="1" thickBot="1">
      <c r="A274" s="1"/>
      <c r="B274" s="39"/>
      <c r="D274" s="9" t="s">
        <v>22</v>
      </c>
      <c r="E274" s="60" t="s">
        <v>104</v>
      </c>
      <c r="F274" s="225"/>
      <c r="G274" s="27"/>
      <c r="H274" s="98">
        <f>J274/1936.27</f>
        <v>0</v>
      </c>
      <c r="I274" s="130"/>
      <c r="J274" s="124">
        <v>0</v>
      </c>
      <c r="K274" s="130"/>
    </row>
    <row r="275" spans="1:11" ht="12.75" customHeight="1" thickTop="1">
      <c r="A275" s="1"/>
      <c r="B275" s="39"/>
      <c r="E275" s="60"/>
      <c r="F275" s="15" t="s">
        <v>0</v>
      </c>
      <c r="G275" s="27"/>
      <c r="H275" s="100" t="s">
        <v>0</v>
      </c>
      <c r="I275" s="130"/>
      <c r="J275" s="100" t="s">
        <v>0</v>
      </c>
      <c r="K275" s="130"/>
    </row>
    <row r="276" spans="1:11" ht="15.75" customHeight="1">
      <c r="A276" s="1"/>
      <c r="B276" s="39"/>
      <c r="C276" s="24" t="s">
        <v>71</v>
      </c>
      <c r="E276" s="60"/>
      <c r="F276" s="15" t="s">
        <v>0</v>
      </c>
      <c r="G276" s="157">
        <f>G270-G272</f>
        <v>3.637978807091713E-10</v>
      </c>
      <c r="H276" s="100" t="s">
        <v>0</v>
      </c>
      <c r="I276" s="209">
        <f>I270-I272</f>
        <v>-272549.98000000126</v>
      </c>
      <c r="J276" s="100" t="s">
        <v>0</v>
      </c>
      <c r="K276" s="128">
        <f>K270-K272</f>
        <v>-1331189830</v>
      </c>
    </row>
    <row r="277" spans="1:11" ht="12.75" customHeight="1" thickBot="1">
      <c r="A277" s="1"/>
      <c r="B277" s="40"/>
      <c r="C277" s="41"/>
      <c r="D277" s="41"/>
      <c r="E277" s="42"/>
      <c r="F277" s="43" t="s">
        <v>0</v>
      </c>
      <c r="G277" s="34"/>
      <c r="H277" s="131" t="s">
        <v>0</v>
      </c>
      <c r="I277" s="132"/>
      <c r="J277" s="131" t="s">
        <v>0</v>
      </c>
      <c r="K277" s="132"/>
    </row>
    <row r="278" ht="12" customHeight="1" thickTop="1">
      <c r="F278" s="8" t="s">
        <v>0</v>
      </c>
    </row>
  </sheetData>
  <mergeCells count="4">
    <mergeCell ref="J16:K16"/>
    <mergeCell ref="F16:G16"/>
    <mergeCell ref="H16:I16"/>
    <mergeCell ref="F14:G14"/>
  </mergeCells>
  <printOptions/>
  <pageMargins left="0" right="0" top="0" bottom="0" header="0" footer="0"/>
  <pageSetup fitToHeight="4" horizontalDpi="600" verticalDpi="600" orientation="portrait" paperSize="9" scale="85" r:id="rId1"/>
  <rowBreaks count="3" manualBreakCount="3">
    <brk id="75" min="1" max="8" man="1"/>
    <brk id="152" min="1" max="8" man="1"/>
    <brk id="222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2006-11-22T16:12:17Z</cp:lastPrinted>
  <dcterms:created xsi:type="dcterms:W3CDTF">1997-08-28T16:58:31Z</dcterms:created>
  <dcterms:modified xsi:type="dcterms:W3CDTF">2007-02-23T10:46:19Z</dcterms:modified>
  <cp:category/>
  <cp:version/>
  <cp:contentType/>
  <cp:contentStatus/>
</cp:coreProperties>
</file>