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<sst xmlns="http://schemas.openxmlformats.org/spreadsheetml/2006/main" count="236" uniqueCount="208">
  <si>
    <t>A. S. P. e F.</t>
  </si>
  <si>
    <t>Azienda Servizi alla Persona e alla Famiglia</t>
  </si>
  <si>
    <t>Bilancio di Previsione Triennale 2000 - 2001 - 2002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</si>
  <si>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</si>
  <si>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</si>
  <si>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</si>
  <si>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</si>
  <si>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</si>
  <si>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</si>
  <si>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</si>
  <si>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</si>
  <si>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</si>
  <si>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 xml:space="preserve">Rette RSA </t>
  </si>
  <si>
    <t>b)</t>
  </si>
  <si>
    <t>Rette SAD</t>
  </si>
  <si>
    <t xml:space="preserve"> - b1) Pasti</t>
  </si>
  <si>
    <t xml:space="preserve"> - b2) Consegna pasti</t>
  </si>
  <si>
    <t xml:space="preserve"> - b3) Sollevatori</t>
  </si>
  <si>
    <t xml:space="preserve"> - b4) Prestazioni socio - sanitarie</t>
  </si>
  <si>
    <t>c)</t>
  </si>
  <si>
    <t>Rette Centro Diurno</t>
  </si>
  <si>
    <t>d)</t>
  </si>
  <si>
    <t>Proventi Dormitorio</t>
  </si>
  <si>
    <t>e)</t>
  </si>
  <si>
    <t xml:space="preserve">Proventi Trasporti </t>
  </si>
  <si>
    <t>f)</t>
  </si>
  <si>
    <t>Proventi Tanatologico</t>
  </si>
  <si>
    <t>g)</t>
  </si>
  <si>
    <t>Proventi C.A.G.</t>
  </si>
  <si>
    <t>h)</t>
  </si>
  <si>
    <t>Proventi Progetto giovani</t>
  </si>
  <si>
    <t>i)</t>
  </si>
  <si>
    <t>Proventi nuoto disabili</t>
  </si>
  <si>
    <t>l)</t>
  </si>
  <si>
    <t>Vendita farmaci</t>
  </si>
  <si>
    <t>m)</t>
  </si>
  <si>
    <t>Proventi Fisioterapia</t>
  </si>
  <si>
    <t>n)</t>
  </si>
  <si>
    <t>Prestazioni diverse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</si>
  <si>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</si>
  <si>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</si>
  <si>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</si>
  <si>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</si>
  <si>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</si>
  <si>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 xml:space="preserve"> - Regione</t>
  </si>
  <si>
    <t xml:space="preserve"> - ASL</t>
  </si>
  <si>
    <t xml:space="preserve"> - Altri contributi ASL</t>
  </si>
  <si>
    <t xml:space="preserve"> - Contributi vari</t>
  </si>
  <si>
    <t>Altri ricavi e proventi vari</t>
  </si>
  <si>
    <t xml:space="preserve"> - Erogazione pasti RSA</t>
  </si>
  <si>
    <t xml:space="preserve"> - Rimborso farmaci e altre prestazioni farmacie</t>
  </si>
  <si>
    <t xml:space="preserve"> - Gestione del CPIH e Comunità Alloggio</t>
  </si>
  <si>
    <t xml:space="preserve"> - Rimborsi co sti telefonici</t>
  </si>
  <si>
    <t xml:space="preserve"> - Altri proventi vari</t>
  </si>
  <si>
    <t xml:space="preserve"> - Abbuoni e arrotondamenti attivi</t>
  </si>
  <si>
    <t xml:space="preserve"> - Vendite SAD</t>
  </si>
  <si>
    <t xml:space="preserve"> - Rivalsa bollo RSA</t>
  </si>
  <si>
    <t xml:space="preserve"> - Farmacie</t>
  </si>
  <si>
    <t xml:space="preserve"> - Riabilitazione</t>
  </si>
  <si>
    <t xml:space="preserve"> - SAD</t>
  </si>
  <si>
    <t xml:space="preserve"> - Progetto Giovani</t>
  </si>
  <si>
    <t xml:space="preserve"> - Marketing</t>
  </si>
  <si>
    <t xml:space="preserve"> - Formazione</t>
  </si>
  <si>
    <t xml:space="preserve"> - Innovazione SAD</t>
  </si>
  <si>
    <t xml:space="preserve"> - Sistema di qualità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</si>
  <si>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</si>
  <si>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</si>
  <si>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</si>
  <si>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</si>
  <si>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</si>
  <si>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 generi alimentari</t>
  </si>
  <si>
    <t xml:space="preserve"> - mat. medico per assist. farm. e sanit.</t>
  </si>
  <si>
    <t xml:space="preserve"> - Attività di animazione soggiorni e gite</t>
  </si>
  <si>
    <t xml:space="preserve"> -  farmaci e parafarmaci farmacie</t>
  </si>
  <si>
    <t xml:space="preserve"> - Telesoccorso</t>
  </si>
  <si>
    <t xml:space="preserve"> -  materiali di consumo vari</t>
  </si>
  <si>
    <t xml:space="preserve"> - Materiali di pulizia e lavanderia interna</t>
  </si>
  <si>
    <t xml:space="preserve"> - Cancelleria</t>
  </si>
  <si>
    <t xml:space="preserve"> - Materiale pubblicitario</t>
  </si>
  <si>
    <t xml:space="preserve"> - Carburanti e lubrificanti</t>
  </si>
  <si>
    <t xml:space="preserve"> - Spese access. su acquisti e addebiti da fornitori</t>
  </si>
  <si>
    <t xml:space="preserve"> - Teleriscaldamento</t>
  </si>
  <si>
    <t xml:space="preserve"> - Abbuoni e arrotondamenti</t>
  </si>
  <si>
    <t xml:space="preserve"> - Acquisto attrezzature da cucina</t>
  </si>
  <si>
    <t xml:space="preserve"> - Spese per fotocopiatore</t>
  </si>
  <si>
    <t xml:space="preserve"> 7) Costi per servizi</t>
  </si>
  <si>
    <t xml:space="preserve"> - Trasporti</t>
  </si>
  <si>
    <t xml:space="preserve"> - Energia elettrica</t>
  </si>
  <si>
    <t xml:space="preserve"> - Acqua e Gas</t>
  </si>
  <si>
    <t xml:space="preserve"> - Combustibili</t>
  </si>
  <si>
    <t xml:space="preserve"> - Rimborsi a piè di lista al personale</t>
  </si>
  <si>
    <t xml:space="preserve"> -  manutenzioni e riparazioni varie</t>
  </si>
  <si>
    <t xml:space="preserve"> - Manutenzioni contrattuali</t>
  </si>
  <si>
    <t xml:space="preserve"> - Compensi agli amministratori</t>
  </si>
  <si>
    <t xml:space="preserve"> - Compensi ai sindaci</t>
  </si>
  <si>
    <t xml:space="preserve"> - Consulenze tecniche</t>
  </si>
  <si>
    <t xml:space="preserve"> - Consulenze legali, fiscali </t>
  </si>
  <si>
    <t xml:space="preserve"> - Servizi barbiere e parrucchiere</t>
  </si>
  <si>
    <t xml:space="preserve"> - Spese lavanderia biancheria piana</t>
  </si>
  <si>
    <t xml:space="preserve"> - Spese lavanderia indumenti ospiti</t>
  </si>
  <si>
    <t xml:space="preserve"> - Servizio di portineria</t>
  </si>
  <si>
    <t xml:space="preserve"> - Servizio di pulizia</t>
  </si>
  <si>
    <t xml:space="preserve"> - Compensi professionisti</t>
  </si>
  <si>
    <t xml:space="preserve"> - Comp. collab. occasionali e comp. co.co.co.</t>
  </si>
  <si>
    <t xml:space="preserve"> - Enpam / Inps a carico azienda</t>
  </si>
  <si>
    <t xml:space="preserve"> - Acquisto pasti</t>
  </si>
  <si>
    <t xml:space="preserve"> - Consegna pasti</t>
  </si>
  <si>
    <t xml:space="preserve"> - Gestione reparti NAP</t>
  </si>
  <si>
    <t xml:space="preserve"> - Servizio assistenza geriatrica domiciliare</t>
  </si>
  <si>
    <t xml:space="preserve"> - Servizio di gestione funzionamento servizi</t>
  </si>
  <si>
    <t xml:space="preserve"> - Spese per manutenzione automezzi</t>
  </si>
  <si>
    <t xml:space="preserve"> - Spese per assicurazione automezzi</t>
  </si>
  <si>
    <t xml:space="preserve"> - Altre spese per automezzi</t>
  </si>
  <si>
    <t xml:space="preserve"> - Spese telefoniche</t>
  </si>
  <si>
    <t xml:space="preserve"> - Spese postali e di affrancatura</t>
  </si>
  <si>
    <t xml:space="preserve"> - Assicurazioni diverse</t>
  </si>
  <si>
    <t xml:space="preserve"> - Spese di rappresentanza</t>
  </si>
  <si>
    <t xml:space="preserve"> - Spese viaggi e trasferte</t>
  </si>
  <si>
    <t xml:space="preserve"> - Piccole spese economali e fondo cassa</t>
  </si>
  <si>
    <t xml:space="preserve"> - ENPAF Farmacisti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</si>
  <si>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</si>
  <si>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</si>
  <si>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</si>
  <si>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</si>
  <si>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- Altri per godimento beni di terzi</t>
  </si>
  <si>
    <t xml:space="preserve"> 9) Costi per il personale</t>
  </si>
  <si>
    <t xml:space="preserve"> - Salari e stipendi</t>
  </si>
  <si>
    <t xml:space="preserve"> - Contributi</t>
  </si>
  <si>
    <t xml:space="preserve"> - Trattamento di fine rapporto</t>
  </si>
  <si>
    <t xml:space="preserve"> - Divise per il personale</t>
  </si>
  <si>
    <t xml:space="preserve"> - Buoni pasto</t>
  </si>
  <si>
    <t xml:space="preserve"> - Altri costi per il personale (2%)</t>
  </si>
  <si>
    <t xml:space="preserve"> 10) Ammortamenti e svalutazioni</t>
  </si>
  <si>
    <t xml:space="preserve"> - Ammortamento immobilizzazioni immateriali</t>
  </si>
  <si>
    <t xml:space="preserve"> - Ammortamento immobilizzazioni materiali</t>
  </si>
  <si>
    <t xml:space="preserve"> - Altre svalutazioni delle immobilizzazioni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</si>
  <si>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</si>
  <si>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</si>
  <si>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</si>
  <si>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</si>
  <si>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</si>
  <si>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</si>
  <si>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</si>
  <si>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</si>
  <si>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</si>
  <si>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</si>
  <si>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- Altri accantonamenti</t>
  </si>
  <si>
    <t xml:space="preserve"> 14)</t>
  </si>
  <si>
    <t>Oneri diversi di gestione</t>
  </si>
  <si>
    <t xml:space="preserve"> - Imposte e tasse non relative al reddito d'eserc.</t>
  </si>
  <si>
    <t xml:space="preserve"> - Imposte di bollo</t>
  </si>
  <si>
    <t xml:space="preserve"> - Utif</t>
  </si>
  <si>
    <t xml:space="preserve"> - Tasse di concessione regionale</t>
  </si>
  <si>
    <t xml:space="preserve"> - Imposta di registro</t>
  </si>
  <si>
    <t xml:space="preserve"> - Altre imposte e tasse pubblicità</t>
  </si>
  <si>
    <t xml:space="preserve"> - Canoni di smaltimento rifiuti urbani e speciali</t>
  </si>
  <si>
    <t xml:space="preserve"> - Abbonamenti a testi, riviste, quotidiani e RAI</t>
  </si>
  <si>
    <t xml:space="preserve"> - SIAE</t>
  </si>
  <si>
    <t xml:space="preserve"> - Spese adempimenti L.626 e HACCP</t>
  </si>
  <si>
    <t xml:space="preserve"> - Contributi ad associazioni sindac. e di categoria</t>
  </si>
  <si>
    <t xml:space="preserve"> - Tasse di circolazione automezzi</t>
  </si>
  <si>
    <t>Progetti 2000</t>
  </si>
  <si>
    <t xml:space="preserve"> - Farmacia GRAMSCI e DUE Pini</t>
  </si>
  <si>
    <t xml:space="preserve"> - Attività teatrale</t>
  </si>
  <si>
    <t xml:space="preserve"> - Gestione magazzino</t>
  </si>
  <si>
    <t xml:space="preserve"> - Ufficio Ragioneria</t>
  </si>
  <si>
    <t xml:space="preserve"> - Informatizzazione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</si>
  <si>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</si>
  <si>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</si>
  <si>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</si>
  <si>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</si>
  <si>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</si>
  <si>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</si>
  <si>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- Interessi attivi tesoriere</t>
  </si>
  <si>
    <t xml:space="preserve"> - Interessi attivi bancari</t>
  </si>
  <si>
    <t xml:space="preserve"> - Altri interessi attivi</t>
  </si>
  <si>
    <t xml:space="preserve"> 17)</t>
  </si>
  <si>
    <t>Interessi e altri oneri finanziari</t>
  </si>
  <si>
    <t xml:space="preserve"> - Interessi passivi su mutui</t>
  </si>
  <si>
    <t xml:space="preserve"> - Interessi passivi tesoriere</t>
  </si>
  <si>
    <t xml:space="preserve"> - Interessi passivi bancari</t>
  </si>
  <si>
    <t xml:space="preserve"> - Spese diverse bancarie</t>
  </si>
  <si>
    <t xml:space="preserve"> - Interessi passivi verso altri finanziatori</t>
  </si>
  <si>
    <t>D</t>
  </si>
  <si>
    <t>RETTIFICHE DI VALORE DI ATTIVITA' FINANZIARIE</t>
  </si>
  <si>
    <t>TOTALE     D</t>
  </si>
  <si>
    <t>E</t>
  </si>
  <si>
    <t>PROVENTI E ONERI STRAORDINARI</t>
  </si>
  <si>
    <t>TOTALE     E</t>
  </si>
  <si>
    <t xml:space="preserve"> 20)</t>
  </si>
  <si>
    <t>Proventi</t>
  </si>
  <si>
    <t xml:space="preserve"> - plusvalenze da alienazioni</t>
  </si>
  <si>
    <t xml:space="preserve"> - sopravvennienze attive</t>
  </si>
  <si>
    <t xml:space="preserve"> - altri</t>
  </si>
  <si>
    <t xml:space="preserve"> 21)</t>
  </si>
  <si>
    <t>Oneri</t>
  </si>
  <si>
    <t xml:space="preserve"> - minusvalenze da alienazioni</t>
  </si>
  <si>
    <t xml:space="preserve"> - insussistenze passive</t>
  </si>
  <si>
    <t xml:space="preserve"> - imposte esercizi precedenti</t>
  </si>
  <si>
    <t xml:space="preserve"> 22)</t>
  </si>
  <si>
    <t>IMPOSTE DELL'ESERCIZIO</t>
  </si>
  <si>
    <t xml:space="preserve"> - IRPEG</t>
  </si>
  <si>
    <t xml:space="preserve"> - IRAP</t>
  </si>
  <si>
    <t>TOTALE          "A"</t>
  </si>
  <si>
    <t>TOTALE          "B"+"D"+"E"</t>
  </si>
  <si>
    <t>TOTALE          "C"</t>
  </si>
  <si>
    <t>AVANZO / DISAVANZO DI GESTIONE PER SERVIZIO</t>
  </si>
  <si>
    <t xml:space="preserve"> - Proventi Comune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</si>
</sst>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#,##0.0000000_);\(#,##0.0000000\)"/>
  </numFmts>
  <fonts count="19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22"/>
      <name val="Times New Roman"/>
      <family val="1"/>
    </font>
    <font>
      <b/>
      <sz val="25"/>
      <name val="Times New Roman"/>
      <family val="1"/>
    </font>
    <font>
      <b/>
      <sz val="25"/>
      <name val="Swis721 Hv BT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164" fontId="7" fillId="3" borderId="5" xfId="0" applyNumberFormat="1" applyFont="1" applyFill="1" applyBorder="1" applyAlignment="1" applyProtection="1">
      <alignment horizontal="center" vertical="center"/>
      <protection/>
    </xf>
    <xf numFmtId="164" fontId="7" fillId="3" borderId="6" xfId="0" applyNumberFormat="1" applyFont="1" applyFill="1" applyBorder="1" applyAlignment="1" applyProtection="1">
      <alignment vertical="center"/>
      <protection/>
    </xf>
    <xf numFmtId="0" fontId="8" fillId="3" borderId="6" xfId="0" applyFont="1" applyFill="1" applyBorder="1" applyAlignment="1" applyProtection="1">
      <alignment vertical="center"/>
      <protection/>
    </xf>
    <xf numFmtId="164" fontId="8" fillId="3" borderId="7" xfId="0" applyNumberFormat="1" applyFont="1" applyFill="1" applyBorder="1" applyAlignment="1" applyProtection="1">
      <alignment vertical="center"/>
      <protection/>
    </xf>
    <xf numFmtId="164" fontId="8" fillId="4" borderId="8" xfId="0" applyNumberFormat="1" applyFont="1" applyFill="1" applyBorder="1" applyAlignment="1" applyProtection="1">
      <alignment/>
      <protection/>
    </xf>
    <xf numFmtId="164" fontId="8" fillId="4" borderId="9" xfId="0" applyNumberFormat="1" applyFont="1" applyFill="1" applyBorder="1" applyAlignment="1" applyProtection="1">
      <alignment/>
      <protection/>
    </xf>
    <xf numFmtId="164" fontId="8" fillId="4" borderId="10" xfId="0" applyNumberFormat="1" applyFont="1" applyFill="1" applyBorder="1" applyAlignment="1" applyProtection="1">
      <alignment/>
      <protection/>
    </xf>
    <xf numFmtId="164" fontId="8" fillId="4" borderId="11" xfId="0" applyNumberFormat="1" applyFont="1" applyFill="1" applyBorder="1" applyAlignment="1" applyProtection="1">
      <alignment/>
      <protection/>
    </xf>
    <xf numFmtId="164" fontId="8" fillId="4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4" fontId="9" fillId="4" borderId="13" xfId="0" applyNumberFormat="1" applyFont="1" applyFill="1" applyBorder="1" applyAlignment="1" applyProtection="1">
      <alignment/>
      <protection/>
    </xf>
    <xf numFmtId="164" fontId="9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164" fontId="8" fillId="4" borderId="14" xfId="0" applyNumberFormat="1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164" fontId="8" fillId="4" borderId="3" xfId="0" applyNumberFormat="1" applyFont="1" applyFill="1" applyBorder="1" applyAlignment="1" applyProtection="1">
      <alignment horizontal="center"/>
      <protection/>
    </xf>
    <xf numFmtId="164" fontId="10" fillId="4" borderId="16" xfId="0" applyNumberFormat="1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/>
      <protection/>
    </xf>
    <xf numFmtId="164" fontId="8" fillId="4" borderId="17" xfId="0" applyNumberFormat="1" applyFont="1" applyFill="1" applyBorder="1" applyAlignment="1" applyProtection="1">
      <alignment/>
      <protection/>
    </xf>
    <xf numFmtId="164" fontId="8" fillId="4" borderId="4" xfId="0" applyNumberFormat="1" applyFont="1" applyFill="1" applyBorder="1" applyAlignment="1" applyProtection="1">
      <alignment/>
      <protection/>
    </xf>
    <xf numFmtId="164" fontId="8" fillId="4" borderId="18" xfId="0" applyNumberFormat="1" applyFont="1" applyFill="1" applyBorder="1" applyAlignment="1" applyProtection="1">
      <alignment/>
      <protection/>
    </xf>
    <xf numFmtId="164" fontId="4" fillId="0" borderId="18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10" fillId="4" borderId="3" xfId="0" applyNumberFormat="1" applyFont="1" applyFill="1" applyBorder="1" applyAlignment="1" applyProtection="1">
      <alignment horizontal="center"/>
      <protection/>
    </xf>
    <xf numFmtId="164" fontId="8" fillId="4" borderId="19" xfId="0" applyNumberFormat="1" applyFont="1" applyFill="1" applyBorder="1" applyAlignment="1" applyProtection="1">
      <alignment/>
      <protection/>
    </xf>
    <xf numFmtId="164" fontId="8" fillId="4" borderId="20" xfId="0" applyNumberFormat="1" applyFont="1" applyFill="1" applyBorder="1" applyAlignment="1" applyProtection="1">
      <alignment/>
      <protection/>
    </xf>
    <xf numFmtId="164" fontId="8" fillId="4" borderId="16" xfId="0" applyNumberFormat="1" applyFont="1" applyFill="1" applyBorder="1" applyAlignment="1" applyProtection="1">
      <alignment/>
      <protection/>
    </xf>
    <xf numFmtId="164" fontId="8" fillId="4" borderId="2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8" fillId="0" borderId="4" xfId="0" applyNumberFormat="1" applyFont="1" applyFill="1" applyBorder="1" applyAlignment="1" applyProtection="1">
      <alignment/>
      <protection/>
    </xf>
    <xf numFmtId="164" fontId="9" fillId="4" borderId="3" xfId="0" applyNumberFormat="1" applyFont="1" applyFill="1" applyBorder="1" applyAlignment="1" applyProtection="1">
      <alignment/>
      <protection/>
    </xf>
    <xf numFmtId="164" fontId="9" fillId="4" borderId="16" xfId="0" applyNumberFormat="1" applyFont="1" applyFill="1" applyBorder="1" applyAlignment="1" applyProtection="1">
      <alignment/>
      <protection/>
    </xf>
    <xf numFmtId="164" fontId="8" fillId="4" borderId="22" xfId="0" applyNumberFormat="1" applyFont="1" applyFill="1" applyBorder="1" applyAlignment="1" applyProtection="1">
      <alignment/>
      <protection/>
    </xf>
    <xf numFmtId="164" fontId="8" fillId="4" borderId="23" xfId="0" applyNumberFormat="1" applyFont="1" applyFill="1" applyBorder="1" applyAlignment="1" applyProtection="1">
      <alignment/>
      <protection/>
    </xf>
    <xf numFmtId="164" fontId="8" fillId="4" borderId="24" xfId="0" applyNumberFormat="1" applyFont="1" applyFill="1" applyBorder="1" applyAlignment="1" applyProtection="1">
      <alignment/>
      <protection/>
    </xf>
    <xf numFmtId="164" fontId="8" fillId="4" borderId="25" xfId="0" applyNumberFormat="1" applyFont="1" applyFill="1" applyBorder="1" applyAlignment="1" applyProtection="1">
      <alignment/>
      <protection/>
    </xf>
    <xf numFmtId="164" fontId="8" fillId="4" borderId="26" xfId="0" applyNumberFormat="1" applyFont="1" applyFill="1" applyBorder="1" applyAlignment="1" applyProtection="1">
      <alignment/>
      <protection/>
    </xf>
    <xf numFmtId="164" fontId="10" fillId="4" borderId="0" xfId="0" applyNumberFormat="1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164" fontId="8" fillId="4" borderId="0" xfId="0" applyNumberFormat="1" applyFont="1" applyFill="1" applyAlignment="1" applyProtection="1">
      <alignment/>
      <protection/>
    </xf>
    <xf numFmtId="41" fontId="4" fillId="0" borderId="26" xfId="16" applyFont="1" applyBorder="1" applyAlignment="1">
      <alignment horizontal="right"/>
    </xf>
    <xf numFmtId="0" fontId="8" fillId="4" borderId="25" xfId="0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164" fontId="8" fillId="4" borderId="27" xfId="0" applyNumberFormat="1" applyFont="1" applyFill="1" applyBorder="1" applyAlignment="1" applyProtection="1">
      <alignment/>
      <protection/>
    </xf>
    <xf numFmtId="164" fontId="8" fillId="4" borderId="15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>
      <alignment/>
    </xf>
    <xf numFmtId="164" fontId="8" fillId="4" borderId="3" xfId="0" applyNumberFormat="1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 applyProtection="1">
      <alignment horizontal="right"/>
      <protection/>
    </xf>
    <xf numFmtId="164" fontId="8" fillId="4" borderId="2" xfId="0" applyNumberFormat="1" applyFont="1" applyFill="1" applyBorder="1" applyAlignment="1" applyProtection="1">
      <alignment/>
      <protection/>
    </xf>
    <xf numFmtId="164" fontId="4" fillId="0" borderId="1" xfId="0" applyNumberFormat="1" applyFont="1" applyBorder="1" applyAlignment="1">
      <alignment/>
    </xf>
    <xf numFmtId="164" fontId="8" fillId="4" borderId="28" xfId="0" applyNumberFormat="1" applyFont="1" applyFill="1" applyBorder="1" applyAlignment="1" applyProtection="1">
      <alignment/>
      <protection/>
    </xf>
    <xf numFmtId="164" fontId="4" fillId="0" borderId="2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7" fillId="5" borderId="10" xfId="0" applyNumberFormat="1" applyFont="1" applyFill="1" applyBorder="1" applyAlignment="1" applyProtection="1">
      <alignment/>
      <protection/>
    </xf>
    <xf numFmtId="164" fontId="6" fillId="6" borderId="4" xfId="0" applyNumberFormat="1" applyFont="1" applyFill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7" fillId="3" borderId="18" xfId="0" applyNumberFormat="1" applyFont="1" applyFill="1" applyBorder="1" applyAlignment="1" applyProtection="1">
      <alignment horizontal="center" vertical="center"/>
      <protection/>
    </xf>
    <xf numFmtId="164" fontId="7" fillId="3" borderId="25" xfId="0" applyNumberFormat="1" applyFont="1" applyFill="1" applyBorder="1" applyAlignment="1" applyProtection="1">
      <alignment vertical="center"/>
      <protection/>
    </xf>
    <xf numFmtId="0" fontId="8" fillId="3" borderId="25" xfId="0" applyFont="1" applyFill="1" applyBorder="1" applyAlignment="1" applyProtection="1">
      <alignment vertical="center"/>
      <protection/>
    </xf>
    <xf numFmtId="164" fontId="8" fillId="3" borderId="25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/>
      <protection/>
    </xf>
    <xf numFmtId="164" fontId="8" fillId="0" borderId="17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/>
      <protection/>
    </xf>
    <xf numFmtId="164" fontId="9" fillId="4" borderId="0" xfId="0" applyNumberFormat="1" applyFont="1" applyFill="1" applyAlignment="1" applyProtection="1">
      <alignment/>
      <protection/>
    </xf>
    <xf numFmtId="164" fontId="8" fillId="4" borderId="29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8" fillId="4" borderId="30" xfId="0" applyNumberFormat="1" applyFont="1" applyFill="1" applyBorder="1" applyAlignment="1" applyProtection="1">
      <alignment/>
      <protection/>
    </xf>
    <xf numFmtId="164" fontId="8" fillId="0" borderId="23" xfId="0" applyNumberFormat="1" applyFont="1" applyFill="1" applyBorder="1" applyAlignment="1" applyProtection="1">
      <alignment/>
      <protection/>
    </xf>
    <xf numFmtId="41" fontId="4" fillId="0" borderId="0" xfId="16" applyFont="1" applyAlignment="1">
      <alignment/>
    </xf>
    <xf numFmtId="164" fontId="4" fillId="0" borderId="15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8" fillId="4" borderId="31" xfId="0" applyNumberFormat="1" applyFont="1" applyFill="1" applyBorder="1" applyAlignment="1" applyProtection="1">
      <alignment/>
      <protection/>
    </xf>
    <xf numFmtId="164" fontId="7" fillId="0" borderId="22" xfId="0" applyNumberFormat="1" applyFont="1" applyFill="1" applyBorder="1" applyAlignment="1" applyProtection="1">
      <alignment/>
      <protection/>
    </xf>
    <xf numFmtId="41" fontId="4" fillId="0" borderId="25" xfId="16" applyFont="1" applyBorder="1" applyAlignment="1">
      <alignment/>
    </xf>
    <xf numFmtId="165" fontId="8" fillId="4" borderId="16" xfId="0" applyNumberFormat="1" applyFont="1" applyFill="1" applyBorder="1" applyAlignment="1" applyProtection="1">
      <alignment/>
      <protection/>
    </xf>
    <xf numFmtId="41" fontId="4" fillId="0" borderId="26" xfId="16" applyFont="1" applyFill="1" applyBorder="1" applyAlignment="1">
      <alignment/>
    </xf>
    <xf numFmtId="41" fontId="4" fillId="0" borderId="1" xfId="16" applyFont="1" applyFill="1" applyBorder="1" applyAlignment="1">
      <alignment/>
    </xf>
    <xf numFmtId="164" fontId="8" fillId="0" borderId="28" xfId="0" applyNumberFormat="1" applyFont="1" applyFill="1" applyBorder="1" applyAlignment="1" applyProtection="1">
      <alignment/>
      <protection/>
    </xf>
    <xf numFmtId="164" fontId="11" fillId="4" borderId="0" xfId="0" applyNumberFormat="1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164" fontId="9" fillId="4" borderId="12" xfId="0" applyNumberFormat="1" applyFont="1" applyFill="1" applyBorder="1" applyAlignment="1" applyProtection="1">
      <alignment/>
      <protection/>
    </xf>
    <xf numFmtId="164" fontId="8" fillId="4" borderId="12" xfId="0" applyNumberFormat="1" applyFont="1" applyFill="1" applyBorder="1" applyAlignment="1" applyProtection="1">
      <alignment/>
      <protection/>
    </xf>
    <xf numFmtId="9" fontId="15" fillId="4" borderId="8" xfId="17" applyFont="1" applyFill="1" applyBorder="1" applyAlignment="1" applyProtection="1">
      <alignment/>
      <protection/>
    </xf>
    <xf numFmtId="164" fontId="15" fillId="4" borderId="16" xfId="0" applyNumberFormat="1" applyFont="1" applyFill="1" applyBorder="1" applyAlignment="1" applyProtection="1">
      <alignment/>
      <protection/>
    </xf>
    <xf numFmtId="164" fontId="10" fillId="4" borderId="3" xfId="0" applyNumberFormat="1" applyFont="1" applyFill="1" applyBorder="1" applyAlignment="1" applyProtection="1">
      <alignment/>
      <protection/>
    </xf>
    <xf numFmtId="164" fontId="4" fillId="0" borderId="12" xfId="0" applyNumberFormat="1" applyFont="1" applyBorder="1" applyAlignment="1">
      <alignment/>
    </xf>
    <xf numFmtId="0" fontId="6" fillId="0" borderId="25" xfId="0" applyFont="1" applyBorder="1" applyAlignment="1">
      <alignment/>
    </xf>
    <xf numFmtId="164" fontId="7" fillId="5" borderId="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2" borderId="10" xfId="0" applyFont="1" applyFill="1" applyBorder="1" applyAlignment="1">
      <alignment horizontal="center"/>
    </xf>
    <xf numFmtId="164" fontId="7" fillId="3" borderId="33" xfId="0" applyNumberFormat="1" applyFont="1" applyFill="1" applyBorder="1" applyAlignment="1" applyProtection="1">
      <alignment horizontal="center" vertical="center"/>
      <protection/>
    </xf>
    <xf numFmtId="164" fontId="7" fillId="3" borderId="18" xfId="0" applyNumberFormat="1" applyFont="1" applyFill="1" applyBorder="1" applyAlignment="1" applyProtection="1">
      <alignment vertical="center"/>
      <protection/>
    </xf>
    <xf numFmtId="164" fontId="8" fillId="3" borderId="20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15" fillId="4" borderId="1" xfId="0" applyNumberFormat="1" applyFont="1" applyFill="1" applyBorder="1" applyAlignment="1" applyProtection="1">
      <alignment/>
      <protection/>
    </xf>
    <xf numFmtId="164" fontId="15" fillId="4" borderId="2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164" fontId="15" fillId="4" borderId="23" xfId="0" applyNumberFormat="1" applyFont="1" applyFill="1" applyBorder="1" applyAlignment="1" applyProtection="1">
      <alignment/>
      <protection/>
    </xf>
    <xf numFmtId="164" fontId="16" fillId="5" borderId="4" xfId="0" applyNumberFormat="1" applyFont="1" applyFill="1" applyBorder="1" applyAlignment="1" applyProtection="1">
      <alignment/>
      <protection/>
    </xf>
    <xf numFmtId="164" fontId="6" fillId="6" borderId="18" xfId="0" applyNumberFormat="1" applyFont="1" applyFill="1" applyBorder="1" applyAlignment="1">
      <alignment/>
    </xf>
    <xf numFmtId="164" fontId="7" fillId="3" borderId="4" xfId="0" applyNumberFormat="1" applyFont="1" applyFill="1" applyBorder="1" applyAlignment="1" applyProtection="1">
      <alignment/>
      <protection/>
    </xf>
    <xf numFmtId="164" fontId="8" fillId="3" borderId="4" xfId="0" applyNumberFormat="1" applyFont="1" applyFill="1" applyBorder="1" applyAlignment="1" applyProtection="1">
      <alignment/>
      <protection/>
    </xf>
    <xf numFmtId="164" fontId="7" fillId="3" borderId="18" xfId="0" applyNumberFormat="1" applyFont="1" applyFill="1" applyBorder="1" applyAlignment="1" applyProtection="1">
      <alignment horizontal="center"/>
      <protection/>
    </xf>
    <xf numFmtId="164" fontId="7" fillId="3" borderId="4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 applyProtection="1">
      <alignment/>
      <protection/>
    </xf>
    <xf numFmtId="164" fontId="7" fillId="4" borderId="0" xfId="0" applyNumberFormat="1" applyFont="1" applyFill="1" applyAlignment="1" applyProtection="1">
      <alignment/>
      <protection/>
    </xf>
    <xf numFmtId="164" fontId="7" fillId="3" borderId="34" xfId="0" applyNumberFormat="1" applyFont="1" applyFill="1" applyBorder="1" applyAlignment="1" applyProtection="1">
      <alignment vertical="center"/>
      <protection/>
    </xf>
    <xf numFmtId="0" fontId="8" fillId="3" borderId="34" xfId="0" applyFont="1" applyFill="1" applyBorder="1" applyAlignment="1" applyProtection="1">
      <alignment vertical="center"/>
      <protection/>
    </xf>
    <xf numFmtId="164" fontId="8" fillId="3" borderId="34" xfId="0" applyNumberFormat="1" applyFont="1" applyFill="1" applyBorder="1" applyAlignment="1" applyProtection="1">
      <alignment vertical="center"/>
      <protection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7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2" fontId="6" fillId="6" borderId="4" xfId="0" applyNumberFormat="1" applyFont="1" applyFill="1" applyBorder="1" applyAlignment="1">
      <alignment horizontal="right"/>
    </xf>
    <xf numFmtId="42" fontId="1" fillId="0" borderId="0" xfId="19" applyFont="1" applyAlignment="1">
      <alignment/>
    </xf>
    <xf numFmtId="42" fontId="1" fillId="0" borderId="0" xfId="0" applyNumberFormat="1" applyFont="1" applyAlignment="1">
      <alignment/>
    </xf>
    <xf numFmtId="164" fontId="8" fillId="4" borderId="16" xfId="0" applyNumberFormat="1" applyFont="1" applyFill="1" applyBorder="1" applyAlignment="1" applyProtection="1">
      <alignment horizontal="right"/>
      <protection/>
    </xf>
    <xf numFmtId="164" fontId="8" fillId="4" borderId="32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4"/>
  <sheetViews>
    <sheetView tabSelected="1" zoomScale="50" zoomScaleNormal="50" workbookViewId="0" topLeftCell="A1">
      <selection activeCell="A2" sqref="A2:A5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2.57421875" style="1" customWidth="1"/>
    <col min="5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2" width="24.7109375" style="0" customWidth="1"/>
  </cols>
  <sheetData>
    <row r="1" ht="27.75" customHeight="1"/>
    <row r="2" spans="1:18" ht="27.75" customHeight="1">
      <c r="A2" s="16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7.75" customHeight="1">
      <c r="A3" s="16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7.75" customHeight="1">
      <c r="A4" s="16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7.75" customHeight="1">
      <c r="A5" s="16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7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s="6" customFormat="1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2" s="6" customFormat="1" ht="15.75" customHeight="1">
      <c r="A10" s="5"/>
      <c r="B10" s="5"/>
      <c r="C10" s="5"/>
      <c r="D10" s="5"/>
      <c r="E10" s="7" t="s">
        <v>3</v>
      </c>
      <c r="F10" s="8" t="s">
        <v>4</v>
      </c>
      <c r="G10" s="9"/>
      <c r="H10" s="8" t="s">
        <v>5</v>
      </c>
      <c r="I10" s="10"/>
      <c r="J10" s="11"/>
      <c r="K10" s="11"/>
      <c r="L10" s="11"/>
      <c r="M10" s="9" t="s">
        <v>6</v>
      </c>
      <c r="N10" s="12" t="s">
        <v>7</v>
      </c>
      <c r="O10" s="9"/>
      <c r="P10" s="9"/>
      <c r="Q10" s="9"/>
      <c r="R10" s="9"/>
      <c r="S10" s="9"/>
      <c r="T10" s="13">
        <v>2000</v>
      </c>
      <c r="U10" s="13">
        <v>2001</v>
      </c>
      <c r="V10" s="13">
        <v>2002</v>
      </c>
    </row>
    <row r="11" spans="1:22" s="6" customFormat="1" ht="15.75" customHeight="1">
      <c r="A11" s="14" t="s">
        <v>8</v>
      </c>
      <c r="B11" s="15" t="s">
        <v>9</v>
      </c>
      <c r="C11" s="16"/>
      <c r="D11" s="17"/>
      <c r="E11" s="18"/>
      <c r="F11" s="18"/>
      <c r="G11" s="18"/>
      <c r="H11" s="19"/>
      <c r="I11" s="20"/>
      <c r="J11" s="21"/>
      <c r="K11" s="18"/>
      <c r="L11" s="18"/>
      <c r="M11" s="19"/>
      <c r="N11" s="20"/>
      <c r="O11" s="20"/>
      <c r="P11" s="22"/>
      <c r="Q11" s="22"/>
      <c r="R11" s="22"/>
      <c r="S11" s="22"/>
      <c r="T11" s="23"/>
      <c r="U11" s="23"/>
      <c r="V11" s="24"/>
    </row>
    <row r="12" spans="1:22" s="6" customFormat="1" ht="15.75" customHeight="1">
      <c r="A12" s="25" t="s">
        <v>10</v>
      </c>
      <c r="B12" s="26"/>
      <c r="C12" s="27"/>
      <c r="D12" s="22"/>
      <c r="E12" s="28"/>
      <c r="F12" s="18"/>
      <c r="G12" s="18"/>
      <c r="H12" s="19"/>
      <c r="I12" s="29"/>
      <c r="J12" s="21"/>
      <c r="K12" s="18"/>
      <c r="L12" s="18"/>
      <c r="M12" s="19"/>
      <c r="N12" s="29"/>
      <c r="O12" s="29"/>
      <c r="P12" s="22"/>
      <c r="Q12" s="22"/>
      <c r="R12" s="22"/>
      <c r="S12" s="22"/>
      <c r="T12" s="30"/>
      <c r="U12" s="31"/>
      <c r="V12" s="32"/>
    </row>
    <row r="13" spans="1:22" s="6" customFormat="1" ht="15.75" customHeight="1">
      <c r="A13" s="33" t="s">
        <v>11</v>
      </c>
      <c r="B13" s="34" t="s">
        <v>12</v>
      </c>
      <c r="C13" s="35"/>
      <c r="D13" s="36"/>
      <c r="E13" s="37">
        <v>2140000000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9">
        <v>2170000000</v>
      </c>
      <c r="U13" s="39">
        <v>2357110000</v>
      </c>
      <c r="V13" s="40">
        <f>2558935960+20000000</f>
        <v>2578935960</v>
      </c>
    </row>
    <row r="14" spans="1:22" s="6" customFormat="1" ht="15.75" customHeight="1">
      <c r="A14" s="41" t="s">
        <v>13</v>
      </c>
      <c r="B14" s="34" t="s">
        <v>14</v>
      </c>
      <c r="C14" s="35"/>
      <c r="D14" s="42"/>
      <c r="E14" s="43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9">
        <f aca="true" t="shared" si="0" ref="T14:T46">SUM(E14:S14)</f>
        <v>0</v>
      </c>
      <c r="U14" s="39">
        <f aca="true" t="shared" si="1" ref="U14:V29">T14*1.8/100+T14</f>
        <v>0</v>
      </c>
      <c r="V14" s="40">
        <f t="shared" si="1"/>
        <v>0</v>
      </c>
    </row>
    <row r="15" spans="1:22" s="6" customFormat="1" ht="15.75" customHeight="1">
      <c r="A15" s="33"/>
      <c r="B15" s="44" t="s">
        <v>15</v>
      </c>
      <c r="C15" s="35"/>
      <c r="D15" s="42"/>
      <c r="E15" s="43"/>
      <c r="F15" s="37">
        <v>150000000</v>
      </c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9">
        <f t="shared" si="0"/>
        <v>150000000</v>
      </c>
      <c r="U15" s="39">
        <v>160000000</v>
      </c>
      <c r="V15" s="40">
        <v>170000000</v>
      </c>
    </row>
    <row r="16" spans="1:22" s="6" customFormat="1" ht="15.75" customHeight="1">
      <c r="A16" s="33"/>
      <c r="B16" s="44" t="s">
        <v>16</v>
      </c>
      <c r="C16" s="35"/>
      <c r="D16" s="45"/>
      <c r="E16" s="43"/>
      <c r="F16" s="37">
        <v>70000000</v>
      </c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9">
        <f t="shared" si="0"/>
        <v>70000000</v>
      </c>
      <c r="U16" s="39">
        <f t="shared" si="1"/>
        <v>71260000</v>
      </c>
      <c r="V16" s="40">
        <f t="shared" si="1"/>
        <v>72542680</v>
      </c>
    </row>
    <row r="17" spans="1:22" s="6" customFormat="1" ht="15.75" customHeight="1">
      <c r="A17" s="33"/>
      <c r="B17" s="44" t="s">
        <v>17</v>
      </c>
      <c r="C17" s="35"/>
      <c r="D17" s="45"/>
      <c r="E17" s="43"/>
      <c r="F17" s="37">
        <v>16800000</v>
      </c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9">
        <f t="shared" si="0"/>
        <v>16800000</v>
      </c>
      <c r="U17" s="39">
        <f t="shared" si="1"/>
        <v>17102400</v>
      </c>
      <c r="V17" s="40">
        <f t="shared" si="1"/>
        <v>17410243.2</v>
      </c>
    </row>
    <row r="18" spans="1:22" s="6" customFormat="1" ht="15.75" customHeight="1">
      <c r="A18" s="33"/>
      <c r="B18" s="44" t="s">
        <v>18</v>
      </c>
      <c r="C18" s="35"/>
      <c r="D18" s="45"/>
      <c r="E18" s="43"/>
      <c r="F18" s="37">
        <v>235200000</v>
      </c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9">
        <v>245200000</v>
      </c>
      <c r="U18" s="39">
        <v>279613000</v>
      </c>
      <c r="V18" s="40">
        <v>351000000</v>
      </c>
    </row>
    <row r="19" spans="1:22" s="6" customFormat="1" ht="15.75" customHeight="1">
      <c r="A19" s="33" t="s">
        <v>19</v>
      </c>
      <c r="B19" s="35" t="s">
        <v>20</v>
      </c>
      <c r="C19" s="46"/>
      <c r="D19" s="45"/>
      <c r="E19" s="43"/>
      <c r="F19" s="37"/>
      <c r="G19" s="37">
        <v>65000000</v>
      </c>
      <c r="H19" s="37"/>
      <c r="I19" s="37"/>
      <c r="J19" s="37"/>
      <c r="K19" s="37"/>
      <c r="L19" s="37"/>
      <c r="M19" s="47"/>
      <c r="N19" s="37"/>
      <c r="O19" s="38"/>
      <c r="P19" s="38"/>
      <c r="Q19" s="38"/>
      <c r="R19" s="38"/>
      <c r="S19" s="38"/>
      <c r="T19" s="39">
        <f t="shared" si="0"/>
        <v>65000000</v>
      </c>
      <c r="U19" s="39">
        <v>70170000</v>
      </c>
      <c r="V19" s="40">
        <f t="shared" si="1"/>
        <v>71433060</v>
      </c>
    </row>
    <row r="20" spans="1:22" s="6" customFormat="1" ht="15.75" customHeight="1">
      <c r="A20" s="33" t="s">
        <v>21</v>
      </c>
      <c r="B20" s="35" t="s">
        <v>22</v>
      </c>
      <c r="C20" s="46"/>
      <c r="D20" s="45"/>
      <c r="E20" s="43"/>
      <c r="F20" s="37"/>
      <c r="G20" s="37"/>
      <c r="H20" s="37">
        <v>6496000</v>
      </c>
      <c r="I20" s="37"/>
      <c r="J20" s="37"/>
      <c r="K20" s="37"/>
      <c r="L20" s="37"/>
      <c r="M20" s="47"/>
      <c r="N20" s="37"/>
      <c r="O20" s="38"/>
      <c r="P20" s="38"/>
      <c r="Q20" s="38"/>
      <c r="R20" s="38"/>
      <c r="S20" s="38"/>
      <c r="T20" s="39">
        <v>1496000</v>
      </c>
      <c r="U20" s="39">
        <f t="shared" si="1"/>
        <v>1522928</v>
      </c>
      <c r="V20" s="40">
        <f t="shared" si="1"/>
        <v>1550340.704</v>
      </c>
    </row>
    <row r="21" spans="1:22" s="6" customFormat="1" ht="15.75" customHeight="1">
      <c r="A21" s="33" t="s">
        <v>23</v>
      </c>
      <c r="B21" s="35" t="s">
        <v>24</v>
      </c>
      <c r="C21" s="46"/>
      <c r="D21" s="45"/>
      <c r="E21" s="43"/>
      <c r="F21" s="37"/>
      <c r="G21" s="37"/>
      <c r="H21" s="37"/>
      <c r="I21" s="37"/>
      <c r="J21" s="37"/>
      <c r="K21" s="37">
        <v>45000000</v>
      </c>
      <c r="L21" s="37"/>
      <c r="M21" s="47"/>
      <c r="N21" s="37"/>
      <c r="O21" s="38"/>
      <c r="P21" s="38"/>
      <c r="Q21" s="38"/>
      <c r="R21" s="38"/>
      <c r="S21" s="38"/>
      <c r="T21" s="39">
        <f t="shared" si="0"/>
        <v>45000000</v>
      </c>
      <c r="U21" s="39">
        <f t="shared" si="1"/>
        <v>45810000</v>
      </c>
      <c r="V21" s="40">
        <f t="shared" si="1"/>
        <v>46634580</v>
      </c>
    </row>
    <row r="22" spans="1:22" s="6" customFormat="1" ht="15.75" customHeight="1">
      <c r="A22" s="33" t="s">
        <v>25</v>
      </c>
      <c r="B22" s="35" t="s">
        <v>26</v>
      </c>
      <c r="C22" s="46"/>
      <c r="D22" s="45"/>
      <c r="E22" s="43"/>
      <c r="F22" s="37"/>
      <c r="G22" s="37"/>
      <c r="H22" s="37"/>
      <c r="I22" s="37"/>
      <c r="J22" s="37"/>
      <c r="K22" s="37"/>
      <c r="L22" s="37">
        <v>43064000</v>
      </c>
      <c r="M22" s="47"/>
      <c r="N22" s="37"/>
      <c r="O22" s="38"/>
      <c r="P22" s="38"/>
      <c r="Q22" s="38"/>
      <c r="R22" s="38"/>
      <c r="S22" s="38"/>
      <c r="T22" s="39">
        <f t="shared" si="0"/>
        <v>43064000</v>
      </c>
      <c r="U22" s="39">
        <f t="shared" si="1"/>
        <v>43839152</v>
      </c>
      <c r="V22" s="40">
        <f t="shared" si="1"/>
        <v>44628256.736</v>
      </c>
    </row>
    <row r="23" spans="1:22" s="6" customFormat="1" ht="15.75" customHeight="1">
      <c r="A23" s="33" t="s">
        <v>27</v>
      </c>
      <c r="B23" s="35" t="s">
        <v>28</v>
      </c>
      <c r="C23" s="46"/>
      <c r="D23" s="45"/>
      <c r="E23" s="43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9">
        <f t="shared" si="0"/>
        <v>0</v>
      </c>
      <c r="U23" s="39">
        <f t="shared" si="1"/>
        <v>0</v>
      </c>
      <c r="V23" s="40">
        <f t="shared" si="1"/>
        <v>0</v>
      </c>
    </row>
    <row r="24" spans="1:22" s="6" customFormat="1" ht="15.75" customHeight="1">
      <c r="A24" s="33" t="s">
        <v>29</v>
      </c>
      <c r="B24" s="35" t="s">
        <v>30</v>
      </c>
      <c r="C24" s="46"/>
      <c r="D24" s="45"/>
      <c r="E24" s="43"/>
      <c r="F24" s="37"/>
      <c r="G24" s="37"/>
      <c r="H24" s="37"/>
      <c r="I24" s="37"/>
      <c r="J24" s="37"/>
      <c r="K24" s="37"/>
      <c r="L24" s="37"/>
      <c r="M24" s="48"/>
      <c r="N24" s="37">
        <v>15000000</v>
      </c>
      <c r="O24" s="38"/>
      <c r="P24" s="38"/>
      <c r="Q24" s="38"/>
      <c r="R24" s="38"/>
      <c r="S24" s="38"/>
      <c r="T24" s="39">
        <v>20000000</v>
      </c>
      <c r="U24" s="39">
        <v>25000000</v>
      </c>
      <c r="V24" s="40">
        <v>30000000</v>
      </c>
    </row>
    <row r="25" spans="1:22" s="6" customFormat="1" ht="15.75" customHeight="1">
      <c r="A25" s="33" t="s">
        <v>31</v>
      </c>
      <c r="B25" s="35" t="s">
        <v>32</v>
      </c>
      <c r="C25" s="46"/>
      <c r="D25" s="45"/>
      <c r="E25" s="43"/>
      <c r="F25" s="37"/>
      <c r="G25" s="37"/>
      <c r="H25" s="37"/>
      <c r="I25" s="37"/>
      <c r="J25" s="37"/>
      <c r="K25" s="37"/>
      <c r="L25" s="37"/>
      <c r="M25" s="48"/>
      <c r="N25" s="37"/>
      <c r="O25" s="38">
        <v>249996000</v>
      </c>
      <c r="P25" s="38"/>
      <c r="Q25" s="38"/>
      <c r="R25" s="38"/>
      <c r="S25" s="38"/>
      <c r="T25" s="39">
        <f t="shared" si="0"/>
        <v>249996000</v>
      </c>
      <c r="U25" s="39">
        <f t="shared" si="1"/>
        <v>254495928</v>
      </c>
      <c r="V25" s="40">
        <f t="shared" si="1"/>
        <v>259076854.704</v>
      </c>
    </row>
    <row r="26" spans="1:22" s="6" customFormat="1" ht="15.75" customHeight="1">
      <c r="A26" s="33" t="s">
        <v>33</v>
      </c>
      <c r="B26" s="44" t="s">
        <v>34</v>
      </c>
      <c r="C26" s="35"/>
      <c r="D26" s="45"/>
      <c r="E26" s="43"/>
      <c r="F26" s="37"/>
      <c r="G26" s="37"/>
      <c r="H26" s="37"/>
      <c r="I26" s="37">
        <v>1762300000</v>
      </c>
      <c r="J26" s="49">
        <v>2056000000</v>
      </c>
      <c r="K26" s="37"/>
      <c r="L26" s="37"/>
      <c r="M26" s="37"/>
      <c r="N26" s="37"/>
      <c r="O26" s="38"/>
      <c r="P26" s="38"/>
      <c r="Q26" s="38"/>
      <c r="R26" s="38"/>
      <c r="S26" s="38"/>
      <c r="T26" s="39">
        <v>3848300000</v>
      </c>
      <c r="U26" s="39">
        <v>3970849000</v>
      </c>
      <c r="V26" s="40">
        <f>4088834470+5000000</f>
        <v>4093834470</v>
      </c>
    </row>
    <row r="27" spans="1:22" s="6" customFormat="1" ht="15.75" customHeight="1">
      <c r="A27" s="33" t="s">
        <v>35</v>
      </c>
      <c r="B27" s="44" t="s">
        <v>36</v>
      </c>
      <c r="C27" s="35"/>
      <c r="D27" s="44"/>
      <c r="E27" s="37"/>
      <c r="F27" s="37"/>
      <c r="G27" s="37"/>
      <c r="H27" s="37"/>
      <c r="I27" s="37"/>
      <c r="J27" s="49"/>
      <c r="K27" s="37"/>
      <c r="L27" s="37"/>
      <c r="M27" s="37"/>
      <c r="N27" s="37"/>
      <c r="O27" s="38"/>
      <c r="P27" s="38"/>
      <c r="Q27" s="38"/>
      <c r="R27" s="38"/>
      <c r="S27" s="38"/>
      <c r="T27" s="39">
        <f t="shared" si="0"/>
        <v>0</v>
      </c>
      <c r="U27" s="39">
        <f t="shared" si="1"/>
        <v>0</v>
      </c>
      <c r="V27" s="40">
        <f t="shared" si="1"/>
        <v>0</v>
      </c>
    </row>
    <row r="28" spans="1:22" s="6" customFormat="1" ht="15.75" customHeight="1">
      <c r="A28" s="33" t="s">
        <v>37</v>
      </c>
      <c r="B28" s="44" t="s">
        <v>38</v>
      </c>
      <c r="C28" s="46"/>
      <c r="D28" s="44"/>
      <c r="E28" s="37"/>
      <c r="F28" s="37"/>
      <c r="G28" s="37"/>
      <c r="H28" s="37"/>
      <c r="I28" s="37">
        <v>30000000</v>
      </c>
      <c r="J28" s="37">
        <v>35000000</v>
      </c>
      <c r="K28" s="37"/>
      <c r="L28" s="37"/>
      <c r="M28" s="37"/>
      <c r="N28" s="37"/>
      <c r="O28" s="38"/>
      <c r="P28" s="38"/>
      <c r="Q28" s="38"/>
      <c r="R28" s="38"/>
      <c r="S28" s="38"/>
      <c r="T28" s="39">
        <v>0</v>
      </c>
      <c r="U28" s="39">
        <f t="shared" si="1"/>
        <v>0</v>
      </c>
      <c r="V28" s="40">
        <f t="shared" si="1"/>
        <v>0</v>
      </c>
    </row>
    <row r="29" spans="1:22" s="6" customFormat="1" ht="15.75" customHeight="1">
      <c r="A29" s="50" t="s">
        <v>39</v>
      </c>
      <c r="B29" s="51"/>
      <c r="C29" s="35"/>
      <c r="D29" s="44"/>
      <c r="E29" s="52"/>
      <c r="F29" s="52"/>
      <c r="G29" s="52"/>
      <c r="H29" s="52"/>
      <c r="I29" s="53"/>
      <c r="J29" s="52"/>
      <c r="K29" s="52"/>
      <c r="L29" s="52"/>
      <c r="M29" s="52"/>
      <c r="N29" s="54"/>
      <c r="O29" s="55"/>
      <c r="P29" s="38"/>
      <c r="Q29" s="38"/>
      <c r="R29" s="38"/>
      <c r="S29" s="38"/>
      <c r="T29" s="39">
        <f t="shared" si="0"/>
        <v>0</v>
      </c>
      <c r="U29" s="39">
        <f t="shared" si="1"/>
        <v>0</v>
      </c>
      <c r="V29" s="40">
        <f t="shared" si="1"/>
        <v>0</v>
      </c>
    </row>
    <row r="30" spans="1:22" s="6" customFormat="1" ht="15.75" customHeight="1">
      <c r="A30" s="50" t="s">
        <v>40</v>
      </c>
      <c r="B30" s="51"/>
      <c r="C30" s="35"/>
      <c r="D30" s="44"/>
      <c r="E30" s="53"/>
      <c r="F30" s="53"/>
      <c r="G30" s="53"/>
      <c r="H30" s="53"/>
      <c r="I30" s="18"/>
      <c r="J30" s="53"/>
      <c r="K30" s="53"/>
      <c r="L30" s="53"/>
      <c r="M30" s="53"/>
      <c r="N30" s="56"/>
      <c r="O30" s="44"/>
      <c r="P30" s="38"/>
      <c r="Q30" s="38"/>
      <c r="R30" s="38"/>
      <c r="S30" s="38"/>
      <c r="T30" s="39">
        <f t="shared" si="0"/>
        <v>0</v>
      </c>
      <c r="U30" s="39">
        <f aca="true" t="shared" si="2" ref="U30:V45">T30*1.8/100+T30</f>
        <v>0</v>
      </c>
      <c r="V30" s="40">
        <f t="shared" si="2"/>
        <v>0</v>
      </c>
    </row>
    <row r="31" spans="1:22" s="6" customFormat="1" ht="15.75" customHeight="1">
      <c r="A31" s="50" t="s">
        <v>41</v>
      </c>
      <c r="B31" s="51"/>
      <c r="C31" s="35"/>
      <c r="D31" s="44"/>
      <c r="E31" s="18"/>
      <c r="F31" s="18"/>
      <c r="G31" s="18"/>
      <c r="H31" s="18"/>
      <c r="I31" s="37"/>
      <c r="J31" s="18"/>
      <c r="K31" s="18"/>
      <c r="L31" s="18"/>
      <c r="M31" s="18"/>
      <c r="N31" s="18"/>
      <c r="O31" s="22"/>
      <c r="P31" s="38"/>
      <c r="Q31" s="38"/>
      <c r="R31" s="38"/>
      <c r="S31" s="38"/>
      <c r="T31" s="39">
        <f t="shared" si="0"/>
        <v>0</v>
      </c>
      <c r="U31" s="39">
        <f t="shared" si="2"/>
        <v>0</v>
      </c>
      <c r="V31" s="40">
        <f t="shared" si="2"/>
        <v>0</v>
      </c>
    </row>
    <row r="32" spans="1:22" s="6" customFormat="1" ht="15.75" customHeight="1">
      <c r="A32" s="50" t="s">
        <v>42</v>
      </c>
      <c r="B32" s="51"/>
      <c r="C32" s="35"/>
      <c r="D32" s="4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9">
        <f t="shared" si="0"/>
        <v>0</v>
      </c>
      <c r="U32" s="39">
        <f t="shared" si="2"/>
        <v>0</v>
      </c>
      <c r="V32" s="40">
        <f t="shared" si="2"/>
        <v>0</v>
      </c>
    </row>
    <row r="33" spans="1:22" s="6" customFormat="1" ht="15.75" customHeight="1">
      <c r="A33" s="41" t="s">
        <v>11</v>
      </c>
      <c r="B33" s="57" t="s">
        <v>43</v>
      </c>
      <c r="C33" s="58"/>
      <c r="D33" s="59"/>
      <c r="E33" s="37"/>
      <c r="F33" s="37"/>
      <c r="G33" s="37"/>
      <c r="H33" s="5"/>
      <c r="I33" s="37"/>
      <c r="J33" s="37"/>
      <c r="K33" s="37"/>
      <c r="L33" s="37"/>
      <c r="M33" s="5"/>
      <c r="N33" s="5"/>
      <c r="O33" s="38"/>
      <c r="P33" s="38"/>
      <c r="Q33" s="38"/>
      <c r="R33" s="38"/>
      <c r="S33" s="38"/>
      <c r="T33" s="39">
        <f t="shared" si="0"/>
        <v>0</v>
      </c>
      <c r="U33" s="39">
        <f t="shared" si="2"/>
        <v>0</v>
      </c>
      <c r="V33" s="40">
        <f t="shared" si="2"/>
        <v>0</v>
      </c>
    </row>
    <row r="34" spans="1:22" s="6" customFormat="1" ht="15.75" customHeight="1">
      <c r="A34" s="33"/>
      <c r="B34" s="35" t="s">
        <v>44</v>
      </c>
      <c r="C34" s="46"/>
      <c r="D34" s="44"/>
      <c r="E34" s="53">
        <v>764572000</v>
      </c>
      <c r="F34" s="60"/>
      <c r="G34" s="53"/>
      <c r="H34" s="53"/>
      <c r="I34" s="52"/>
      <c r="J34" s="53"/>
      <c r="K34" s="53"/>
      <c r="L34" s="53"/>
      <c r="M34" s="53"/>
      <c r="N34" s="5"/>
      <c r="O34" s="38"/>
      <c r="P34" s="37"/>
      <c r="Q34" s="38"/>
      <c r="R34" s="38"/>
      <c r="S34" s="38"/>
      <c r="T34" s="39">
        <v>764572000</v>
      </c>
      <c r="U34" s="39">
        <v>509714000</v>
      </c>
      <c r="V34" s="40">
        <v>254856000</v>
      </c>
    </row>
    <row r="35" spans="1:22" s="6" customFormat="1" ht="15.75" customHeight="1">
      <c r="A35" s="33"/>
      <c r="B35" s="35" t="s">
        <v>45</v>
      </c>
      <c r="C35" s="46"/>
      <c r="D35" s="44"/>
      <c r="E35" s="52">
        <v>2260000000</v>
      </c>
      <c r="F35" s="60">
        <v>400000000</v>
      </c>
      <c r="G35" s="53">
        <f>400000000*0.6</f>
        <v>240000000</v>
      </c>
      <c r="H35" s="52"/>
      <c r="I35" s="52"/>
      <c r="J35" s="52"/>
      <c r="K35" s="52"/>
      <c r="L35" s="52"/>
      <c r="M35" s="52">
        <v>84000000</v>
      </c>
      <c r="N35" s="54"/>
      <c r="O35" s="38"/>
      <c r="P35" s="38">
        <f>60000*365*8</f>
        <v>175200000</v>
      </c>
      <c r="Q35" s="38"/>
      <c r="R35" s="38"/>
      <c r="S35" s="38"/>
      <c r="T35" s="39">
        <v>3379426000</v>
      </c>
      <c r="U35" s="39">
        <f>T35*1.8/100+T35+56380805</f>
        <v>3496636473</v>
      </c>
      <c r="V35" s="40">
        <f>U35*1.8/100+U35+60000000</f>
        <v>3619575929.514</v>
      </c>
    </row>
    <row r="36" spans="1:22" s="6" customFormat="1" ht="15.75" customHeight="1">
      <c r="A36" s="33"/>
      <c r="B36" s="61" t="s">
        <v>46</v>
      </c>
      <c r="C36" s="62"/>
      <c r="D36" s="6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38"/>
      <c r="P36" s="38"/>
      <c r="Q36" s="38"/>
      <c r="R36" s="38"/>
      <c r="S36" s="38"/>
      <c r="T36" s="39">
        <f t="shared" si="0"/>
        <v>0</v>
      </c>
      <c r="U36" s="39">
        <f t="shared" si="2"/>
        <v>0</v>
      </c>
      <c r="V36" s="40">
        <f t="shared" si="2"/>
        <v>0</v>
      </c>
    </row>
    <row r="37" spans="1:22" s="6" customFormat="1" ht="15.75" customHeight="1">
      <c r="A37" s="33"/>
      <c r="B37" s="61" t="s">
        <v>47</v>
      </c>
      <c r="C37" s="62"/>
      <c r="D37" s="55"/>
      <c r="E37" s="52"/>
      <c r="F37" s="52"/>
      <c r="G37" s="52"/>
      <c r="H37" s="52"/>
      <c r="I37" s="52"/>
      <c r="J37" s="52"/>
      <c r="K37" s="52"/>
      <c r="L37" s="52"/>
      <c r="M37" s="52"/>
      <c r="N37" s="52">
        <v>35000000</v>
      </c>
      <c r="O37" s="38"/>
      <c r="P37" s="38"/>
      <c r="Q37" s="38"/>
      <c r="R37" s="38"/>
      <c r="S37" s="38"/>
      <c r="T37" s="40">
        <v>45000000</v>
      </c>
      <c r="U37" s="39">
        <v>50000000</v>
      </c>
      <c r="V37" s="40">
        <v>55000000</v>
      </c>
    </row>
    <row r="38" spans="1:22" s="6" customFormat="1" ht="15.75" customHeight="1">
      <c r="A38" s="41" t="s">
        <v>13</v>
      </c>
      <c r="B38" s="57" t="s">
        <v>48</v>
      </c>
      <c r="C38" s="58"/>
      <c r="D38" s="59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39">
        <f t="shared" si="2"/>
        <v>0</v>
      </c>
      <c r="V38" s="40">
        <f t="shared" si="2"/>
        <v>0</v>
      </c>
    </row>
    <row r="39" spans="1:22" s="6" customFormat="1" ht="15.75" customHeight="1">
      <c r="A39" s="66"/>
      <c r="B39" s="35" t="s">
        <v>49</v>
      </c>
      <c r="C39" s="46"/>
      <c r="D39" s="44"/>
      <c r="E39" s="29">
        <v>213000000</v>
      </c>
      <c r="F39" s="29"/>
      <c r="G39" s="29"/>
      <c r="H39" s="29"/>
      <c r="I39" s="53"/>
      <c r="J39" s="29"/>
      <c r="K39" s="29"/>
      <c r="L39" s="29"/>
      <c r="M39" s="67"/>
      <c r="N39" s="29"/>
      <c r="O39" s="68"/>
      <c r="P39" s="68"/>
      <c r="Q39" s="68"/>
      <c r="R39" s="68"/>
      <c r="S39" s="68"/>
      <c r="T39" s="69">
        <f t="shared" si="0"/>
        <v>213000000</v>
      </c>
      <c r="U39" s="39">
        <f t="shared" si="2"/>
        <v>216834000</v>
      </c>
      <c r="V39" s="40">
        <f t="shared" si="2"/>
        <v>220737012</v>
      </c>
    </row>
    <row r="40" spans="1:22" s="6" customFormat="1" ht="15.75" customHeight="1">
      <c r="A40" s="66"/>
      <c r="B40" s="35" t="s">
        <v>207</v>
      </c>
      <c r="C40" s="46"/>
      <c r="D40" s="44"/>
      <c r="E40" s="44">
        <v>353981203.5</v>
      </c>
      <c r="F40" s="44">
        <v>216049197.8</v>
      </c>
      <c r="G40" s="44">
        <v>36152579.32</v>
      </c>
      <c r="H40" s="44">
        <v>228600000</v>
      </c>
      <c r="I40" s="53">
        <v>3223927</v>
      </c>
      <c r="J40" s="44">
        <v>1903169.36</v>
      </c>
      <c r="K40" s="44">
        <v>90563832.4</v>
      </c>
      <c r="L40" s="44">
        <v>535052.8</v>
      </c>
      <c r="M40" s="161">
        <v>368957768.2</v>
      </c>
      <c r="N40" s="162">
        <v>269038708.2</v>
      </c>
      <c r="O40" s="44">
        <v>1793108.48</v>
      </c>
      <c r="P40" s="68">
        <v>0</v>
      </c>
      <c r="Q40" s="68"/>
      <c r="R40" s="68"/>
      <c r="S40" s="68"/>
      <c r="T40" s="71">
        <v>1351414485</v>
      </c>
      <c r="U40" s="39">
        <v>1351414485</v>
      </c>
      <c r="V40" s="40">
        <v>1351414485</v>
      </c>
    </row>
    <row r="41" spans="1:22" s="6" customFormat="1" ht="15.75" customHeight="1">
      <c r="A41" s="66"/>
      <c r="B41" s="35" t="s">
        <v>50</v>
      </c>
      <c r="C41" s="46"/>
      <c r="D41" s="44"/>
      <c r="E41" s="53"/>
      <c r="F41" s="53"/>
      <c r="G41" s="53"/>
      <c r="H41" s="53"/>
      <c r="I41" s="53">
        <v>2700000</v>
      </c>
      <c r="J41" s="53">
        <v>3000000</v>
      </c>
      <c r="K41" s="53"/>
      <c r="L41" s="53"/>
      <c r="M41" s="53"/>
      <c r="N41" s="56"/>
      <c r="O41" s="44"/>
      <c r="P41" s="37"/>
      <c r="Q41" s="38"/>
      <c r="R41" s="38"/>
      <c r="S41" s="38"/>
      <c r="T41" s="39">
        <f t="shared" si="0"/>
        <v>5700000</v>
      </c>
      <c r="U41" s="39">
        <f t="shared" si="2"/>
        <v>5802600</v>
      </c>
      <c r="V41" s="40">
        <f t="shared" si="2"/>
        <v>5907046.8</v>
      </c>
    </row>
    <row r="42" spans="1:22" s="6" customFormat="1" ht="15.75" customHeight="1">
      <c r="A42" s="66"/>
      <c r="B42" s="35" t="s">
        <v>51</v>
      </c>
      <c r="C42" s="46"/>
      <c r="D42" s="44"/>
      <c r="E42" s="53"/>
      <c r="F42" s="53"/>
      <c r="G42" s="53"/>
      <c r="H42" s="53"/>
      <c r="I42" s="52"/>
      <c r="J42" s="53"/>
      <c r="K42" s="53"/>
      <c r="L42" s="53"/>
      <c r="M42" s="53"/>
      <c r="N42" s="56"/>
      <c r="O42" s="44"/>
      <c r="P42" s="29"/>
      <c r="Q42" s="68"/>
      <c r="R42" s="68"/>
      <c r="S42" s="68"/>
      <c r="T42" s="39">
        <f t="shared" si="0"/>
        <v>0</v>
      </c>
      <c r="U42" s="39">
        <f t="shared" si="2"/>
        <v>0</v>
      </c>
      <c r="V42" s="40">
        <f t="shared" si="2"/>
        <v>0</v>
      </c>
    </row>
    <row r="43" spans="1:22" s="6" customFormat="1" ht="15.75" customHeight="1">
      <c r="A43" s="66"/>
      <c r="B43" s="5" t="s">
        <v>52</v>
      </c>
      <c r="C43" s="62"/>
      <c r="D43" s="55"/>
      <c r="E43" s="52">
        <v>2000000</v>
      </c>
      <c r="F43" s="52"/>
      <c r="G43" s="52"/>
      <c r="H43" s="52"/>
      <c r="I43" s="52"/>
      <c r="J43" s="52"/>
      <c r="K43" s="52"/>
      <c r="L43" s="52"/>
      <c r="M43" s="52"/>
      <c r="N43" s="54"/>
      <c r="O43" s="44"/>
      <c r="P43" s="29"/>
      <c r="Q43" s="68"/>
      <c r="R43" s="68"/>
      <c r="S43" s="68"/>
      <c r="T43" s="39">
        <f t="shared" si="0"/>
        <v>2000000</v>
      </c>
      <c r="U43" s="39">
        <f t="shared" si="2"/>
        <v>2036000</v>
      </c>
      <c r="V43" s="40">
        <f t="shared" si="2"/>
        <v>2072648</v>
      </c>
    </row>
    <row r="44" spans="1:22" s="6" customFormat="1" ht="15.75" customHeight="1">
      <c r="A44" s="66"/>
      <c r="B44" s="46" t="s">
        <v>53</v>
      </c>
      <c r="C44" s="46"/>
      <c r="D44" s="70"/>
      <c r="E44" s="52"/>
      <c r="F44" s="52"/>
      <c r="G44" s="52"/>
      <c r="H44" s="52"/>
      <c r="I44" s="52"/>
      <c r="J44" s="52"/>
      <c r="K44" s="52"/>
      <c r="L44" s="52"/>
      <c r="M44" s="52"/>
      <c r="N44" s="54"/>
      <c r="O44" s="44"/>
      <c r="P44" s="29"/>
      <c r="Q44" s="68"/>
      <c r="R44" s="68"/>
      <c r="S44" s="68"/>
      <c r="T44" s="39">
        <v>5000000</v>
      </c>
      <c r="U44" s="39">
        <f t="shared" si="2"/>
        <v>5090000</v>
      </c>
      <c r="V44" s="40">
        <f t="shared" si="2"/>
        <v>5181620</v>
      </c>
    </row>
    <row r="45" spans="1:22" s="6" customFormat="1" ht="15.75" customHeight="1">
      <c r="A45" s="66"/>
      <c r="B45" s="46" t="s">
        <v>54</v>
      </c>
      <c r="C45" s="46"/>
      <c r="D45" s="70"/>
      <c r="E45" s="52"/>
      <c r="F45" s="52"/>
      <c r="G45" s="52"/>
      <c r="H45" s="52"/>
      <c r="I45" s="52"/>
      <c r="J45" s="52"/>
      <c r="K45" s="52"/>
      <c r="L45" s="52"/>
      <c r="M45" s="52"/>
      <c r="N45" s="54"/>
      <c r="O45" s="44"/>
      <c r="P45" s="29"/>
      <c r="Q45" s="68"/>
      <c r="R45" s="68"/>
      <c r="S45" s="68"/>
      <c r="T45" s="39">
        <f t="shared" si="0"/>
        <v>0</v>
      </c>
      <c r="U45" s="39">
        <f t="shared" si="2"/>
        <v>0</v>
      </c>
      <c r="V45" s="40">
        <f t="shared" si="2"/>
        <v>0</v>
      </c>
    </row>
    <row r="46" spans="1:22" s="6" customFormat="1" ht="15.75" customHeight="1">
      <c r="A46" s="66"/>
      <c r="B46" s="62" t="s">
        <v>55</v>
      </c>
      <c r="C46" s="62"/>
      <c r="D46" s="63"/>
      <c r="E46" s="52"/>
      <c r="F46" s="52"/>
      <c r="G46" s="52"/>
      <c r="H46" s="52"/>
      <c r="I46" s="52"/>
      <c r="J46" s="52"/>
      <c r="K46" s="52"/>
      <c r="L46" s="52"/>
      <c r="M46" s="52"/>
      <c r="N46" s="54"/>
      <c r="O46" s="44"/>
      <c r="P46" s="29"/>
      <c r="Q46" s="68"/>
      <c r="R46" s="68"/>
      <c r="S46" s="68"/>
      <c r="T46" s="39">
        <f t="shared" si="0"/>
        <v>0</v>
      </c>
      <c r="U46" s="39">
        <f aca="true" t="shared" si="3" ref="U46:V54">T46*1.8/100+T46</f>
        <v>0</v>
      </c>
      <c r="V46" s="40">
        <f t="shared" si="3"/>
        <v>0</v>
      </c>
    </row>
    <row r="47" spans="1:22" s="6" customFormat="1" ht="15.75" customHeight="1">
      <c r="A47" s="66"/>
      <c r="B47" s="46" t="s">
        <v>56</v>
      </c>
      <c r="C47" s="46"/>
      <c r="D47" s="70"/>
      <c r="E47" s="52"/>
      <c r="F47" s="52"/>
      <c r="G47" s="52"/>
      <c r="H47" s="52"/>
      <c r="I47" s="52"/>
      <c r="J47" s="52"/>
      <c r="K47" s="52"/>
      <c r="L47" s="52"/>
      <c r="M47" s="52"/>
      <c r="N47" s="54"/>
      <c r="O47" s="55"/>
      <c r="P47" s="37"/>
      <c r="Q47" s="38"/>
      <c r="R47" s="38"/>
      <c r="S47" s="38"/>
      <c r="T47" s="39">
        <v>0</v>
      </c>
      <c r="U47" s="39">
        <f t="shared" si="3"/>
        <v>0</v>
      </c>
      <c r="V47" s="40">
        <f t="shared" si="3"/>
        <v>0</v>
      </c>
    </row>
    <row r="48" spans="1:22" s="6" customFormat="1" ht="15.75" customHeight="1">
      <c r="A48" s="66"/>
      <c r="B48" s="46" t="s">
        <v>57</v>
      </c>
      <c r="C48" s="46"/>
      <c r="D48" s="44"/>
      <c r="E48" s="53"/>
      <c r="F48" s="53"/>
      <c r="G48" s="53"/>
      <c r="H48" s="53"/>
      <c r="I48" s="53"/>
      <c r="J48" s="53">
        <v>0</v>
      </c>
      <c r="K48" s="53"/>
      <c r="L48" s="53"/>
      <c r="M48" s="53"/>
      <c r="N48" s="56"/>
      <c r="O48" s="44"/>
      <c r="P48" s="29"/>
      <c r="Q48" s="68"/>
      <c r="R48" s="68"/>
      <c r="S48" s="68"/>
      <c r="T48" s="71">
        <v>89000000</v>
      </c>
      <c r="U48" s="39">
        <f t="shared" si="3"/>
        <v>90602000</v>
      </c>
      <c r="V48" s="40">
        <f t="shared" si="3"/>
        <v>92232836</v>
      </c>
    </row>
    <row r="49" spans="1:22" s="6" customFormat="1" ht="15.75" customHeight="1">
      <c r="A49" s="66"/>
      <c r="B49" s="46" t="s">
        <v>58</v>
      </c>
      <c r="C49" s="46"/>
      <c r="D49" s="44"/>
      <c r="E49" s="52">
        <v>50000000</v>
      </c>
      <c r="F49" s="52"/>
      <c r="G49" s="52"/>
      <c r="H49" s="52"/>
      <c r="I49" s="52"/>
      <c r="J49" s="52"/>
      <c r="K49" s="52"/>
      <c r="L49" s="52"/>
      <c r="M49" s="52"/>
      <c r="N49" s="54"/>
      <c r="O49" s="44"/>
      <c r="P49" s="29"/>
      <c r="Q49" s="68"/>
      <c r="R49" s="68"/>
      <c r="S49" s="68"/>
      <c r="T49" s="71">
        <f>SUM(E49:S49)</f>
        <v>50000000</v>
      </c>
      <c r="U49" s="39">
        <f t="shared" si="3"/>
        <v>50900000</v>
      </c>
      <c r="V49" s="40">
        <f t="shared" si="3"/>
        <v>51816200</v>
      </c>
    </row>
    <row r="50" spans="1:22" s="6" customFormat="1" ht="15.75" customHeight="1">
      <c r="A50" s="66"/>
      <c r="B50" s="35" t="s">
        <v>60</v>
      </c>
      <c r="C50" s="46"/>
      <c r="D50" s="44"/>
      <c r="E50" s="37"/>
      <c r="F50" s="37"/>
      <c r="G50" s="37"/>
      <c r="H50" s="37"/>
      <c r="I50" s="37"/>
      <c r="J50" s="37"/>
      <c r="K50" s="37"/>
      <c r="L50" s="37"/>
      <c r="M50" s="37"/>
      <c r="N50" s="37">
        <v>275000000</v>
      </c>
      <c r="O50" s="44"/>
      <c r="P50" s="29"/>
      <c r="Q50" s="68"/>
      <c r="R50" s="68"/>
      <c r="S50" s="68"/>
      <c r="T50" s="71">
        <v>317000000</v>
      </c>
      <c r="U50" s="39">
        <f t="shared" si="3"/>
        <v>322706000</v>
      </c>
      <c r="V50" s="40">
        <f t="shared" si="3"/>
        <v>328514708</v>
      </c>
    </row>
    <row r="51" spans="1:22" s="6" customFormat="1" ht="15.75" customHeight="1">
      <c r="A51" s="66"/>
      <c r="B51" s="35" t="s">
        <v>61</v>
      </c>
      <c r="C51" s="46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68"/>
      <c r="P51" s="37"/>
      <c r="Q51" s="37"/>
      <c r="R51" s="37"/>
      <c r="S51" s="37">
        <f>126629500-3834500</f>
        <v>122795000</v>
      </c>
      <c r="T51" s="71">
        <f>SUM(E51:S51)</f>
        <v>122795000</v>
      </c>
      <c r="U51" s="39">
        <f t="shared" si="3"/>
        <v>125005310</v>
      </c>
      <c r="V51" s="40">
        <f t="shared" si="3"/>
        <v>127255405.58</v>
      </c>
    </row>
    <row r="52" spans="1:22" s="6" customFormat="1" ht="15.75" customHeight="1">
      <c r="A52" s="66"/>
      <c r="B52" s="35" t="s">
        <v>62</v>
      </c>
      <c r="C52" s="46"/>
      <c r="D52" s="44"/>
      <c r="E52" s="37"/>
      <c r="F52" s="63"/>
      <c r="G52" s="52"/>
      <c r="H52" s="52"/>
      <c r="I52" s="52"/>
      <c r="J52" s="52"/>
      <c r="K52" s="52"/>
      <c r="L52" s="52"/>
      <c r="M52" s="52"/>
      <c r="N52" s="54"/>
      <c r="O52" s="44"/>
      <c r="P52" s="29"/>
      <c r="Q52" s="68"/>
      <c r="R52" s="68">
        <v>160000000</v>
      </c>
      <c r="S52" s="68"/>
      <c r="T52" s="71">
        <v>163000000</v>
      </c>
      <c r="U52" s="39">
        <f t="shared" si="3"/>
        <v>165934000</v>
      </c>
      <c r="V52" s="40">
        <f t="shared" si="3"/>
        <v>168920812</v>
      </c>
    </row>
    <row r="53" spans="1:22" s="6" customFormat="1" ht="15.75" customHeight="1">
      <c r="A53" s="66"/>
      <c r="B53" s="35" t="s">
        <v>63</v>
      </c>
      <c r="C53" s="46"/>
      <c r="D53" s="44"/>
      <c r="E53" s="37"/>
      <c r="F53" s="63">
        <v>20000000</v>
      </c>
      <c r="G53" s="52"/>
      <c r="H53" s="52"/>
      <c r="I53" s="52"/>
      <c r="J53" s="52"/>
      <c r="K53" s="52"/>
      <c r="L53" s="52"/>
      <c r="M53" s="52"/>
      <c r="N53" s="54"/>
      <c r="O53" s="44"/>
      <c r="P53" s="29"/>
      <c r="Q53" s="68"/>
      <c r="R53" s="68"/>
      <c r="S53" s="68"/>
      <c r="T53" s="71">
        <v>31000000</v>
      </c>
      <c r="U53" s="39">
        <v>0</v>
      </c>
      <c r="V53" s="40">
        <v>0</v>
      </c>
    </row>
    <row r="54" spans="1:22" s="6" customFormat="1" ht="15.75" customHeight="1">
      <c r="A54" s="66"/>
      <c r="B54" s="35" t="s">
        <v>64</v>
      </c>
      <c r="C54" s="46"/>
      <c r="D54" s="44"/>
      <c r="E54" s="37"/>
      <c r="F54" s="63"/>
      <c r="G54" s="52"/>
      <c r="H54" s="52"/>
      <c r="I54" s="52"/>
      <c r="J54" s="52"/>
      <c r="K54" s="52"/>
      <c r="L54" s="52"/>
      <c r="M54" s="52"/>
      <c r="N54" s="54"/>
      <c r="O54" s="44"/>
      <c r="P54" s="29"/>
      <c r="Q54" s="68">
        <v>61000000</v>
      </c>
      <c r="R54" s="68"/>
      <c r="S54" s="68"/>
      <c r="T54" s="71">
        <v>63000000</v>
      </c>
      <c r="U54" s="39">
        <f t="shared" si="3"/>
        <v>64134000</v>
      </c>
      <c r="V54" s="40">
        <f t="shared" si="3"/>
        <v>65288412</v>
      </c>
    </row>
    <row r="55" spans="1:22" s="6" customFormat="1" ht="15.75" customHeight="1">
      <c r="A55" s="38"/>
      <c r="B55" s="72" t="s">
        <v>65</v>
      </c>
      <c r="C55" s="72"/>
      <c r="D55" s="43"/>
      <c r="E55" s="73">
        <f aca="true" t="shared" si="4" ref="E55:T55">SUM(E13:E54)</f>
        <v>5783553203.5</v>
      </c>
      <c r="F55" s="73">
        <f t="shared" si="4"/>
        <v>1108049197.8</v>
      </c>
      <c r="G55" s="73">
        <f t="shared" si="4"/>
        <v>341152579.32</v>
      </c>
      <c r="H55" s="73">
        <f t="shared" si="4"/>
        <v>235096000</v>
      </c>
      <c r="I55" s="73">
        <f t="shared" si="4"/>
        <v>1798223927</v>
      </c>
      <c r="J55" s="73">
        <f t="shared" si="4"/>
        <v>2095903169.36</v>
      </c>
      <c r="K55" s="73">
        <f t="shared" si="4"/>
        <v>135563832.4</v>
      </c>
      <c r="L55" s="73">
        <f t="shared" si="4"/>
        <v>43599052.8</v>
      </c>
      <c r="M55" s="73">
        <f t="shared" si="4"/>
        <v>452957768.2</v>
      </c>
      <c r="N55" s="73">
        <f t="shared" si="4"/>
        <v>594038708.2</v>
      </c>
      <c r="O55" s="73">
        <f t="shared" si="4"/>
        <v>251789108.48</v>
      </c>
      <c r="P55" s="73">
        <f t="shared" si="4"/>
        <v>175200000</v>
      </c>
      <c r="Q55" s="73">
        <f t="shared" si="4"/>
        <v>61000000</v>
      </c>
      <c r="R55" s="73">
        <f t="shared" si="4"/>
        <v>160000000</v>
      </c>
      <c r="S55" s="73">
        <f t="shared" si="4"/>
        <v>122795000</v>
      </c>
      <c r="T55" s="74">
        <f t="shared" si="4"/>
        <v>13526763485</v>
      </c>
      <c r="U55" s="74">
        <f>SUM(U13:U54)</f>
        <v>13753581276</v>
      </c>
      <c r="V55" s="74">
        <f>SUM(V13:V54)</f>
        <v>14085819560.237999</v>
      </c>
    </row>
    <row r="56" spans="1:22" ht="12.75">
      <c r="A56" s="75"/>
      <c r="B56" s="76" t="s">
        <v>66</v>
      </c>
      <c r="C56" s="77"/>
      <c r="D56" s="75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78"/>
      <c r="V56" s="78"/>
    </row>
    <row r="57" spans="1:22" ht="12.75">
      <c r="A57" s="75"/>
      <c r="B57" s="76"/>
      <c r="C57" s="77"/>
      <c r="D57" s="75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9"/>
      <c r="U57" s="78"/>
      <c r="V57" s="78"/>
    </row>
    <row r="58" spans="1:22" ht="12.75">
      <c r="A58" s="75"/>
      <c r="B58" s="76"/>
      <c r="C58" s="77"/>
      <c r="D58" s="75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  <c r="U58" s="78"/>
      <c r="V58" s="78"/>
    </row>
    <row r="59" spans="1:22" ht="12.75">
      <c r="A59" s="75"/>
      <c r="B59" s="76"/>
      <c r="C59" s="77"/>
      <c r="D59" s="75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</row>
    <row r="60" spans="1:22" ht="12.75">
      <c r="A60" s="75"/>
      <c r="B60" s="76"/>
      <c r="C60" s="77"/>
      <c r="D60" s="75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9"/>
      <c r="U60" s="78"/>
      <c r="V60" s="78"/>
    </row>
    <row r="61" spans="1:22" ht="46.5" customHeight="1">
      <c r="A61" s="75"/>
      <c r="B61" s="76"/>
      <c r="C61" s="77"/>
      <c r="D61" s="75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9"/>
      <c r="U61" s="78"/>
      <c r="V61" s="78"/>
    </row>
    <row r="62" spans="1:22" ht="46.5" customHeight="1">
      <c r="A62" s="75"/>
      <c r="B62" s="76"/>
      <c r="C62" s="77"/>
      <c r="D62" s="75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9"/>
      <c r="U62" s="78"/>
      <c r="V62" s="78"/>
    </row>
    <row r="63" spans="1:22" ht="46.5" customHeight="1">
      <c r="A63" s="75"/>
      <c r="B63" s="76"/>
      <c r="C63" s="77"/>
      <c r="D63" s="75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9"/>
      <c r="U63" s="78"/>
      <c r="V63" s="78"/>
    </row>
    <row r="64" spans="1:22" ht="67.5" customHeight="1">
      <c r="A64" s="75"/>
      <c r="B64" s="76"/>
      <c r="C64" s="77"/>
      <c r="D64" s="75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9"/>
      <c r="U64" s="78"/>
      <c r="V64" s="78"/>
    </row>
    <row r="65" spans="1:22" s="6" customFormat="1" ht="15.75" customHeight="1">
      <c r="A65" s="80"/>
      <c r="B65" s="81"/>
      <c r="C65" s="82"/>
      <c r="D65" s="80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4"/>
      <c r="U65" s="83"/>
      <c r="V65" s="83"/>
    </row>
    <row r="66" spans="1:22" s="6" customFormat="1" ht="15.75" customHeight="1">
      <c r="A66" s="80"/>
      <c r="B66" s="81"/>
      <c r="C66" s="82"/>
      <c r="D66" s="80"/>
      <c r="E66" s="83"/>
      <c r="F66" s="83"/>
      <c r="G66" s="83"/>
      <c r="H66" s="83"/>
      <c r="I66" s="85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4"/>
      <c r="U66" s="83"/>
      <c r="V66" s="83"/>
    </row>
    <row r="67" spans="1:22" s="6" customFormat="1" ht="15.75" customHeight="1">
      <c r="A67" s="5"/>
      <c r="B67" s="5"/>
      <c r="C67" s="5"/>
      <c r="D67" s="5"/>
      <c r="E67" s="7" t="s">
        <v>3</v>
      </c>
      <c r="F67" s="8" t="s">
        <v>4</v>
      </c>
      <c r="G67" s="9"/>
      <c r="H67" s="8" t="s">
        <v>5</v>
      </c>
      <c r="I67" s="10"/>
      <c r="J67" s="11"/>
      <c r="K67" s="11"/>
      <c r="L67" s="11"/>
      <c r="M67" s="9" t="s">
        <v>6</v>
      </c>
      <c r="N67" s="12" t="s">
        <v>7</v>
      </c>
      <c r="O67" s="9"/>
      <c r="P67" s="9"/>
      <c r="Q67" s="9"/>
      <c r="R67" s="9"/>
      <c r="S67" s="9"/>
      <c r="T67" s="13">
        <v>2000</v>
      </c>
      <c r="U67" s="13">
        <v>2001</v>
      </c>
      <c r="V67" s="13">
        <v>2002</v>
      </c>
    </row>
    <row r="68" spans="1:22" s="6" customFormat="1" ht="15.75" customHeight="1">
      <c r="A68" s="86" t="s">
        <v>67</v>
      </c>
      <c r="B68" s="87" t="s">
        <v>68</v>
      </c>
      <c r="C68" s="88"/>
      <c r="D68" s="89"/>
      <c r="E68" s="90"/>
      <c r="F68" s="90"/>
      <c r="G68" s="90"/>
      <c r="H68" s="90"/>
      <c r="I68" s="91"/>
      <c r="J68" s="91"/>
      <c r="K68" s="91"/>
      <c r="L68" s="91"/>
      <c r="M68" s="91"/>
      <c r="N68" s="80"/>
      <c r="O68" s="92"/>
      <c r="P68" s="92"/>
      <c r="Q68" s="92"/>
      <c r="R68" s="92"/>
      <c r="S68" s="92"/>
      <c r="T68" s="31"/>
      <c r="U68" s="31"/>
      <c r="V68" s="32"/>
    </row>
    <row r="69" spans="1:22" s="6" customFormat="1" ht="15.75" customHeight="1">
      <c r="A69" s="50" t="s">
        <v>69</v>
      </c>
      <c r="B69" s="93"/>
      <c r="C69" s="58"/>
      <c r="D69" s="59"/>
      <c r="E69" s="94"/>
      <c r="F69" s="18"/>
      <c r="G69" s="18"/>
      <c r="H69" s="18"/>
      <c r="I69" s="18"/>
      <c r="J69" s="18"/>
      <c r="K69" s="18"/>
      <c r="L69" s="18"/>
      <c r="M69" s="18"/>
      <c r="N69" s="19"/>
      <c r="O69" s="64"/>
      <c r="P69" s="64"/>
      <c r="Q69" s="64"/>
      <c r="R69" s="64"/>
      <c r="S69" s="64"/>
      <c r="T69" s="24"/>
      <c r="U69" s="31"/>
      <c r="V69" s="32"/>
    </row>
    <row r="70" spans="1:22" s="6" customFormat="1" ht="15.75" customHeight="1">
      <c r="A70" s="66"/>
      <c r="B70" s="35" t="s">
        <v>70</v>
      </c>
      <c r="C70" s="46"/>
      <c r="D70" s="44"/>
      <c r="E70" s="95">
        <v>455000000</v>
      </c>
      <c r="F70" s="95"/>
      <c r="G70" s="29"/>
      <c r="H70" s="95"/>
      <c r="I70" s="95"/>
      <c r="J70" s="95"/>
      <c r="K70" s="95"/>
      <c r="L70" s="95"/>
      <c r="M70" s="95"/>
      <c r="N70" s="29">
        <v>3150000</v>
      </c>
      <c r="O70" s="95"/>
      <c r="P70" s="95"/>
      <c r="Q70" s="95"/>
      <c r="R70" s="95"/>
      <c r="S70" s="95"/>
      <c r="T70" s="69">
        <v>445000000</v>
      </c>
      <c r="U70" s="39">
        <f aca="true" t="shared" si="5" ref="U70:V84">T70*1.8/100+T70</f>
        <v>453010000</v>
      </c>
      <c r="V70" s="40">
        <f t="shared" si="5"/>
        <v>461164180</v>
      </c>
    </row>
    <row r="71" spans="1:22" s="6" customFormat="1" ht="15.75" customHeight="1">
      <c r="A71" s="66"/>
      <c r="B71" s="35" t="s">
        <v>71</v>
      </c>
      <c r="C71" s="46"/>
      <c r="D71" s="44"/>
      <c r="E71" s="53">
        <v>405000000</v>
      </c>
      <c r="F71" s="53"/>
      <c r="G71" s="53">
        <v>3000000</v>
      </c>
      <c r="H71" s="53">
        <v>1000000</v>
      </c>
      <c r="I71" s="53"/>
      <c r="J71" s="53"/>
      <c r="K71" s="53"/>
      <c r="L71" s="53">
        <v>2000000</v>
      </c>
      <c r="M71" s="53"/>
      <c r="N71" s="96"/>
      <c r="O71" s="68"/>
      <c r="P71" s="68"/>
      <c r="Q71" s="68"/>
      <c r="R71" s="68"/>
      <c r="S71" s="68"/>
      <c r="T71" s="71">
        <v>401000000</v>
      </c>
      <c r="U71" s="39">
        <f t="shared" si="5"/>
        <v>408218000</v>
      </c>
      <c r="V71" s="40">
        <f t="shared" si="5"/>
        <v>415565924</v>
      </c>
    </row>
    <row r="72" spans="1:22" s="6" customFormat="1" ht="15.75" customHeight="1">
      <c r="A72" s="66"/>
      <c r="B72" s="35" t="s">
        <v>72</v>
      </c>
      <c r="C72" s="46"/>
      <c r="D72" s="44"/>
      <c r="E72" s="53">
        <v>17000000</v>
      </c>
      <c r="F72" s="53"/>
      <c r="G72" s="53">
        <v>17400000</v>
      </c>
      <c r="H72" s="53"/>
      <c r="I72" s="53"/>
      <c r="J72" s="53"/>
      <c r="K72" s="53"/>
      <c r="L72" s="53"/>
      <c r="M72" s="53"/>
      <c r="N72" s="96"/>
      <c r="O72" s="38"/>
      <c r="P72" s="38"/>
      <c r="Q72" s="38"/>
      <c r="R72" s="38"/>
      <c r="S72" s="38"/>
      <c r="T72" s="39">
        <v>46400000</v>
      </c>
      <c r="U72" s="39">
        <f t="shared" si="5"/>
        <v>47235200</v>
      </c>
      <c r="V72" s="40">
        <f t="shared" si="5"/>
        <v>48085433.6</v>
      </c>
    </row>
    <row r="73" spans="1:22" s="6" customFormat="1" ht="15.75" customHeight="1">
      <c r="A73" s="66"/>
      <c r="B73" s="35" t="s">
        <v>73</v>
      </c>
      <c r="C73" s="46"/>
      <c r="D73" s="44"/>
      <c r="E73" s="47"/>
      <c r="F73" s="70"/>
      <c r="G73" s="53"/>
      <c r="H73" s="53"/>
      <c r="I73" s="53">
        <v>1315000000</v>
      </c>
      <c r="J73" s="97">
        <v>1550000000</v>
      </c>
      <c r="K73" s="53"/>
      <c r="L73" s="53"/>
      <c r="M73" s="53"/>
      <c r="N73" s="96"/>
      <c r="O73" s="38"/>
      <c r="P73" s="38"/>
      <c r="Q73" s="38"/>
      <c r="R73" s="38"/>
      <c r="S73" s="38"/>
      <c r="T73" s="39">
        <f aca="true" t="shared" si="6" ref="T73:T112">SUM(E73:S73)</f>
        <v>2865000000</v>
      </c>
      <c r="U73" s="39">
        <f t="shared" si="5"/>
        <v>2916570000</v>
      </c>
      <c r="V73" s="40">
        <f t="shared" si="5"/>
        <v>2969068260</v>
      </c>
    </row>
    <row r="74" spans="1:22" s="6" customFormat="1" ht="15.75" customHeight="1">
      <c r="A74" s="66"/>
      <c r="B74" s="35" t="s">
        <v>74</v>
      </c>
      <c r="C74" s="46"/>
      <c r="D74" s="44"/>
      <c r="E74" s="47"/>
      <c r="F74" s="70"/>
      <c r="G74" s="53"/>
      <c r="H74" s="53"/>
      <c r="I74" s="53"/>
      <c r="J74" s="53"/>
      <c r="K74" s="53"/>
      <c r="L74" s="53"/>
      <c r="M74" s="53"/>
      <c r="N74" s="96"/>
      <c r="O74" s="38"/>
      <c r="P74" s="38"/>
      <c r="Q74" s="38"/>
      <c r="R74" s="38"/>
      <c r="S74" s="38"/>
      <c r="T74" s="39">
        <f t="shared" si="6"/>
        <v>0</v>
      </c>
      <c r="U74" s="39">
        <f t="shared" si="5"/>
        <v>0</v>
      </c>
      <c r="V74" s="40">
        <f t="shared" si="5"/>
        <v>0</v>
      </c>
    </row>
    <row r="75" spans="1:22" s="6" customFormat="1" ht="15.75" customHeight="1">
      <c r="A75" s="66"/>
      <c r="B75" s="35" t="s">
        <v>75</v>
      </c>
      <c r="C75" s="46"/>
      <c r="D75" s="44"/>
      <c r="E75" s="53">
        <v>15000000</v>
      </c>
      <c r="F75" s="53">
        <v>2000000</v>
      </c>
      <c r="G75" s="53">
        <v>3500000</v>
      </c>
      <c r="H75" s="53">
        <v>2000000</v>
      </c>
      <c r="I75" s="53">
        <v>500000</v>
      </c>
      <c r="J75" s="53">
        <v>500000</v>
      </c>
      <c r="K75" s="53">
        <v>500000</v>
      </c>
      <c r="L75" s="53">
        <v>500000</v>
      </c>
      <c r="M75" s="53">
        <v>6500000</v>
      </c>
      <c r="N75" s="96">
        <v>5500000</v>
      </c>
      <c r="O75" s="38">
        <v>500000</v>
      </c>
      <c r="P75" s="38">
        <v>1500000</v>
      </c>
      <c r="Q75" s="38"/>
      <c r="R75" s="38"/>
      <c r="S75" s="38"/>
      <c r="T75" s="39">
        <v>33500000</v>
      </c>
      <c r="U75" s="39">
        <f t="shared" si="5"/>
        <v>34103000</v>
      </c>
      <c r="V75" s="40">
        <f t="shared" si="5"/>
        <v>34716854</v>
      </c>
    </row>
    <row r="76" spans="1:22" s="6" customFormat="1" ht="15.75" customHeight="1">
      <c r="A76" s="66"/>
      <c r="B76" s="35" t="s">
        <v>76</v>
      </c>
      <c r="C76" s="46"/>
      <c r="D76" s="44"/>
      <c r="E76" s="53">
        <v>66500000</v>
      </c>
      <c r="F76" s="53">
        <v>3000000</v>
      </c>
      <c r="G76" s="53">
        <v>7000000</v>
      </c>
      <c r="H76" s="53">
        <v>1500000</v>
      </c>
      <c r="I76" s="53">
        <v>500000</v>
      </c>
      <c r="J76" s="53">
        <v>500000</v>
      </c>
      <c r="K76" s="53"/>
      <c r="L76" s="53"/>
      <c r="M76" s="53">
        <v>500000</v>
      </c>
      <c r="N76" s="96"/>
      <c r="O76" s="37"/>
      <c r="P76" s="98">
        <v>1000000</v>
      </c>
      <c r="Q76" s="38"/>
      <c r="R76" s="38"/>
      <c r="S76" s="38"/>
      <c r="T76" s="39">
        <v>78000000</v>
      </c>
      <c r="U76" s="39">
        <f t="shared" si="5"/>
        <v>79404000</v>
      </c>
      <c r="V76" s="40">
        <f t="shared" si="5"/>
        <v>80833272</v>
      </c>
    </row>
    <row r="77" spans="1:22" s="6" customFormat="1" ht="15.75" customHeight="1">
      <c r="A77" s="66"/>
      <c r="B77" s="35" t="s">
        <v>77</v>
      </c>
      <c r="C77" s="46"/>
      <c r="D77" s="44"/>
      <c r="E77" s="53">
        <v>7500000</v>
      </c>
      <c r="F77" s="53">
        <v>3150000</v>
      </c>
      <c r="G77" s="53">
        <v>2500000</v>
      </c>
      <c r="H77" s="53">
        <v>500000</v>
      </c>
      <c r="I77" s="53">
        <v>500000</v>
      </c>
      <c r="J77" s="53">
        <v>500000</v>
      </c>
      <c r="K77" s="53">
        <v>1000000</v>
      </c>
      <c r="L77" s="53">
        <v>500000</v>
      </c>
      <c r="M77" s="53">
        <v>1500000</v>
      </c>
      <c r="N77" s="96">
        <v>4000000</v>
      </c>
      <c r="O77" s="38">
        <v>500000</v>
      </c>
      <c r="P77" s="38">
        <v>500000</v>
      </c>
      <c r="Q77" s="38"/>
      <c r="R77" s="38"/>
      <c r="S77" s="38"/>
      <c r="T77" s="39">
        <v>16000000</v>
      </c>
      <c r="U77" s="39">
        <f t="shared" si="5"/>
        <v>16288000</v>
      </c>
      <c r="V77" s="40">
        <f t="shared" si="5"/>
        <v>16581184</v>
      </c>
    </row>
    <row r="78" spans="1:22" s="6" customFormat="1" ht="15.75" customHeight="1">
      <c r="A78" s="66"/>
      <c r="B78" s="35" t="s">
        <v>78</v>
      </c>
      <c r="C78" s="46"/>
      <c r="D78" s="44"/>
      <c r="E78" s="53"/>
      <c r="F78" s="53"/>
      <c r="G78" s="53"/>
      <c r="H78" s="53"/>
      <c r="I78" s="53"/>
      <c r="J78" s="53"/>
      <c r="K78" s="53"/>
      <c r="L78" s="53"/>
      <c r="M78" s="53"/>
      <c r="N78" s="96"/>
      <c r="O78" s="38"/>
      <c r="P78" s="38"/>
      <c r="Q78" s="38"/>
      <c r="R78" s="38"/>
      <c r="S78" s="38">
        <v>40000000</v>
      </c>
      <c r="T78" s="39">
        <f t="shared" si="6"/>
        <v>40000000</v>
      </c>
      <c r="U78" s="39">
        <f t="shared" si="5"/>
        <v>40720000</v>
      </c>
      <c r="V78" s="40">
        <f t="shared" si="5"/>
        <v>41452960</v>
      </c>
    </row>
    <row r="79" spans="1:22" s="6" customFormat="1" ht="15.75" customHeight="1">
      <c r="A79" s="66"/>
      <c r="B79" s="35" t="s">
        <v>79</v>
      </c>
      <c r="C79" s="46"/>
      <c r="D79" s="44"/>
      <c r="E79" s="53">
        <v>2100000</v>
      </c>
      <c r="F79" s="97">
        <v>11500000</v>
      </c>
      <c r="G79" s="53">
        <v>2100000</v>
      </c>
      <c r="H79" s="53"/>
      <c r="I79" s="53"/>
      <c r="J79" s="53"/>
      <c r="K79" s="53">
        <v>12500000</v>
      </c>
      <c r="L79" s="53">
        <v>1050000</v>
      </c>
      <c r="M79" s="53">
        <v>500000</v>
      </c>
      <c r="N79" s="96"/>
      <c r="O79" s="38"/>
      <c r="P79" s="38"/>
      <c r="Q79" s="38"/>
      <c r="R79" s="38"/>
      <c r="S79" s="38"/>
      <c r="T79" s="39">
        <f t="shared" si="6"/>
        <v>29750000</v>
      </c>
      <c r="U79" s="39">
        <f t="shared" si="5"/>
        <v>30285500</v>
      </c>
      <c r="V79" s="40">
        <f t="shared" si="5"/>
        <v>30830639</v>
      </c>
    </row>
    <row r="80" spans="1:22" s="6" customFormat="1" ht="15.75" customHeight="1">
      <c r="A80" s="66"/>
      <c r="B80" s="35" t="s">
        <v>80</v>
      </c>
      <c r="C80" s="46"/>
      <c r="D80" s="44"/>
      <c r="E80" s="53"/>
      <c r="F80" s="53"/>
      <c r="G80" s="53"/>
      <c r="H80" s="53"/>
      <c r="I80" s="53"/>
      <c r="J80" s="53"/>
      <c r="K80" s="53"/>
      <c r="L80" s="53"/>
      <c r="M80" s="53"/>
      <c r="N80" s="96"/>
      <c r="O80" s="38"/>
      <c r="P80" s="38"/>
      <c r="Q80" s="38"/>
      <c r="R80" s="38"/>
      <c r="S80" s="38"/>
      <c r="T80" s="39">
        <f t="shared" si="6"/>
        <v>0</v>
      </c>
      <c r="U80" s="39">
        <f t="shared" si="5"/>
        <v>0</v>
      </c>
      <c r="V80" s="40">
        <f t="shared" si="5"/>
        <v>0</v>
      </c>
    </row>
    <row r="81" spans="1:22" s="6" customFormat="1" ht="15.75" customHeight="1">
      <c r="A81" s="66"/>
      <c r="B81" s="35" t="s">
        <v>81</v>
      </c>
      <c r="C81" s="46"/>
      <c r="D81" s="44"/>
      <c r="E81" s="53">
        <v>210000000</v>
      </c>
      <c r="F81" s="53">
        <v>3000000</v>
      </c>
      <c r="G81" s="53"/>
      <c r="H81" s="53">
        <v>8000000</v>
      </c>
      <c r="I81" s="53"/>
      <c r="J81" s="53"/>
      <c r="K81" s="53"/>
      <c r="L81" s="53"/>
      <c r="M81" s="53">
        <v>8000000</v>
      </c>
      <c r="N81" s="96"/>
      <c r="O81" s="38"/>
      <c r="P81" s="38"/>
      <c r="Q81" s="38"/>
      <c r="R81" s="38"/>
      <c r="S81" s="38"/>
      <c r="T81" s="39">
        <v>231420000</v>
      </c>
      <c r="U81" s="39">
        <f t="shared" si="5"/>
        <v>235585560</v>
      </c>
      <c r="V81" s="40">
        <f t="shared" si="5"/>
        <v>239826100.08</v>
      </c>
    </row>
    <row r="82" spans="1:22" s="6" customFormat="1" ht="15.75" customHeight="1">
      <c r="A82" s="66"/>
      <c r="B82" s="35" t="s">
        <v>82</v>
      </c>
      <c r="C82" s="46"/>
      <c r="D82" s="44"/>
      <c r="E82" s="53"/>
      <c r="F82" s="53"/>
      <c r="G82" s="53"/>
      <c r="H82" s="53"/>
      <c r="I82" s="53"/>
      <c r="J82" s="53"/>
      <c r="K82" s="53"/>
      <c r="L82" s="53"/>
      <c r="M82" s="53"/>
      <c r="N82" s="96"/>
      <c r="O82" s="38"/>
      <c r="P82" s="38"/>
      <c r="Q82" s="38"/>
      <c r="R82" s="38"/>
      <c r="S82" s="38"/>
      <c r="T82" s="39">
        <f t="shared" si="6"/>
        <v>0</v>
      </c>
      <c r="U82" s="39">
        <f t="shared" si="5"/>
        <v>0</v>
      </c>
      <c r="V82" s="40">
        <f t="shared" si="5"/>
        <v>0</v>
      </c>
    </row>
    <row r="83" spans="1:22" s="6" customFormat="1" ht="15.75" customHeight="1">
      <c r="A83" s="66"/>
      <c r="B83" s="35" t="s">
        <v>83</v>
      </c>
      <c r="C83" s="46"/>
      <c r="D83" s="44"/>
      <c r="E83" s="53">
        <v>15000000</v>
      </c>
      <c r="F83" s="53"/>
      <c r="G83" s="53"/>
      <c r="H83" s="53">
        <v>750000</v>
      </c>
      <c r="I83" s="97"/>
      <c r="J83" s="97"/>
      <c r="K83" s="53"/>
      <c r="L83" s="53"/>
      <c r="M83" s="53"/>
      <c r="N83" s="96"/>
      <c r="O83" s="38"/>
      <c r="P83" s="38"/>
      <c r="Q83" s="38"/>
      <c r="R83" s="38"/>
      <c r="S83" s="38"/>
      <c r="T83" s="39">
        <f t="shared" si="6"/>
        <v>15750000</v>
      </c>
      <c r="U83" s="39">
        <f t="shared" si="5"/>
        <v>16033500</v>
      </c>
      <c r="V83" s="40">
        <f t="shared" si="5"/>
        <v>16322103</v>
      </c>
    </row>
    <row r="84" spans="1:22" s="6" customFormat="1" ht="15.75" customHeight="1">
      <c r="A84" s="66"/>
      <c r="B84" s="61" t="s">
        <v>84</v>
      </c>
      <c r="C84" s="62"/>
      <c r="D84" s="43"/>
      <c r="E84" s="43">
        <v>600000</v>
      </c>
      <c r="F84" s="37">
        <v>400000</v>
      </c>
      <c r="G84" s="37">
        <v>300000</v>
      </c>
      <c r="H84" s="37">
        <v>100000</v>
      </c>
      <c r="I84" s="37">
        <v>100000</v>
      </c>
      <c r="J84" s="37">
        <v>100000</v>
      </c>
      <c r="K84" s="37">
        <v>500000</v>
      </c>
      <c r="L84" s="37"/>
      <c r="M84" s="37">
        <v>500000</v>
      </c>
      <c r="N84" s="37">
        <v>600000</v>
      </c>
      <c r="O84" s="37">
        <v>100000</v>
      </c>
      <c r="P84" s="37">
        <v>100000</v>
      </c>
      <c r="Q84" s="38">
        <v>500000</v>
      </c>
      <c r="R84" s="38">
        <v>500000</v>
      </c>
      <c r="S84" s="38"/>
      <c r="T84" s="40">
        <v>0</v>
      </c>
      <c r="U84" s="39">
        <f t="shared" si="5"/>
        <v>0</v>
      </c>
      <c r="V84" s="40">
        <f t="shared" si="5"/>
        <v>0</v>
      </c>
    </row>
    <row r="85" spans="1:22" s="6" customFormat="1" ht="15.75" customHeight="1">
      <c r="A85" s="50"/>
      <c r="B85" s="93"/>
      <c r="C85" s="58"/>
      <c r="D85" s="59"/>
      <c r="E85" s="18"/>
      <c r="F85" s="18"/>
      <c r="G85" s="18"/>
      <c r="H85" s="18"/>
      <c r="I85" s="18"/>
      <c r="J85" s="18"/>
      <c r="K85" s="18"/>
      <c r="L85" s="18"/>
      <c r="M85" s="18"/>
      <c r="N85" s="19"/>
      <c r="O85" s="19"/>
      <c r="P85" s="19"/>
      <c r="Q85" s="19"/>
      <c r="R85" s="19"/>
      <c r="S85" s="19"/>
      <c r="T85" s="99"/>
      <c r="U85" s="100"/>
      <c r="V85" s="99"/>
    </row>
    <row r="86" spans="1:22" s="6" customFormat="1" ht="15.75" customHeight="1">
      <c r="A86" s="50" t="s">
        <v>85</v>
      </c>
      <c r="B86" s="93"/>
      <c r="C86" s="58"/>
      <c r="D86" s="59"/>
      <c r="E86" s="18"/>
      <c r="F86" s="18"/>
      <c r="G86" s="18"/>
      <c r="H86" s="18"/>
      <c r="I86" s="18"/>
      <c r="J86" s="18"/>
      <c r="K86" s="18"/>
      <c r="L86" s="18"/>
      <c r="M86" s="18"/>
      <c r="N86" s="19"/>
      <c r="O86" s="19"/>
      <c r="P86" s="19"/>
      <c r="Q86" s="19"/>
      <c r="R86" s="19"/>
      <c r="S86" s="19"/>
      <c r="T86" s="71"/>
      <c r="U86" s="71"/>
      <c r="V86" s="69"/>
    </row>
    <row r="87" spans="1:22" s="6" customFormat="1" ht="15.75" customHeight="1">
      <c r="A87" s="66"/>
      <c r="B87" s="61" t="s">
        <v>86</v>
      </c>
      <c r="C87" s="62"/>
      <c r="D87" s="55"/>
      <c r="E87" s="52">
        <v>3000000</v>
      </c>
      <c r="F87" s="52"/>
      <c r="G87" s="52">
        <v>7000000</v>
      </c>
      <c r="H87" s="52"/>
      <c r="I87" s="101"/>
      <c r="J87" s="47"/>
      <c r="K87" s="63"/>
      <c r="L87" s="52"/>
      <c r="M87" s="52">
        <v>500000</v>
      </c>
      <c r="N87" s="101"/>
      <c r="O87" s="38"/>
      <c r="P87" s="38"/>
      <c r="Q87" s="38"/>
      <c r="R87" s="38"/>
      <c r="S87" s="38"/>
      <c r="T87" s="39">
        <v>6500000</v>
      </c>
      <c r="U87" s="39">
        <f aca="true" t="shared" si="7" ref="U87:V102">T87*1.8/100+T87</f>
        <v>6617000</v>
      </c>
      <c r="V87" s="40">
        <f t="shared" si="7"/>
        <v>6736106</v>
      </c>
    </row>
    <row r="88" spans="1:22" s="6" customFormat="1" ht="15.75" customHeight="1">
      <c r="A88" s="66"/>
      <c r="B88" s="35" t="s">
        <v>87</v>
      </c>
      <c r="C88" s="46"/>
      <c r="D88" s="44"/>
      <c r="E88" s="53">
        <v>35000000</v>
      </c>
      <c r="F88" s="53">
        <v>500000</v>
      </c>
      <c r="G88" s="53">
        <v>2750000</v>
      </c>
      <c r="H88" s="53">
        <v>4500000</v>
      </c>
      <c r="I88" s="53">
        <v>3885000</v>
      </c>
      <c r="J88" s="52">
        <v>3000000</v>
      </c>
      <c r="K88" s="53"/>
      <c r="L88" s="53"/>
      <c r="M88" s="53">
        <v>4000000</v>
      </c>
      <c r="N88" s="96">
        <v>9000000</v>
      </c>
      <c r="O88" s="38"/>
      <c r="P88" s="38">
        <v>2900000</v>
      </c>
      <c r="Q88" s="38"/>
      <c r="R88" s="38"/>
      <c r="S88" s="38"/>
      <c r="T88" s="39">
        <v>65535000</v>
      </c>
      <c r="U88" s="39">
        <f t="shared" si="7"/>
        <v>66714630</v>
      </c>
      <c r="V88" s="40">
        <f t="shared" si="7"/>
        <v>67915493.34</v>
      </c>
    </row>
    <row r="89" spans="1:22" s="6" customFormat="1" ht="15.75" customHeight="1">
      <c r="A89" s="66"/>
      <c r="B89" s="35" t="s">
        <v>88</v>
      </c>
      <c r="C89" s="46"/>
      <c r="D89" s="44"/>
      <c r="E89" s="97">
        <v>86000000</v>
      </c>
      <c r="F89" s="53"/>
      <c r="G89" s="53">
        <v>9714000</v>
      </c>
      <c r="H89" s="53">
        <v>3000000</v>
      </c>
      <c r="I89" s="53">
        <v>2650000</v>
      </c>
      <c r="J89" s="53">
        <v>400000</v>
      </c>
      <c r="K89" s="53"/>
      <c r="L89" s="53"/>
      <c r="M89" s="53">
        <v>4925000</v>
      </c>
      <c r="N89" s="96">
        <v>500000</v>
      </c>
      <c r="O89" s="37"/>
      <c r="P89" s="38">
        <v>3555000</v>
      </c>
      <c r="Q89" s="38"/>
      <c r="R89" s="38"/>
      <c r="S89" s="38"/>
      <c r="T89" s="39">
        <f t="shared" si="6"/>
        <v>110744000</v>
      </c>
      <c r="U89" s="39">
        <f t="shared" si="7"/>
        <v>112737392</v>
      </c>
      <c r="V89" s="40">
        <f t="shared" si="7"/>
        <v>114766665.056</v>
      </c>
    </row>
    <row r="90" spans="1:22" s="6" customFormat="1" ht="15.75" customHeight="1">
      <c r="A90" s="66"/>
      <c r="B90" s="35" t="s">
        <v>89</v>
      </c>
      <c r="C90" s="46"/>
      <c r="D90" s="44"/>
      <c r="E90" s="97"/>
      <c r="F90" s="53"/>
      <c r="G90" s="53"/>
      <c r="H90" s="53"/>
      <c r="I90" s="53"/>
      <c r="J90" s="53"/>
      <c r="K90" s="53"/>
      <c r="L90" s="53"/>
      <c r="M90" s="53"/>
      <c r="N90" s="96">
        <v>4500000</v>
      </c>
      <c r="O90" s="29"/>
      <c r="P90" s="38"/>
      <c r="Q90" s="38"/>
      <c r="R90" s="38"/>
      <c r="S90" s="38"/>
      <c r="T90" s="39">
        <f t="shared" si="6"/>
        <v>4500000</v>
      </c>
      <c r="U90" s="39">
        <f t="shared" si="7"/>
        <v>4581000</v>
      </c>
      <c r="V90" s="40">
        <f t="shared" si="7"/>
        <v>4663458</v>
      </c>
    </row>
    <row r="91" spans="1:22" s="6" customFormat="1" ht="15.75" customHeight="1">
      <c r="A91" s="66"/>
      <c r="B91" s="35" t="s">
        <v>90</v>
      </c>
      <c r="C91" s="46"/>
      <c r="D91" s="44"/>
      <c r="E91" s="97">
        <v>200000</v>
      </c>
      <c r="F91" s="53">
        <v>200000</v>
      </c>
      <c r="G91" s="53">
        <v>200000</v>
      </c>
      <c r="H91" s="53">
        <v>200000</v>
      </c>
      <c r="I91" s="53">
        <v>200000</v>
      </c>
      <c r="J91" s="53">
        <v>200000</v>
      </c>
      <c r="K91" s="53">
        <v>200000</v>
      </c>
      <c r="L91" s="53">
        <v>200000</v>
      </c>
      <c r="M91" s="53">
        <v>200000</v>
      </c>
      <c r="N91" s="96">
        <v>200000</v>
      </c>
      <c r="O91" s="29">
        <v>200000</v>
      </c>
      <c r="P91" s="38">
        <v>200000</v>
      </c>
      <c r="Q91" s="38"/>
      <c r="R91" s="38"/>
      <c r="S91" s="38"/>
      <c r="T91" s="39">
        <v>0</v>
      </c>
      <c r="U91" s="39">
        <f t="shared" si="7"/>
        <v>0</v>
      </c>
      <c r="V91" s="40">
        <f t="shared" si="7"/>
        <v>0</v>
      </c>
    </row>
    <row r="92" spans="1:22" s="6" customFormat="1" ht="15.75" customHeight="1">
      <c r="A92" s="66"/>
      <c r="B92" s="61" t="s">
        <v>91</v>
      </c>
      <c r="C92" s="62"/>
      <c r="D92" s="55"/>
      <c r="E92" s="52">
        <v>88000000</v>
      </c>
      <c r="F92" s="102"/>
      <c r="G92" s="52">
        <v>4200000</v>
      </c>
      <c r="H92" s="53">
        <v>5000000</v>
      </c>
      <c r="I92" s="52">
        <v>1000000</v>
      </c>
      <c r="J92" s="52">
        <v>1000000</v>
      </c>
      <c r="K92" s="52"/>
      <c r="L92" s="52"/>
      <c r="M92" s="103">
        <v>40000000</v>
      </c>
      <c r="N92" s="101">
        <v>30000000</v>
      </c>
      <c r="O92" s="37"/>
      <c r="P92" s="38">
        <v>27000000</v>
      </c>
      <c r="Q92" s="38"/>
      <c r="R92" s="38"/>
      <c r="S92" s="38"/>
      <c r="T92" s="39">
        <v>156700000</v>
      </c>
      <c r="U92" s="39">
        <v>171520600</v>
      </c>
      <c r="V92" s="40">
        <v>236903287</v>
      </c>
    </row>
    <row r="93" spans="1:22" s="6" customFormat="1" ht="15.75" customHeight="1">
      <c r="A93" s="66"/>
      <c r="B93" s="35" t="s">
        <v>92</v>
      </c>
      <c r="C93" s="46"/>
      <c r="D93" s="44"/>
      <c r="E93" s="97">
        <v>25000000</v>
      </c>
      <c r="F93" s="53">
        <v>500000</v>
      </c>
      <c r="G93" s="53">
        <v>800000</v>
      </c>
      <c r="H93" s="53">
        <v>1800000</v>
      </c>
      <c r="I93" s="53">
        <v>350000</v>
      </c>
      <c r="J93" s="97">
        <v>1000000</v>
      </c>
      <c r="K93" s="53"/>
      <c r="L93" s="53"/>
      <c r="M93" s="53">
        <v>1000000</v>
      </c>
      <c r="N93" s="96">
        <v>500000</v>
      </c>
      <c r="O93" s="29"/>
      <c r="P93" s="38">
        <v>800000</v>
      </c>
      <c r="Q93" s="38"/>
      <c r="R93" s="38"/>
      <c r="S93" s="38"/>
      <c r="T93" s="39">
        <f t="shared" si="6"/>
        <v>31750000</v>
      </c>
      <c r="U93" s="39">
        <f t="shared" si="7"/>
        <v>32321500</v>
      </c>
      <c r="V93" s="40">
        <f t="shared" si="7"/>
        <v>32903287</v>
      </c>
    </row>
    <row r="94" spans="1:22" s="6" customFormat="1" ht="15.75" customHeight="1">
      <c r="A94" s="66"/>
      <c r="B94" s="35" t="s">
        <v>93</v>
      </c>
      <c r="C94" s="46"/>
      <c r="D94" s="44"/>
      <c r="E94" s="97">
        <f>32744250+3000000</f>
        <v>35744250</v>
      </c>
      <c r="F94" s="53">
        <v>4851000</v>
      </c>
      <c r="G94" s="53">
        <v>2182950</v>
      </c>
      <c r="H94" s="53">
        <v>2129400</v>
      </c>
      <c r="I94" s="53">
        <v>10914750</v>
      </c>
      <c r="J94" s="53">
        <v>14553000</v>
      </c>
      <c r="K94" s="53">
        <v>727650</v>
      </c>
      <c r="L94" s="53">
        <v>693000</v>
      </c>
      <c r="M94" s="53">
        <v>2079000</v>
      </c>
      <c r="N94" s="96">
        <v>1000000</v>
      </c>
      <c r="O94" s="96">
        <v>1000000</v>
      </c>
      <c r="P94" s="96">
        <v>1000000</v>
      </c>
      <c r="Q94" s="96"/>
      <c r="R94" s="96"/>
      <c r="S94" s="96"/>
      <c r="T94" s="39">
        <v>76874600</v>
      </c>
      <c r="U94" s="39">
        <f t="shared" si="7"/>
        <v>78258342.8</v>
      </c>
      <c r="V94" s="40">
        <f t="shared" si="7"/>
        <v>79666992.97039999</v>
      </c>
    </row>
    <row r="95" spans="1:22" s="6" customFormat="1" ht="15.75" customHeight="1">
      <c r="A95" s="66"/>
      <c r="B95" s="35" t="s">
        <v>94</v>
      </c>
      <c r="C95" s="46"/>
      <c r="D95" s="104"/>
      <c r="E95" s="53">
        <f>25573000-2200000</f>
        <v>23373000</v>
      </c>
      <c r="F95" s="53">
        <v>4350000</v>
      </c>
      <c r="G95" s="53">
        <v>1750000</v>
      </c>
      <c r="H95" s="53">
        <v>1975000</v>
      </c>
      <c r="I95" s="53">
        <f>8134000-3000000</f>
        <v>5134000</v>
      </c>
      <c r="J95" s="53">
        <f>11900000-3000000</f>
        <v>8900000</v>
      </c>
      <c r="K95" s="53">
        <v>592000</v>
      </c>
      <c r="L95" s="53">
        <v>590000</v>
      </c>
      <c r="M95" s="53">
        <v>1584000</v>
      </c>
      <c r="N95" s="53">
        <v>592000</v>
      </c>
      <c r="O95" s="53">
        <v>592000</v>
      </c>
      <c r="P95" s="53">
        <v>592000</v>
      </c>
      <c r="Q95" s="53"/>
      <c r="R95" s="53"/>
      <c r="S95" s="53"/>
      <c r="T95" s="39">
        <f t="shared" si="6"/>
        <v>50024000</v>
      </c>
      <c r="U95" s="39">
        <f t="shared" si="7"/>
        <v>50924432</v>
      </c>
      <c r="V95" s="40">
        <f t="shared" si="7"/>
        <v>51841071.776</v>
      </c>
    </row>
    <row r="96" spans="1:22" s="6" customFormat="1" ht="15.75" customHeight="1">
      <c r="A96" s="66"/>
      <c r="B96" s="35" t="s">
        <v>95</v>
      </c>
      <c r="C96" s="46"/>
      <c r="D96" s="44"/>
      <c r="E96" s="53">
        <v>55000000</v>
      </c>
      <c r="F96" s="53">
        <v>2000000</v>
      </c>
      <c r="G96" s="53"/>
      <c r="H96" s="53"/>
      <c r="I96" s="53">
        <v>1500000</v>
      </c>
      <c r="J96" s="53">
        <v>1000000</v>
      </c>
      <c r="K96" s="53"/>
      <c r="L96" s="53"/>
      <c r="M96" s="53"/>
      <c r="N96" s="53"/>
      <c r="O96" s="53">
        <v>500000</v>
      </c>
      <c r="P96" s="53"/>
      <c r="Q96" s="53"/>
      <c r="R96" s="53"/>
      <c r="S96" s="53"/>
      <c r="T96" s="39">
        <f t="shared" si="6"/>
        <v>60000000</v>
      </c>
      <c r="U96" s="39">
        <f t="shared" si="7"/>
        <v>61080000</v>
      </c>
      <c r="V96" s="40">
        <f t="shared" si="7"/>
        <v>62179440</v>
      </c>
    </row>
    <row r="97" spans="1:22" s="6" customFormat="1" ht="15.75" customHeight="1">
      <c r="A97" s="66"/>
      <c r="B97" s="35" t="s">
        <v>96</v>
      </c>
      <c r="C97" s="46"/>
      <c r="D97" s="44"/>
      <c r="E97" s="105">
        <f>48800000+6600000+2200000</f>
        <v>57600000</v>
      </c>
      <c r="F97" s="105">
        <v>2200000</v>
      </c>
      <c r="G97" s="105">
        <v>2200000</v>
      </c>
      <c r="H97" s="105">
        <v>2200000</v>
      </c>
      <c r="I97" s="106">
        <f>11350033-5000000</f>
        <v>6350033</v>
      </c>
      <c r="J97" s="107">
        <f>12430524-7000000</f>
        <v>5430524</v>
      </c>
      <c r="K97" s="53">
        <v>2200000</v>
      </c>
      <c r="L97" s="53"/>
      <c r="M97" s="53">
        <v>2200000</v>
      </c>
      <c r="N97" s="53">
        <v>2200000</v>
      </c>
      <c r="O97" s="53">
        <v>2200000</v>
      </c>
      <c r="P97" s="53">
        <v>2200000</v>
      </c>
      <c r="Q97" s="53"/>
      <c r="R97" s="53"/>
      <c r="S97" s="53"/>
      <c r="T97" s="39">
        <f t="shared" si="6"/>
        <v>86980557</v>
      </c>
      <c r="U97" s="39">
        <f t="shared" si="7"/>
        <v>88546207.026</v>
      </c>
      <c r="V97" s="40">
        <f t="shared" si="7"/>
        <v>90140038.75246799</v>
      </c>
    </row>
    <row r="98" spans="1:22" s="6" customFormat="1" ht="15.75" customHeight="1">
      <c r="A98" s="66"/>
      <c r="B98" s="35" t="s">
        <v>97</v>
      </c>
      <c r="C98" s="46"/>
      <c r="D98" s="44"/>
      <c r="E98" s="53">
        <f>(47250000-5000000)-1500000</f>
        <v>40750000</v>
      </c>
      <c r="F98" s="53"/>
      <c r="G98" s="53">
        <v>5000000</v>
      </c>
      <c r="H98" s="53"/>
      <c r="I98" s="53"/>
      <c r="J98" s="53"/>
      <c r="K98" s="53"/>
      <c r="L98" s="53"/>
      <c r="M98" s="53"/>
      <c r="N98" s="96"/>
      <c r="O98" s="29"/>
      <c r="P98" s="38">
        <v>1500000</v>
      </c>
      <c r="Q98" s="38"/>
      <c r="R98" s="38"/>
      <c r="S98" s="38"/>
      <c r="T98" s="39">
        <f t="shared" si="6"/>
        <v>47250000</v>
      </c>
      <c r="U98" s="39">
        <f t="shared" si="7"/>
        <v>48100500</v>
      </c>
      <c r="V98" s="40">
        <f t="shared" si="7"/>
        <v>48966309</v>
      </c>
    </row>
    <row r="99" spans="1:22" s="6" customFormat="1" ht="15.75" customHeight="1">
      <c r="A99" s="66"/>
      <c r="B99" s="35" t="s">
        <v>98</v>
      </c>
      <c r="C99" s="46"/>
      <c r="D99" s="44"/>
      <c r="E99" s="53">
        <v>80000000</v>
      </c>
      <c r="F99" s="53"/>
      <c r="G99" s="53">
        <v>14000000</v>
      </c>
      <c r="H99" s="53">
        <v>5500000</v>
      </c>
      <c r="I99" s="53"/>
      <c r="J99" s="53"/>
      <c r="K99" s="53"/>
      <c r="L99" s="53"/>
      <c r="M99" s="53"/>
      <c r="N99" s="96"/>
      <c r="O99" s="29"/>
      <c r="P99" s="38">
        <v>5000000</v>
      </c>
      <c r="Q99" s="38"/>
      <c r="R99" s="38"/>
      <c r="S99" s="38"/>
      <c r="T99" s="39">
        <f t="shared" si="6"/>
        <v>104500000</v>
      </c>
      <c r="U99" s="39">
        <f t="shared" si="7"/>
        <v>106381000</v>
      </c>
      <c r="V99" s="40">
        <f t="shared" si="7"/>
        <v>108295858</v>
      </c>
    </row>
    <row r="100" spans="1:22" s="6" customFormat="1" ht="15.75" customHeight="1">
      <c r="A100" s="66"/>
      <c r="B100" s="35" t="s">
        <v>99</v>
      </c>
      <c r="C100" s="46"/>
      <c r="D100" s="44"/>
      <c r="E100" s="53">
        <v>40000000</v>
      </c>
      <c r="F100" s="53"/>
      <c r="G100" s="53">
        <v>2500000</v>
      </c>
      <c r="H100" s="53"/>
      <c r="I100" s="53"/>
      <c r="J100" s="53"/>
      <c r="K100" s="53"/>
      <c r="L100" s="53"/>
      <c r="M100" s="53"/>
      <c r="N100" s="96"/>
      <c r="O100" s="29"/>
      <c r="P100" s="38">
        <v>5500000</v>
      </c>
      <c r="Q100" s="38"/>
      <c r="R100" s="38"/>
      <c r="S100" s="38"/>
      <c r="T100" s="39">
        <f t="shared" si="6"/>
        <v>48000000</v>
      </c>
      <c r="U100" s="39">
        <f t="shared" si="7"/>
        <v>48864000</v>
      </c>
      <c r="V100" s="40">
        <f t="shared" si="7"/>
        <v>49743552</v>
      </c>
    </row>
    <row r="101" spans="1:22" s="6" customFormat="1" ht="15.75" customHeight="1">
      <c r="A101" s="66"/>
      <c r="B101" s="35" t="s">
        <v>100</v>
      </c>
      <c r="C101" s="46"/>
      <c r="D101" s="44"/>
      <c r="E101" s="53">
        <v>35000000</v>
      </c>
      <c r="F101" s="53">
        <v>2000000</v>
      </c>
      <c r="G101" s="53">
        <v>2000000</v>
      </c>
      <c r="H101" s="53"/>
      <c r="I101" s="53"/>
      <c r="J101" s="53"/>
      <c r="K101" s="53"/>
      <c r="L101" s="53"/>
      <c r="M101" s="53"/>
      <c r="N101" s="96"/>
      <c r="O101" s="29"/>
      <c r="P101" s="38"/>
      <c r="Q101" s="38"/>
      <c r="R101" s="38"/>
      <c r="S101" s="38"/>
      <c r="T101" s="39">
        <v>37000000</v>
      </c>
      <c r="U101" s="39">
        <f t="shared" si="7"/>
        <v>37666000</v>
      </c>
      <c r="V101" s="40">
        <f t="shared" si="7"/>
        <v>38343988</v>
      </c>
    </row>
    <row r="102" spans="1:22" s="6" customFormat="1" ht="15.75" customHeight="1">
      <c r="A102" s="66"/>
      <c r="B102" s="35" t="s">
        <v>101</v>
      </c>
      <c r="C102" s="46"/>
      <c r="D102" s="44"/>
      <c r="E102" s="53">
        <v>205000000</v>
      </c>
      <c r="F102" s="97">
        <v>5000000</v>
      </c>
      <c r="G102" s="53">
        <v>35000000</v>
      </c>
      <c r="H102" s="53">
        <v>45150000</v>
      </c>
      <c r="I102" s="53">
        <v>8767500</v>
      </c>
      <c r="J102" s="53">
        <v>8767500</v>
      </c>
      <c r="K102" s="53"/>
      <c r="L102" s="53"/>
      <c r="M102" s="53">
        <v>31500000</v>
      </c>
      <c r="N102" s="96">
        <v>14000000</v>
      </c>
      <c r="O102" s="29"/>
      <c r="P102" s="96">
        <v>24500000</v>
      </c>
      <c r="Q102" s="37"/>
      <c r="R102" s="37"/>
      <c r="S102" s="37"/>
      <c r="T102" s="39">
        <v>352435000</v>
      </c>
      <c r="U102" s="39">
        <f t="shared" si="7"/>
        <v>358778830</v>
      </c>
      <c r="V102" s="40">
        <f t="shared" si="7"/>
        <v>365236848.94</v>
      </c>
    </row>
    <row r="103" spans="1:22" s="6" customFormat="1" ht="15.75" customHeight="1">
      <c r="A103" s="66"/>
      <c r="B103" s="35" t="s">
        <v>102</v>
      </c>
      <c r="C103" s="46"/>
      <c r="D103" s="44"/>
      <c r="E103" s="53">
        <v>62500000</v>
      </c>
      <c r="F103" s="53"/>
      <c r="G103" s="53">
        <v>7800000</v>
      </c>
      <c r="H103" s="53"/>
      <c r="I103" s="53"/>
      <c r="J103" s="53">
        <v>75000000</v>
      </c>
      <c r="K103" s="53"/>
      <c r="L103" s="53"/>
      <c r="M103" s="53"/>
      <c r="N103" s="96">
        <v>136000000</v>
      </c>
      <c r="O103" s="29"/>
      <c r="P103" s="38"/>
      <c r="Q103" s="38"/>
      <c r="R103" s="38"/>
      <c r="S103" s="38"/>
      <c r="T103" s="39">
        <v>270300000</v>
      </c>
      <c r="U103" s="39">
        <f aca="true" t="shared" si="8" ref="U103:V118">T103*1.8/100+T103</f>
        <v>275165400</v>
      </c>
      <c r="V103" s="40">
        <f t="shared" si="8"/>
        <v>280118377.2</v>
      </c>
    </row>
    <row r="104" spans="1:22" s="6" customFormat="1" ht="15.75" customHeight="1">
      <c r="A104" s="66"/>
      <c r="B104" s="35" t="s">
        <v>103</v>
      </c>
      <c r="C104" s="46"/>
      <c r="D104" s="44"/>
      <c r="E104" s="53">
        <v>63000000</v>
      </c>
      <c r="F104" s="53"/>
      <c r="G104" s="53"/>
      <c r="H104" s="53">
        <v>120000000</v>
      </c>
      <c r="I104" s="53"/>
      <c r="J104" s="53"/>
      <c r="K104" s="53"/>
      <c r="L104" s="53"/>
      <c r="M104" s="53"/>
      <c r="N104" s="96">
        <f>60000000</f>
        <v>60000000</v>
      </c>
      <c r="O104" s="53"/>
      <c r="P104" s="53"/>
      <c r="Q104" s="53"/>
      <c r="R104" s="53">
        <v>54000000</v>
      </c>
      <c r="S104" s="53">
        <v>54000000</v>
      </c>
      <c r="T104" s="39">
        <v>346000000</v>
      </c>
      <c r="U104" s="39">
        <f t="shared" si="8"/>
        <v>352228000</v>
      </c>
      <c r="V104" s="40">
        <f t="shared" si="8"/>
        <v>358568104</v>
      </c>
    </row>
    <row r="105" spans="1:22" s="6" customFormat="1" ht="15.75" customHeight="1">
      <c r="A105" s="66"/>
      <c r="B105" s="35" t="s">
        <v>104</v>
      </c>
      <c r="C105" s="46"/>
      <c r="D105" s="44"/>
      <c r="E105" s="53">
        <v>3675000</v>
      </c>
      <c r="F105" s="53"/>
      <c r="G105" s="53">
        <v>500000</v>
      </c>
      <c r="H105" s="53">
        <v>7600000</v>
      </c>
      <c r="I105" s="53"/>
      <c r="J105" s="53"/>
      <c r="K105" s="53"/>
      <c r="L105" s="53"/>
      <c r="M105" s="53"/>
      <c r="N105" s="96"/>
      <c r="O105" s="29"/>
      <c r="P105" s="38"/>
      <c r="Q105" s="38"/>
      <c r="R105" s="38"/>
      <c r="S105" s="38"/>
      <c r="T105" s="39">
        <f t="shared" si="6"/>
        <v>11775000</v>
      </c>
      <c r="U105" s="39">
        <f t="shared" si="8"/>
        <v>11986950</v>
      </c>
      <c r="V105" s="40">
        <f t="shared" si="8"/>
        <v>12202715.1</v>
      </c>
    </row>
    <row r="106" spans="1:22" s="6" customFormat="1" ht="15.75" customHeight="1">
      <c r="A106" s="66"/>
      <c r="B106" s="35" t="s">
        <v>105</v>
      </c>
      <c r="C106" s="46"/>
      <c r="D106" s="44"/>
      <c r="E106" s="53"/>
      <c r="F106" s="53">
        <v>100000000</v>
      </c>
      <c r="G106" s="53">
        <v>30000000</v>
      </c>
      <c r="H106" s="53">
        <v>18000000</v>
      </c>
      <c r="I106" s="53"/>
      <c r="J106" s="53"/>
      <c r="K106" s="53"/>
      <c r="L106" s="53"/>
      <c r="M106" s="53"/>
      <c r="N106" s="96"/>
      <c r="O106" s="29"/>
      <c r="P106" s="38">
        <f>12*12000*365</f>
        <v>52560000</v>
      </c>
      <c r="Q106" s="38"/>
      <c r="R106" s="38"/>
      <c r="S106" s="38"/>
      <c r="T106" s="39">
        <f t="shared" si="6"/>
        <v>200560000</v>
      </c>
      <c r="U106" s="39">
        <f t="shared" si="8"/>
        <v>204170080</v>
      </c>
      <c r="V106" s="40">
        <f t="shared" si="8"/>
        <v>207845141.44</v>
      </c>
    </row>
    <row r="107" spans="1:22" s="6" customFormat="1" ht="15.75" customHeight="1">
      <c r="A107" s="66"/>
      <c r="B107" s="35" t="s">
        <v>106</v>
      </c>
      <c r="C107" s="46"/>
      <c r="D107" s="44"/>
      <c r="E107" s="53"/>
      <c r="F107" s="53">
        <v>80000000</v>
      </c>
      <c r="G107" s="53"/>
      <c r="H107" s="53"/>
      <c r="I107" s="53"/>
      <c r="J107" s="53"/>
      <c r="K107" s="53"/>
      <c r="L107" s="53"/>
      <c r="M107" s="53"/>
      <c r="N107" s="96"/>
      <c r="O107" s="29"/>
      <c r="P107" s="38">
        <v>1500000</v>
      </c>
      <c r="Q107" s="38"/>
      <c r="R107" s="38"/>
      <c r="S107" s="38"/>
      <c r="T107" s="39">
        <f t="shared" si="6"/>
        <v>81500000</v>
      </c>
      <c r="U107" s="39">
        <f t="shared" si="8"/>
        <v>82967000</v>
      </c>
      <c r="V107" s="40">
        <f t="shared" si="8"/>
        <v>84460406</v>
      </c>
    </row>
    <row r="108" spans="1:22" s="6" customFormat="1" ht="15.75" customHeight="1">
      <c r="A108" s="66"/>
      <c r="B108" s="35" t="s">
        <v>107</v>
      </c>
      <c r="C108" s="46"/>
      <c r="D108" s="44"/>
      <c r="E108" s="53">
        <v>30000000</v>
      </c>
      <c r="F108" s="53"/>
      <c r="G108" s="53"/>
      <c r="H108" s="53"/>
      <c r="I108" s="53"/>
      <c r="J108" s="53"/>
      <c r="K108" s="53"/>
      <c r="L108" s="53"/>
      <c r="M108" s="53"/>
      <c r="N108" s="96"/>
      <c r="O108" s="29"/>
      <c r="P108" s="38"/>
      <c r="Q108" s="38"/>
      <c r="R108" s="38"/>
      <c r="S108" s="38"/>
      <c r="T108" s="39">
        <f t="shared" si="6"/>
        <v>30000000</v>
      </c>
      <c r="U108" s="39">
        <f t="shared" si="8"/>
        <v>30540000</v>
      </c>
      <c r="V108" s="40">
        <f t="shared" si="8"/>
        <v>31089720</v>
      </c>
    </row>
    <row r="109" spans="1:22" s="6" customFormat="1" ht="15.75" customHeight="1">
      <c r="A109" s="66"/>
      <c r="B109" s="35" t="s">
        <v>108</v>
      </c>
      <c r="C109" s="46"/>
      <c r="D109" s="44"/>
      <c r="E109" s="53"/>
      <c r="F109" s="53">
        <v>460000000</v>
      </c>
      <c r="G109" s="53"/>
      <c r="H109" s="53"/>
      <c r="I109" s="53"/>
      <c r="J109" s="53"/>
      <c r="K109" s="53"/>
      <c r="L109" s="53"/>
      <c r="M109" s="53"/>
      <c r="N109" s="96"/>
      <c r="O109" s="29"/>
      <c r="P109" s="38"/>
      <c r="Q109" s="38"/>
      <c r="R109" s="38"/>
      <c r="S109" s="38"/>
      <c r="T109" s="39">
        <f t="shared" si="6"/>
        <v>460000000</v>
      </c>
      <c r="U109" s="39">
        <f t="shared" si="8"/>
        <v>468280000</v>
      </c>
      <c r="V109" s="40">
        <f t="shared" si="8"/>
        <v>476709040</v>
      </c>
    </row>
    <row r="110" spans="1:22" s="6" customFormat="1" ht="15.75" customHeight="1">
      <c r="A110" s="66"/>
      <c r="B110" s="35" t="s">
        <v>109</v>
      </c>
      <c r="C110" s="46"/>
      <c r="D110" s="44"/>
      <c r="E110" s="53"/>
      <c r="F110" s="53"/>
      <c r="G110" s="53">
        <v>56000000</v>
      </c>
      <c r="H110" s="53"/>
      <c r="I110" s="53"/>
      <c r="J110" s="53"/>
      <c r="K110" s="53">
        <v>70000000</v>
      </c>
      <c r="L110" s="53"/>
      <c r="M110" s="53">
        <v>260400000</v>
      </c>
      <c r="N110" s="96"/>
      <c r="O110" s="29">
        <v>90000000</v>
      </c>
      <c r="P110" s="38"/>
      <c r="Q110" s="38">
        <v>58500000</v>
      </c>
      <c r="R110" s="38">
        <v>30000000</v>
      </c>
      <c r="S110" s="38">
        <v>20000000</v>
      </c>
      <c r="T110" s="39">
        <v>799026000</v>
      </c>
      <c r="U110" s="39">
        <v>803408468</v>
      </c>
      <c r="V110" s="40">
        <f>U110*1.8/100+U110</f>
        <v>817869820.424</v>
      </c>
    </row>
    <row r="111" spans="1:22" s="6" customFormat="1" ht="15.75" customHeight="1">
      <c r="A111" s="66"/>
      <c r="B111" s="35" t="s">
        <v>110</v>
      </c>
      <c r="C111" s="46"/>
      <c r="D111" s="44"/>
      <c r="E111" s="53">
        <v>2600000</v>
      </c>
      <c r="F111" s="53">
        <v>10500000</v>
      </c>
      <c r="G111" s="53">
        <v>1700000</v>
      </c>
      <c r="H111" s="53"/>
      <c r="I111" s="53"/>
      <c r="J111" s="53"/>
      <c r="K111" s="53">
        <v>2100000</v>
      </c>
      <c r="L111" s="53">
        <v>500000</v>
      </c>
      <c r="M111" s="53"/>
      <c r="N111" s="96"/>
      <c r="O111" s="29"/>
      <c r="P111" s="38"/>
      <c r="Q111" s="38"/>
      <c r="R111" s="38"/>
      <c r="S111" s="38"/>
      <c r="T111" s="39">
        <f t="shared" si="6"/>
        <v>17400000</v>
      </c>
      <c r="U111" s="39">
        <f t="shared" si="8"/>
        <v>17713200</v>
      </c>
      <c r="V111" s="40">
        <f t="shared" si="8"/>
        <v>18032037.6</v>
      </c>
    </row>
    <row r="112" spans="1:22" s="6" customFormat="1" ht="15.75" customHeight="1">
      <c r="A112" s="66"/>
      <c r="B112" s="35" t="s">
        <v>111</v>
      </c>
      <c r="C112" s="46"/>
      <c r="D112" s="44"/>
      <c r="E112" s="53">
        <v>1500000</v>
      </c>
      <c r="F112" s="53">
        <v>9450000</v>
      </c>
      <c r="G112" s="53">
        <v>1500000</v>
      </c>
      <c r="H112" s="53"/>
      <c r="I112" s="53"/>
      <c r="J112" s="53"/>
      <c r="K112" s="53">
        <v>1700000</v>
      </c>
      <c r="L112" s="53">
        <v>530000</v>
      </c>
      <c r="M112" s="53"/>
      <c r="N112" s="96"/>
      <c r="O112" s="29"/>
      <c r="P112" s="38"/>
      <c r="Q112" s="38"/>
      <c r="R112" s="38"/>
      <c r="S112" s="38"/>
      <c r="T112" s="39">
        <f t="shared" si="6"/>
        <v>14680000</v>
      </c>
      <c r="U112" s="39">
        <f t="shared" si="8"/>
        <v>14944240</v>
      </c>
      <c r="V112" s="40">
        <f t="shared" si="8"/>
        <v>15213236.32</v>
      </c>
    </row>
    <row r="113" spans="1:22" s="6" customFormat="1" ht="15.75" customHeight="1">
      <c r="A113" s="66"/>
      <c r="B113" s="35" t="s">
        <v>112</v>
      </c>
      <c r="C113" s="46"/>
      <c r="D113" s="44"/>
      <c r="E113" s="53">
        <v>1100000</v>
      </c>
      <c r="F113" s="53">
        <v>3990000</v>
      </c>
      <c r="G113" s="53"/>
      <c r="H113" s="53"/>
      <c r="I113" s="53"/>
      <c r="J113" s="53"/>
      <c r="K113" s="53"/>
      <c r="L113" s="53"/>
      <c r="M113" s="53"/>
      <c r="N113" s="96"/>
      <c r="O113" s="29"/>
      <c r="P113" s="38"/>
      <c r="Q113" s="38"/>
      <c r="R113" s="38"/>
      <c r="S113" s="38"/>
      <c r="T113" s="39">
        <v>9790000</v>
      </c>
      <c r="U113" s="39">
        <f t="shared" si="8"/>
        <v>9966220</v>
      </c>
      <c r="V113" s="40">
        <f t="shared" si="8"/>
        <v>10145611.96</v>
      </c>
    </row>
    <row r="114" spans="1:22" s="6" customFormat="1" ht="15.75" customHeight="1">
      <c r="A114" s="66"/>
      <c r="B114" s="35" t="s">
        <v>113</v>
      </c>
      <c r="C114" s="46"/>
      <c r="D114" s="44"/>
      <c r="E114" s="53">
        <v>13000000</v>
      </c>
      <c r="F114" s="53">
        <v>6000000</v>
      </c>
      <c r="G114" s="53">
        <v>1000000</v>
      </c>
      <c r="H114" s="53">
        <v>1100000</v>
      </c>
      <c r="I114" s="53">
        <v>2000000</v>
      </c>
      <c r="J114" s="53">
        <v>2000000</v>
      </c>
      <c r="K114" s="53">
        <v>1400000</v>
      </c>
      <c r="L114" s="53">
        <v>50000</v>
      </c>
      <c r="M114" s="53">
        <v>2150000</v>
      </c>
      <c r="N114" s="96">
        <v>8000000</v>
      </c>
      <c r="O114" s="29"/>
      <c r="P114" s="38">
        <v>450000</v>
      </c>
      <c r="Q114" s="38">
        <v>500000</v>
      </c>
      <c r="R114" s="38">
        <v>2000000</v>
      </c>
      <c r="S114" s="38"/>
      <c r="T114" s="39">
        <v>35150000</v>
      </c>
      <c r="U114" s="39">
        <f t="shared" si="8"/>
        <v>35782700</v>
      </c>
      <c r="V114" s="40">
        <f t="shared" si="8"/>
        <v>36426788.6</v>
      </c>
    </row>
    <row r="115" spans="1:22" s="6" customFormat="1" ht="15.75" customHeight="1">
      <c r="A115" s="66"/>
      <c r="B115" s="35" t="s">
        <v>114</v>
      </c>
      <c r="C115" s="46"/>
      <c r="D115" s="44"/>
      <c r="E115" s="53">
        <v>8500000</v>
      </c>
      <c r="F115" s="53">
        <v>7350000</v>
      </c>
      <c r="G115" s="53">
        <v>750000</v>
      </c>
      <c r="H115" s="53">
        <v>100000</v>
      </c>
      <c r="I115" s="53">
        <v>300000</v>
      </c>
      <c r="J115" s="53">
        <v>300000</v>
      </c>
      <c r="K115" s="53">
        <v>100000</v>
      </c>
      <c r="L115" s="53"/>
      <c r="M115" s="53">
        <v>850000</v>
      </c>
      <c r="N115" s="96">
        <v>2800000</v>
      </c>
      <c r="O115" s="29">
        <v>2800000</v>
      </c>
      <c r="P115" s="38"/>
      <c r="Q115" s="38"/>
      <c r="R115" s="38"/>
      <c r="S115" s="38"/>
      <c r="T115" s="39">
        <v>21550000</v>
      </c>
      <c r="U115" s="39">
        <f t="shared" si="8"/>
        <v>21937900</v>
      </c>
      <c r="V115" s="40">
        <f t="shared" si="8"/>
        <v>22332782.2</v>
      </c>
    </row>
    <row r="116" spans="1:22" s="6" customFormat="1" ht="15.75" customHeight="1">
      <c r="A116" s="66"/>
      <c r="B116" s="35" t="s">
        <v>115</v>
      </c>
      <c r="C116" s="46"/>
      <c r="D116" s="44"/>
      <c r="E116" s="53">
        <v>5500000</v>
      </c>
      <c r="F116" s="53">
        <v>3500000</v>
      </c>
      <c r="G116" s="53">
        <v>2500000</v>
      </c>
      <c r="H116" s="53">
        <v>750000</v>
      </c>
      <c r="I116" s="53">
        <v>5000000</v>
      </c>
      <c r="J116" s="53">
        <v>4500000</v>
      </c>
      <c r="K116" s="53">
        <v>600000</v>
      </c>
      <c r="L116" s="53"/>
      <c r="M116" s="53">
        <v>735000</v>
      </c>
      <c r="N116" s="96">
        <v>1500000</v>
      </c>
      <c r="O116" s="29">
        <v>2100000</v>
      </c>
      <c r="P116" s="38">
        <v>2500000</v>
      </c>
      <c r="Q116" s="38"/>
      <c r="R116" s="38"/>
      <c r="S116" s="38"/>
      <c r="T116" s="39">
        <v>43124515</v>
      </c>
      <c r="U116" s="39">
        <f t="shared" si="8"/>
        <v>43900756.27</v>
      </c>
      <c r="V116" s="40">
        <f t="shared" si="8"/>
        <v>44690969.882860005</v>
      </c>
    </row>
    <row r="117" spans="1:22" s="6" customFormat="1" ht="15.75" customHeight="1">
      <c r="A117" s="66"/>
      <c r="B117" s="61" t="s">
        <v>116</v>
      </c>
      <c r="C117" s="62"/>
      <c r="D117" s="55"/>
      <c r="E117" s="52">
        <v>500000</v>
      </c>
      <c r="F117" s="52">
        <v>500000</v>
      </c>
      <c r="G117" s="52">
        <v>500000</v>
      </c>
      <c r="H117" s="52"/>
      <c r="I117" s="52"/>
      <c r="J117" s="52"/>
      <c r="K117" s="52"/>
      <c r="L117" s="52"/>
      <c r="M117" s="52">
        <v>0</v>
      </c>
      <c r="N117" s="101">
        <v>500000</v>
      </c>
      <c r="O117" s="37"/>
      <c r="P117" s="38"/>
      <c r="Q117" s="38"/>
      <c r="R117" s="38"/>
      <c r="S117" s="38"/>
      <c r="T117" s="39">
        <v>1500000</v>
      </c>
      <c r="U117" s="39">
        <f t="shared" si="8"/>
        <v>1527000</v>
      </c>
      <c r="V117" s="40">
        <f t="shared" si="8"/>
        <v>1554486</v>
      </c>
    </row>
    <row r="118" spans="1:22" s="6" customFormat="1" ht="15.75" customHeight="1">
      <c r="A118" s="66"/>
      <c r="B118" s="35" t="s">
        <v>117</v>
      </c>
      <c r="C118" s="46"/>
      <c r="D118" s="44"/>
      <c r="E118" s="53">
        <v>1000000</v>
      </c>
      <c r="F118" s="53"/>
      <c r="G118" s="53"/>
      <c r="H118" s="53"/>
      <c r="I118" s="53"/>
      <c r="J118" s="53"/>
      <c r="K118" s="53"/>
      <c r="L118" s="53"/>
      <c r="M118" s="53">
        <v>1000000</v>
      </c>
      <c r="N118" s="96">
        <v>1000000</v>
      </c>
      <c r="O118" s="29"/>
      <c r="P118" s="38"/>
      <c r="Q118" s="38"/>
      <c r="R118" s="38"/>
      <c r="S118" s="38"/>
      <c r="T118" s="39">
        <v>2000000</v>
      </c>
      <c r="U118" s="39">
        <f t="shared" si="8"/>
        <v>2036000</v>
      </c>
      <c r="V118" s="40">
        <f t="shared" si="8"/>
        <v>2072648</v>
      </c>
    </row>
    <row r="119" spans="1:22" s="6" customFormat="1" ht="15.75" customHeight="1">
      <c r="A119" s="66"/>
      <c r="B119" s="35" t="s">
        <v>118</v>
      </c>
      <c r="C119" s="46"/>
      <c r="D119" s="44"/>
      <c r="E119" s="53">
        <v>8000000</v>
      </c>
      <c r="F119" s="53"/>
      <c r="G119" s="53"/>
      <c r="H119" s="53"/>
      <c r="I119" s="53">
        <v>1500000</v>
      </c>
      <c r="J119" s="53">
        <v>1500000</v>
      </c>
      <c r="K119" s="53"/>
      <c r="L119" s="53"/>
      <c r="M119" s="53">
        <v>500000</v>
      </c>
      <c r="N119" s="96">
        <v>500000</v>
      </c>
      <c r="O119" s="29"/>
      <c r="P119" s="38">
        <v>200000</v>
      </c>
      <c r="Q119" s="38"/>
      <c r="R119" s="38"/>
      <c r="S119" s="38"/>
      <c r="T119" s="39">
        <v>9500000</v>
      </c>
      <c r="U119" s="39">
        <f>T119*1.8/100+T119</f>
        <v>9671000</v>
      </c>
      <c r="V119" s="40">
        <f>U119*1.8/100+U119</f>
        <v>9845078</v>
      </c>
    </row>
    <row r="120" spans="1:22" s="6" customFormat="1" ht="15.75" customHeight="1">
      <c r="A120" s="68"/>
      <c r="B120" s="35" t="s">
        <v>119</v>
      </c>
      <c r="C120" s="46"/>
      <c r="D120" s="44"/>
      <c r="E120" s="53"/>
      <c r="F120" s="53"/>
      <c r="G120" s="53"/>
      <c r="H120" s="53"/>
      <c r="I120" s="53">
        <v>9000000</v>
      </c>
      <c r="J120" s="53">
        <v>9000000</v>
      </c>
      <c r="K120" s="53"/>
      <c r="L120" s="53"/>
      <c r="M120" s="53"/>
      <c r="N120" s="96"/>
      <c r="O120" s="29"/>
      <c r="P120" s="38"/>
      <c r="Q120" s="38"/>
      <c r="R120" s="38"/>
      <c r="S120" s="38"/>
      <c r="T120" s="39">
        <v>14000000</v>
      </c>
      <c r="U120" s="39">
        <f>T120*1.8/100+T120</f>
        <v>14252000</v>
      </c>
      <c r="V120" s="40">
        <f>U120*1.8/100+U120</f>
        <v>14508536</v>
      </c>
    </row>
    <row r="121" spans="1:22" ht="12.75">
      <c r="A121" s="108"/>
      <c r="B121" s="109"/>
      <c r="C121" s="110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11"/>
      <c r="U121" s="110"/>
      <c r="V121" s="110"/>
    </row>
    <row r="122" spans="1:22" ht="12.75">
      <c r="A122" s="108"/>
      <c r="B122" s="109"/>
      <c r="C122" s="110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11"/>
      <c r="U122" s="110"/>
      <c r="V122" s="110"/>
    </row>
    <row r="123" spans="1:22" ht="12.75">
      <c r="A123" s="108"/>
      <c r="B123" s="109"/>
      <c r="C123" s="110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11"/>
      <c r="U123" s="110"/>
      <c r="V123" s="110"/>
    </row>
    <row r="124" spans="1:22" ht="12.75">
      <c r="A124" s="108"/>
      <c r="B124" s="109"/>
      <c r="C124" s="110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11"/>
      <c r="U124" s="110"/>
      <c r="V124" s="110"/>
    </row>
    <row r="125" spans="1:22" ht="12.75">
      <c r="A125" s="108"/>
      <c r="B125" s="109"/>
      <c r="C125" s="110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11"/>
      <c r="U125" s="110"/>
      <c r="V125" s="110"/>
    </row>
    <row r="126" spans="1:22" ht="12.75">
      <c r="A126" s="108"/>
      <c r="B126" s="109"/>
      <c r="C126" s="110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11"/>
      <c r="U126" s="110"/>
      <c r="V126" s="110"/>
    </row>
    <row r="127" spans="1:22" ht="12.75">
      <c r="A127" s="108"/>
      <c r="B127" s="109"/>
      <c r="C127" s="110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11"/>
      <c r="U127" s="110"/>
      <c r="V127" s="110"/>
    </row>
    <row r="128" spans="1:22" ht="12.75">
      <c r="A128" s="108"/>
      <c r="B128" s="109"/>
      <c r="C128" s="110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11"/>
      <c r="U128" s="110"/>
      <c r="V128" s="110"/>
    </row>
    <row r="129" spans="1:22" ht="12.75">
      <c r="A129" s="108"/>
      <c r="B129" s="109"/>
      <c r="C129" s="110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11"/>
      <c r="U129" s="110"/>
      <c r="V129" s="110"/>
    </row>
    <row r="130" spans="1:22" ht="12.75">
      <c r="A130" s="108"/>
      <c r="B130" s="109"/>
      <c r="C130" s="110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11"/>
      <c r="U130" s="110"/>
      <c r="V130" s="110"/>
    </row>
    <row r="131" spans="1:22" ht="12.75">
      <c r="A131" s="108"/>
      <c r="B131" s="109"/>
      <c r="C131" s="110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11"/>
      <c r="U131" s="110"/>
      <c r="V131" s="110"/>
    </row>
    <row r="132" spans="1:22" ht="12.75">
      <c r="A132" s="108"/>
      <c r="B132" s="109"/>
      <c r="C132" s="110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11"/>
      <c r="U132" s="110"/>
      <c r="V132" s="110"/>
    </row>
    <row r="133" spans="1:22" ht="12.75">
      <c r="A133" s="108"/>
      <c r="B133" s="109"/>
      <c r="C133" s="110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11"/>
      <c r="U133" s="110"/>
      <c r="V133" s="110"/>
    </row>
    <row r="134" spans="1:22" ht="12.75">
      <c r="A134" s="108"/>
      <c r="B134" s="109"/>
      <c r="C134" s="110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11"/>
      <c r="U134" s="110"/>
      <c r="V134" s="110"/>
    </row>
    <row r="135" spans="1:22" ht="12.75">
      <c r="A135" s="108"/>
      <c r="B135" s="109"/>
      <c r="C135" s="110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11"/>
      <c r="U135" s="110"/>
      <c r="V135" s="110"/>
    </row>
    <row r="136" spans="1:22" ht="12.75">
      <c r="A136" s="108"/>
      <c r="B136" s="109"/>
      <c r="C136" s="110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11"/>
      <c r="U136" s="110"/>
      <c r="V136" s="110"/>
    </row>
    <row r="137" spans="1:22" ht="12.75">
      <c r="A137" s="108"/>
      <c r="B137" s="109"/>
      <c r="C137" s="110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11"/>
      <c r="U137" s="110"/>
      <c r="V137" s="110"/>
    </row>
    <row r="138" spans="1:22" ht="12.75">
      <c r="A138" s="108"/>
      <c r="B138" s="109"/>
      <c r="C138" s="110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11"/>
      <c r="U138" s="110"/>
      <c r="V138" s="110"/>
    </row>
    <row r="139" spans="1:22" ht="12.75">
      <c r="A139" s="108"/>
      <c r="B139" s="109"/>
      <c r="C139" s="110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11"/>
      <c r="U139" s="110"/>
      <c r="V139" s="110"/>
    </row>
    <row r="140" spans="1:22" ht="12.75">
      <c r="A140" s="108"/>
      <c r="B140" s="109"/>
      <c r="C140" s="110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11"/>
      <c r="U140" s="110"/>
      <c r="V140" s="110"/>
    </row>
    <row r="141" spans="1:22" ht="12.75">
      <c r="A141" s="108"/>
      <c r="B141" s="109"/>
      <c r="C141" s="110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11"/>
      <c r="U141" s="110"/>
      <c r="V141" s="110"/>
    </row>
    <row r="142" spans="1:22" s="6" customFormat="1" ht="15.75" customHeight="1">
      <c r="A142" s="22"/>
      <c r="B142" s="27"/>
      <c r="C142" s="85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112"/>
      <c r="U142" s="85"/>
      <c r="V142" s="85"/>
    </row>
    <row r="143" spans="1:22" s="6" customFormat="1" ht="15.75" customHeight="1">
      <c r="A143" s="5"/>
      <c r="B143" s="46"/>
      <c r="C143" s="46"/>
      <c r="D143" s="113"/>
      <c r="E143" s="7" t="s">
        <v>3</v>
      </c>
      <c r="F143" s="8" t="s">
        <v>4</v>
      </c>
      <c r="G143" s="9"/>
      <c r="H143" s="8" t="s">
        <v>5</v>
      </c>
      <c r="I143" s="10"/>
      <c r="J143" s="11"/>
      <c r="K143" s="11"/>
      <c r="L143" s="11"/>
      <c r="M143" s="9" t="s">
        <v>6</v>
      </c>
      <c r="N143" s="12" t="s">
        <v>7</v>
      </c>
      <c r="O143" s="9"/>
      <c r="P143" s="9"/>
      <c r="Q143" s="9"/>
      <c r="R143" s="9"/>
      <c r="S143" s="9"/>
      <c r="T143" s="13">
        <v>2000</v>
      </c>
      <c r="U143" s="13">
        <v>2001</v>
      </c>
      <c r="V143" s="13">
        <v>2002</v>
      </c>
    </row>
    <row r="144" spans="1:22" s="6" customFormat="1" ht="15.75" customHeight="1">
      <c r="A144" s="114" t="s">
        <v>120</v>
      </c>
      <c r="B144" s="93"/>
      <c r="C144" s="58"/>
      <c r="D144" s="59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20"/>
      <c r="U144" s="66"/>
      <c r="V144" s="20"/>
    </row>
    <row r="145" spans="1:22" s="6" customFormat="1" ht="15.75" customHeight="1">
      <c r="A145" s="66"/>
      <c r="B145" s="35" t="s">
        <v>121</v>
      </c>
      <c r="C145" s="46"/>
      <c r="D145" s="44"/>
      <c r="E145" s="53"/>
      <c r="F145" s="53"/>
      <c r="G145" s="53"/>
      <c r="H145" s="53"/>
      <c r="I145" s="53">
        <v>27000000</v>
      </c>
      <c r="J145" s="53">
        <v>38000000</v>
      </c>
      <c r="K145" s="53"/>
      <c r="L145" s="53"/>
      <c r="M145" s="53"/>
      <c r="N145" s="96"/>
      <c r="O145" s="68"/>
      <c r="P145" s="29"/>
      <c r="Q145" s="44"/>
      <c r="R145" s="29"/>
      <c r="S145" s="44"/>
      <c r="T145" s="69">
        <f>SUM(E145:S145)</f>
        <v>65000000</v>
      </c>
      <c r="U145" s="39">
        <f aca="true" t="shared" si="9" ref="U145:V148">T145*1.8/100+T145</f>
        <v>66170000</v>
      </c>
      <c r="V145" s="40">
        <f t="shared" si="9"/>
        <v>67361060</v>
      </c>
    </row>
    <row r="146" spans="1:22" s="6" customFormat="1" ht="15.75" customHeight="1">
      <c r="A146" s="66"/>
      <c r="B146" s="35" t="s">
        <v>122</v>
      </c>
      <c r="C146" s="46"/>
      <c r="D146" s="44"/>
      <c r="E146" s="53"/>
      <c r="F146" s="53"/>
      <c r="G146" s="53"/>
      <c r="H146" s="53"/>
      <c r="I146" s="53"/>
      <c r="J146" s="53">
        <v>5000000</v>
      </c>
      <c r="K146" s="53"/>
      <c r="L146" s="53"/>
      <c r="M146" s="53"/>
      <c r="N146" s="96"/>
      <c r="O146" s="68"/>
      <c r="P146" s="37">
        <f>1800000+170000</f>
        <v>1970000</v>
      </c>
      <c r="Q146" s="44"/>
      <c r="R146" s="37"/>
      <c r="S146" s="44"/>
      <c r="T146" s="39">
        <f>SUM(E146:S146)</f>
        <v>6970000</v>
      </c>
      <c r="U146" s="39">
        <f t="shared" si="9"/>
        <v>7095460</v>
      </c>
      <c r="V146" s="40">
        <f t="shared" si="9"/>
        <v>7223178.28</v>
      </c>
    </row>
    <row r="147" spans="1:22" s="6" customFormat="1" ht="15.75" customHeight="1">
      <c r="A147" s="66"/>
      <c r="B147" s="35" t="s">
        <v>123</v>
      </c>
      <c r="C147" s="46"/>
      <c r="D147" s="44"/>
      <c r="E147" s="53">
        <v>79500000</v>
      </c>
      <c r="F147" s="53">
        <v>11500000</v>
      </c>
      <c r="G147" s="53"/>
      <c r="H147" s="53"/>
      <c r="I147" s="53">
        <v>1500000</v>
      </c>
      <c r="J147" s="53">
        <v>1500000</v>
      </c>
      <c r="K147" s="53">
        <v>1500000</v>
      </c>
      <c r="L147" s="53"/>
      <c r="M147" s="53">
        <v>1500000</v>
      </c>
      <c r="N147" s="96">
        <v>1500000</v>
      </c>
      <c r="O147" s="68"/>
      <c r="P147" s="37"/>
      <c r="Q147" s="44">
        <v>1500000</v>
      </c>
      <c r="R147" s="37">
        <v>1500000</v>
      </c>
      <c r="S147" s="44">
        <v>1500000</v>
      </c>
      <c r="T147" s="39">
        <f>SUM(E147:S147)</f>
        <v>103000000</v>
      </c>
      <c r="U147" s="39">
        <f t="shared" si="9"/>
        <v>104854000</v>
      </c>
      <c r="V147" s="40">
        <f t="shared" si="9"/>
        <v>106741372</v>
      </c>
    </row>
    <row r="148" spans="1:22" s="6" customFormat="1" ht="15.75" customHeight="1">
      <c r="A148" s="66"/>
      <c r="B148" s="35" t="s">
        <v>124</v>
      </c>
      <c r="C148" s="46"/>
      <c r="D148" s="44"/>
      <c r="E148" s="53"/>
      <c r="F148" s="53"/>
      <c r="G148" s="53"/>
      <c r="H148" s="53"/>
      <c r="I148" s="53"/>
      <c r="J148" s="53"/>
      <c r="K148" s="53"/>
      <c r="L148" s="53"/>
      <c r="M148" s="53"/>
      <c r="N148" s="96"/>
      <c r="O148" s="68"/>
      <c r="P148" s="37"/>
      <c r="Q148" s="37"/>
      <c r="R148" s="37"/>
      <c r="S148" s="44"/>
      <c r="T148" s="40">
        <f>SUM(E148:S148)</f>
        <v>0</v>
      </c>
      <c r="U148" s="39">
        <f t="shared" si="9"/>
        <v>0</v>
      </c>
      <c r="V148" s="40">
        <f t="shared" si="9"/>
        <v>0</v>
      </c>
    </row>
    <row r="149" spans="1:22" s="6" customFormat="1" ht="15.75" customHeight="1">
      <c r="A149" s="66"/>
      <c r="B149" s="27"/>
      <c r="C149" s="85"/>
      <c r="D149" s="22"/>
      <c r="E149" s="18"/>
      <c r="F149" s="18"/>
      <c r="G149" s="18"/>
      <c r="H149" s="18"/>
      <c r="I149" s="18"/>
      <c r="J149" s="18"/>
      <c r="K149" s="18"/>
      <c r="L149" s="18"/>
      <c r="M149" s="18"/>
      <c r="N149" s="19"/>
      <c r="O149" s="115"/>
      <c r="P149" s="22"/>
      <c r="Q149" s="22"/>
      <c r="R149" s="22"/>
      <c r="S149" s="22"/>
      <c r="T149" s="65"/>
      <c r="U149" s="65"/>
      <c r="V149" s="65"/>
    </row>
    <row r="150" spans="1:22" s="6" customFormat="1" ht="15.75" customHeight="1">
      <c r="A150" s="50" t="s">
        <v>125</v>
      </c>
      <c r="B150" s="93"/>
      <c r="C150" s="58"/>
      <c r="D150" s="59"/>
      <c r="E150" s="116">
        <v>0.02</v>
      </c>
      <c r="F150" s="18"/>
      <c r="G150" s="18"/>
      <c r="H150" s="18"/>
      <c r="I150" s="18"/>
      <c r="J150" s="18"/>
      <c r="K150" s="18"/>
      <c r="L150" s="18"/>
      <c r="M150" s="18"/>
      <c r="N150" s="19"/>
      <c r="O150" s="68"/>
      <c r="P150" s="22"/>
      <c r="Q150" s="22"/>
      <c r="R150" s="22"/>
      <c r="S150" s="22"/>
      <c r="T150" s="99"/>
      <c r="U150" s="99"/>
      <c r="V150" s="99"/>
    </row>
    <row r="151" spans="1:22" s="6" customFormat="1" ht="15.75" customHeight="1">
      <c r="A151" s="66"/>
      <c r="B151" s="35" t="s">
        <v>126</v>
      </c>
      <c r="C151" s="46"/>
      <c r="D151" s="44"/>
      <c r="E151" s="52">
        <f>2348259459+15737334+94415004+28191620+29855304+15737334-28191620-26752640-28191620</f>
        <v>2449060175</v>
      </c>
      <c r="F151" s="52">
        <f>360088856-G151</f>
        <v>302459890</v>
      </c>
      <c r="G151" s="53">
        <f>28856668+28772298</f>
        <v>57628966</v>
      </c>
      <c r="H151" s="52"/>
      <c r="I151" s="52">
        <f>77282140+42003905+41910305</f>
        <v>161196350</v>
      </c>
      <c r="J151" s="52">
        <f>42896474+23532401+28729593</f>
        <v>95158468</v>
      </c>
      <c r="K151" s="52">
        <v>28191620</v>
      </c>
      <c r="L151" s="52">
        <v>26752640</v>
      </c>
      <c r="M151" s="52">
        <v>14095810</v>
      </c>
      <c r="N151" s="101">
        <v>14095810</v>
      </c>
      <c r="O151" s="38">
        <f>30474843+28772298+30408283</f>
        <v>89655424</v>
      </c>
      <c r="P151" s="37"/>
      <c r="Q151" s="37"/>
      <c r="R151" s="37"/>
      <c r="S151" s="55"/>
      <c r="T151" s="40">
        <v>3322016616</v>
      </c>
      <c r="U151" s="39">
        <v>3367236782</v>
      </c>
      <c r="V151" s="40">
        <v>3447072966</v>
      </c>
    </row>
    <row r="152" spans="1:22" s="6" customFormat="1" ht="15.75" customHeight="1">
      <c r="A152" s="66"/>
      <c r="B152" s="35" t="s">
        <v>127</v>
      </c>
      <c r="C152" s="46"/>
      <c r="D152" s="117"/>
      <c r="E152" s="53">
        <f>517416264+4146393+24878335+7428492+7866873+4146393-7428492-7049321-7428492</f>
        <v>543976445</v>
      </c>
      <c r="F152" s="53">
        <f>92247022-G152</f>
        <v>77407563</v>
      </c>
      <c r="G152" s="53">
        <f>7430592+7408867</f>
        <v>14839459</v>
      </c>
      <c r="H152" s="53"/>
      <c r="I152" s="53">
        <f>20054714+10900013+10875725</f>
        <v>41830452</v>
      </c>
      <c r="J152" s="53">
        <f>11082183+6106657+7455329</f>
        <v>24644169</v>
      </c>
      <c r="K152" s="53">
        <v>7428492</v>
      </c>
      <c r="L152" s="53">
        <v>7049321</v>
      </c>
      <c r="M152" s="53">
        <v>3714246</v>
      </c>
      <c r="N152" s="96">
        <v>3714246</v>
      </c>
      <c r="O152" s="68">
        <f>7694898+7265005+7678091</f>
        <v>22637994</v>
      </c>
      <c r="P152" s="37"/>
      <c r="Q152" s="44"/>
      <c r="R152" s="37"/>
      <c r="S152" s="44"/>
      <c r="T152" s="39">
        <v>836636442</v>
      </c>
      <c r="U152" s="39">
        <f>T152*1/100+T152</f>
        <v>845002806.42</v>
      </c>
      <c r="V152" s="40">
        <f>U152*0.5/100+U152</f>
        <v>849227820.4520999</v>
      </c>
    </row>
    <row r="153" spans="1:22" s="6" customFormat="1" ht="15.75" customHeight="1">
      <c r="A153" s="66"/>
      <c r="B153" s="35" t="s">
        <v>128</v>
      </c>
      <c r="C153" s="46"/>
      <c r="D153" s="117"/>
      <c r="E153" s="53">
        <f>198694477+2300000+6958734+2077827+2204460+1150000-2077827-1971769-2077828</f>
        <v>207258074</v>
      </c>
      <c r="F153" s="53">
        <f>26403677-G153</f>
        <v>22156209</v>
      </c>
      <c r="G153" s="53">
        <f>2126843+2120625</f>
        <v>4247468</v>
      </c>
      <c r="H153" s="53"/>
      <c r="I153" s="53">
        <f>5695980+3226190+3308476</f>
        <v>12230646</v>
      </c>
      <c r="J153" s="53">
        <f>3360254+1734425+2343869</f>
        <v>7438548</v>
      </c>
      <c r="K153" s="53">
        <v>2077827</v>
      </c>
      <c r="L153" s="53">
        <v>1971769</v>
      </c>
      <c r="M153" s="53">
        <v>1038914</v>
      </c>
      <c r="N153" s="96">
        <v>1038914</v>
      </c>
      <c r="O153" s="68">
        <f>2246109+2120656+2241203</f>
        <v>6607968</v>
      </c>
      <c r="P153" s="37"/>
      <c r="Q153" s="44"/>
      <c r="R153" s="37"/>
      <c r="S153" s="44"/>
      <c r="T153" s="39">
        <v>230249857</v>
      </c>
      <c r="U153" s="39">
        <f>T153*1/100+T153</f>
        <v>232552355.57</v>
      </c>
      <c r="V153" s="40">
        <f>U153*0.5/100+U153</f>
        <v>233715117.34785</v>
      </c>
    </row>
    <row r="154" spans="1:22" s="6" customFormat="1" ht="15.75" customHeight="1">
      <c r="A154" s="66"/>
      <c r="B154" s="35" t="s">
        <v>129</v>
      </c>
      <c r="C154" s="46"/>
      <c r="D154" s="117"/>
      <c r="E154" s="53">
        <v>8544450</v>
      </c>
      <c r="F154" s="97">
        <f>8080000-1150000</f>
        <v>6930000</v>
      </c>
      <c r="G154" s="53">
        <v>1150000</v>
      </c>
      <c r="H154" s="53"/>
      <c r="I154" s="53">
        <v>500000</v>
      </c>
      <c r="J154" s="53">
        <v>500000</v>
      </c>
      <c r="K154" s="53">
        <v>1500000</v>
      </c>
      <c r="L154" s="53">
        <v>505000</v>
      </c>
      <c r="M154" s="53"/>
      <c r="N154" s="96"/>
      <c r="O154" s="68">
        <v>1010000</v>
      </c>
      <c r="P154" s="37"/>
      <c r="Q154" s="44"/>
      <c r="R154" s="37"/>
      <c r="S154" s="44"/>
      <c r="T154" s="39">
        <f>SUM(E154:S154)</f>
        <v>20639450</v>
      </c>
      <c r="U154" s="39">
        <f>T154*1/100+T154</f>
        <v>20845844.5</v>
      </c>
      <c r="V154" s="40">
        <f>U154*0.5/100+U154</f>
        <v>20950073.7225</v>
      </c>
    </row>
    <row r="155" spans="1:22" s="6" customFormat="1" ht="15.75" customHeight="1">
      <c r="A155" s="66"/>
      <c r="B155" s="35" t="s">
        <v>130</v>
      </c>
      <c r="C155" s="46"/>
      <c r="D155" s="44"/>
      <c r="E155" s="53">
        <f>32896912-K155</f>
        <v>27468112</v>
      </c>
      <c r="F155" s="97">
        <f>17675000-G155</f>
        <v>14335000</v>
      </c>
      <c r="G155" s="53">
        <v>3340000</v>
      </c>
      <c r="H155" s="53"/>
      <c r="I155" s="53">
        <f>52*5*3*17400</f>
        <v>13572000</v>
      </c>
      <c r="J155" s="53">
        <f>52*5*2*17400</f>
        <v>9048000</v>
      </c>
      <c r="K155" s="53">
        <f>3*52*2*17400</f>
        <v>5428800</v>
      </c>
      <c r="L155" s="53"/>
      <c r="M155" s="53"/>
      <c r="N155" s="96"/>
      <c r="O155" s="68">
        <v>7214430</v>
      </c>
      <c r="P155" s="37"/>
      <c r="Q155" s="44"/>
      <c r="R155" s="37"/>
      <c r="S155" s="44"/>
      <c r="T155" s="39">
        <v>80406350</v>
      </c>
      <c r="U155" s="39">
        <f>T155*1/100+T155</f>
        <v>81210413.5</v>
      </c>
      <c r="V155" s="40">
        <f>U155*0.5/100+U155</f>
        <v>81616465.5675</v>
      </c>
    </row>
    <row r="156" spans="1:22" s="6" customFormat="1" ht="15.75" customHeight="1">
      <c r="A156" s="66"/>
      <c r="B156" s="35" t="s">
        <v>131</v>
      </c>
      <c r="C156" s="46"/>
      <c r="D156" s="44"/>
      <c r="E156" s="52">
        <f>E151*0.02</f>
        <v>48981203.5</v>
      </c>
      <c r="F156" s="52">
        <f>F151*0.02</f>
        <v>6049197.8</v>
      </c>
      <c r="G156" s="52">
        <f>G151*0.02</f>
        <v>1152579.32</v>
      </c>
      <c r="H156" s="52"/>
      <c r="I156" s="52">
        <f aca="true" t="shared" si="10" ref="I156:O156">I151*0.02</f>
        <v>3223927</v>
      </c>
      <c r="J156" s="52">
        <f t="shared" si="10"/>
        <v>1903169.36</v>
      </c>
      <c r="K156" s="52">
        <f t="shared" si="10"/>
        <v>563832.4</v>
      </c>
      <c r="L156" s="52">
        <f t="shared" si="10"/>
        <v>535052.8</v>
      </c>
      <c r="M156" s="52">
        <f t="shared" si="10"/>
        <v>281916.2</v>
      </c>
      <c r="N156" s="52">
        <f t="shared" si="10"/>
        <v>281916.2</v>
      </c>
      <c r="O156" s="101">
        <f t="shared" si="10"/>
        <v>1793108.48</v>
      </c>
      <c r="P156" s="37"/>
      <c r="Q156" s="55"/>
      <c r="R156" s="37"/>
      <c r="S156" s="43"/>
      <c r="T156" s="40">
        <v>65958416</v>
      </c>
      <c r="U156" s="39">
        <f>T156*1/100+T156</f>
        <v>66618000.16</v>
      </c>
      <c r="V156" s="40">
        <f>U156*0.5/100+U156</f>
        <v>66951090.160799995</v>
      </c>
    </row>
    <row r="157" spans="1:22" s="6" customFormat="1" ht="15.75" customHeight="1">
      <c r="A157" s="66"/>
      <c r="B157" s="27"/>
      <c r="C157" s="85"/>
      <c r="D157" s="22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</row>
    <row r="158" spans="1:22" s="6" customFormat="1" ht="15.75" customHeight="1">
      <c r="A158" s="50" t="s">
        <v>132</v>
      </c>
      <c r="B158" s="93"/>
      <c r="C158" s="58"/>
      <c r="D158" s="5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1:22" s="6" customFormat="1" ht="15.75" customHeight="1">
      <c r="A159" s="118"/>
      <c r="B159" s="35" t="s">
        <v>133</v>
      </c>
      <c r="C159" s="46"/>
      <c r="D159" s="44"/>
      <c r="E159" s="53"/>
      <c r="F159" s="53"/>
      <c r="G159" s="53"/>
      <c r="H159" s="53"/>
      <c r="I159" s="53"/>
      <c r="J159" s="53"/>
      <c r="K159" s="53"/>
      <c r="L159" s="53"/>
      <c r="M159" s="53"/>
      <c r="N159" s="96"/>
      <c r="O159" s="68"/>
      <c r="P159" s="29"/>
      <c r="Q159" s="44"/>
      <c r="R159" s="29"/>
      <c r="S159" s="44"/>
      <c r="T159" s="40">
        <f>SUM(E159:S159)</f>
        <v>0</v>
      </c>
      <c r="U159" s="39">
        <f aca="true" t="shared" si="11" ref="U159:V162">T159*1.8/100+T159</f>
        <v>0</v>
      </c>
      <c r="V159" s="40">
        <f t="shared" si="11"/>
        <v>0</v>
      </c>
    </row>
    <row r="160" spans="1:22" s="6" customFormat="1" ht="15.75" customHeight="1">
      <c r="A160" s="118"/>
      <c r="B160" s="35" t="s">
        <v>134</v>
      </c>
      <c r="C160" s="46"/>
      <c r="D160" s="44"/>
      <c r="E160" s="53">
        <v>63000000</v>
      </c>
      <c r="F160" s="53"/>
      <c r="G160" s="53"/>
      <c r="H160" s="53">
        <v>20000000</v>
      </c>
      <c r="I160" s="53">
        <v>9000000</v>
      </c>
      <c r="J160" s="53">
        <v>13000000</v>
      </c>
      <c r="K160" s="53"/>
      <c r="L160" s="53"/>
      <c r="M160" s="53">
        <v>25000000</v>
      </c>
      <c r="N160" s="96"/>
      <c r="O160" s="68"/>
      <c r="P160" s="37"/>
      <c r="Q160" s="44"/>
      <c r="R160" s="37"/>
      <c r="S160" s="44"/>
      <c r="T160" s="39">
        <f>SUM(E160:S160)</f>
        <v>130000000</v>
      </c>
      <c r="U160" s="39">
        <f t="shared" si="11"/>
        <v>132340000</v>
      </c>
      <c r="V160" s="40">
        <f t="shared" si="11"/>
        <v>134722120</v>
      </c>
    </row>
    <row r="161" spans="1:22" s="6" customFormat="1" ht="15.75" customHeight="1">
      <c r="A161" s="118"/>
      <c r="B161" s="35" t="s">
        <v>135</v>
      </c>
      <c r="C161" s="46"/>
      <c r="D161" s="44"/>
      <c r="E161" s="53"/>
      <c r="F161" s="53"/>
      <c r="G161" s="53"/>
      <c r="H161" s="53"/>
      <c r="I161" s="53"/>
      <c r="J161" s="53"/>
      <c r="K161" s="53"/>
      <c r="L161" s="53"/>
      <c r="M161" s="53"/>
      <c r="N161" s="96"/>
      <c r="O161" s="68"/>
      <c r="P161" s="37"/>
      <c r="Q161" s="44"/>
      <c r="R161" s="37"/>
      <c r="S161" s="44"/>
      <c r="T161" s="39">
        <f>SUM(E161:S161)</f>
        <v>0</v>
      </c>
      <c r="U161" s="39">
        <f t="shared" si="11"/>
        <v>0</v>
      </c>
      <c r="V161" s="40">
        <f t="shared" si="11"/>
        <v>0</v>
      </c>
    </row>
    <row r="162" spans="1:22" s="6" customFormat="1" ht="15.75" customHeight="1">
      <c r="A162" s="118"/>
      <c r="B162" s="35" t="s">
        <v>136</v>
      </c>
      <c r="C162" s="46"/>
      <c r="D162" s="44"/>
      <c r="E162" s="53"/>
      <c r="F162" s="53"/>
      <c r="G162" s="53"/>
      <c r="H162" s="53"/>
      <c r="I162" s="53"/>
      <c r="J162" s="53"/>
      <c r="K162" s="53"/>
      <c r="L162" s="53"/>
      <c r="M162" s="53"/>
      <c r="N162" s="96"/>
      <c r="O162" s="68"/>
      <c r="P162" s="37"/>
      <c r="Q162" s="44"/>
      <c r="R162" s="37"/>
      <c r="S162" s="44"/>
      <c r="T162" s="40">
        <f>SUM(E162:S162)</f>
        <v>0</v>
      </c>
      <c r="U162" s="39">
        <f t="shared" si="11"/>
        <v>0</v>
      </c>
      <c r="V162" s="40">
        <f t="shared" si="11"/>
        <v>0</v>
      </c>
    </row>
    <row r="163" spans="1:22" s="6" customFormat="1" ht="15.75" customHeight="1">
      <c r="A163" s="118"/>
      <c r="B163" s="27"/>
      <c r="C163" s="85"/>
      <c r="D163" s="22"/>
      <c r="E163" s="18"/>
      <c r="F163" s="18"/>
      <c r="G163" s="18"/>
      <c r="H163" s="18"/>
      <c r="I163" s="18"/>
      <c r="J163" s="18"/>
      <c r="K163" s="18"/>
      <c r="L163" s="18"/>
      <c r="M163" s="18"/>
      <c r="N163" s="19"/>
      <c r="O163" s="66"/>
      <c r="P163" s="20"/>
      <c r="Q163" s="22"/>
      <c r="R163" s="20"/>
      <c r="S163" s="20"/>
      <c r="T163" s="119"/>
      <c r="U163" s="39"/>
      <c r="V163" s="40"/>
    </row>
    <row r="164" spans="1:22" s="6" customFormat="1" ht="15.75" customHeight="1">
      <c r="A164" s="50" t="s">
        <v>137</v>
      </c>
      <c r="B164" s="93" t="s">
        <v>138</v>
      </c>
      <c r="C164" s="58"/>
      <c r="D164" s="59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99"/>
      <c r="U164" s="99"/>
      <c r="V164" s="99"/>
    </row>
    <row r="165" spans="1:22" s="6" customFormat="1" ht="15.75" customHeight="1">
      <c r="A165" s="118"/>
      <c r="B165" s="35" t="s">
        <v>139</v>
      </c>
      <c r="C165" s="46"/>
      <c r="D165" s="44"/>
      <c r="E165" s="53">
        <v>30000000</v>
      </c>
      <c r="F165" s="53"/>
      <c r="G165" s="53"/>
      <c r="H165" s="53"/>
      <c r="I165" s="53">
        <v>192943966</v>
      </c>
      <c r="J165" s="53">
        <v>202189506</v>
      </c>
      <c r="K165" s="53"/>
      <c r="L165" s="53"/>
      <c r="M165" s="53"/>
      <c r="N165" s="96"/>
      <c r="O165" s="68"/>
      <c r="P165" s="29"/>
      <c r="Q165" s="44"/>
      <c r="R165" s="29"/>
      <c r="S165" s="44"/>
      <c r="T165" s="40">
        <f>SUM(E165:S165)</f>
        <v>425133472</v>
      </c>
      <c r="U165" s="39">
        <f>T165*1.8/100+T165</f>
        <v>432785874.496</v>
      </c>
      <c r="V165" s="40">
        <f>U165*1.8/100+U165</f>
        <v>440576020.236928</v>
      </c>
    </row>
    <row r="166" spans="1:22" s="6" customFormat="1" ht="15.75" customHeight="1">
      <c r="A166" s="118"/>
      <c r="B166" s="35" t="s">
        <v>140</v>
      </c>
      <c r="C166" s="46"/>
      <c r="D166" s="44"/>
      <c r="E166" s="53">
        <v>-45000000</v>
      </c>
      <c r="F166" s="53"/>
      <c r="G166" s="53"/>
      <c r="H166" s="53"/>
      <c r="I166" s="53">
        <v>-187000000</v>
      </c>
      <c r="J166" s="53">
        <v>-195000000</v>
      </c>
      <c r="K166" s="53"/>
      <c r="L166" s="53"/>
      <c r="M166" s="53"/>
      <c r="N166" s="96"/>
      <c r="O166" s="68"/>
      <c r="P166" s="37"/>
      <c r="Q166" s="44"/>
      <c r="R166" s="37"/>
      <c r="S166" s="44"/>
      <c r="T166" s="39">
        <f>SUM(E166:S166)</f>
        <v>-427000000</v>
      </c>
      <c r="U166" s="39">
        <f>T166*1.8/100+T166</f>
        <v>-434686000</v>
      </c>
      <c r="V166" s="40">
        <f>U166*1.8/100+U166</f>
        <v>-442510348</v>
      </c>
    </row>
    <row r="167" spans="1:22" s="6" customFormat="1" ht="15.75" customHeight="1">
      <c r="A167" s="118"/>
      <c r="B167" s="27"/>
      <c r="C167" s="85"/>
      <c r="D167" s="22"/>
      <c r="E167" s="18"/>
      <c r="F167" s="18"/>
      <c r="G167" s="18"/>
      <c r="H167" s="18"/>
      <c r="I167" s="18"/>
      <c r="J167" s="18"/>
      <c r="K167" s="18"/>
      <c r="L167" s="18"/>
      <c r="M167" s="18"/>
      <c r="N167" s="19"/>
      <c r="O167" s="66"/>
      <c r="P167" s="20"/>
      <c r="Q167" s="22"/>
      <c r="R167" s="20"/>
      <c r="S167" s="20"/>
      <c r="T167" s="119"/>
      <c r="U167" s="119"/>
      <c r="V167" s="65"/>
    </row>
    <row r="168" spans="1:22" s="6" customFormat="1" ht="15.75" customHeight="1">
      <c r="A168" s="50" t="s">
        <v>141</v>
      </c>
      <c r="B168" s="93" t="s">
        <v>142</v>
      </c>
      <c r="C168" s="58"/>
      <c r="D168" s="59"/>
      <c r="E168" s="64"/>
      <c r="F168" s="64"/>
      <c r="G168" s="64"/>
      <c r="H168" s="64"/>
      <c r="I168" s="64"/>
      <c r="J168" s="64"/>
      <c r="K168" s="64"/>
      <c r="L168" s="66"/>
      <c r="M168" s="64"/>
      <c r="N168" s="64"/>
      <c r="O168" s="64"/>
      <c r="P168" s="64"/>
      <c r="Q168" s="64"/>
      <c r="R168" s="64"/>
      <c r="S168" s="64"/>
      <c r="T168" s="99"/>
      <c r="U168" s="99"/>
      <c r="V168" s="99"/>
    </row>
    <row r="169" spans="1:22" s="6" customFormat="1" ht="15.75" customHeight="1">
      <c r="A169" s="118"/>
      <c r="B169" s="35" t="s">
        <v>143</v>
      </c>
      <c r="C169" s="46"/>
      <c r="D169" s="44"/>
      <c r="E169" s="53"/>
      <c r="F169" s="53"/>
      <c r="G169" s="53"/>
      <c r="H169" s="53"/>
      <c r="I169" s="53"/>
      <c r="J169" s="53"/>
      <c r="K169" s="53"/>
      <c r="L169" s="53"/>
      <c r="M169" s="53"/>
      <c r="N169" s="96"/>
      <c r="O169" s="68"/>
      <c r="P169" s="29"/>
      <c r="Q169" s="44"/>
      <c r="R169" s="29"/>
      <c r="S169" s="44"/>
      <c r="T169" s="40">
        <f>SUM(E169:S169)</f>
        <v>0</v>
      </c>
      <c r="U169" s="39">
        <f>T169*1.8/100+T169</f>
        <v>0</v>
      </c>
      <c r="V169" s="40">
        <f>U169*1.8/100+U169</f>
        <v>0</v>
      </c>
    </row>
    <row r="170" spans="1:22" s="6" customFormat="1" ht="15.75" customHeight="1">
      <c r="A170" s="118"/>
      <c r="B170" s="58"/>
      <c r="C170" s="5"/>
      <c r="D170" s="59"/>
      <c r="E170" s="18"/>
      <c r="F170" s="18"/>
      <c r="G170" s="18"/>
      <c r="H170" s="18"/>
      <c r="I170" s="18"/>
      <c r="J170" s="18"/>
      <c r="K170" s="18"/>
      <c r="L170" s="18"/>
      <c r="M170" s="18"/>
      <c r="N170" s="19"/>
      <c r="O170" s="66"/>
      <c r="P170" s="20"/>
      <c r="Q170" s="22"/>
      <c r="R170" s="20"/>
      <c r="S170" s="20"/>
      <c r="T170" s="119"/>
      <c r="U170" s="119"/>
      <c r="V170" s="65"/>
    </row>
    <row r="171" spans="1:22" s="6" customFormat="1" ht="15.75" customHeight="1">
      <c r="A171" s="50" t="s">
        <v>144</v>
      </c>
      <c r="B171" s="93" t="s">
        <v>145</v>
      </c>
      <c r="C171" s="58"/>
      <c r="D171" s="59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99"/>
      <c r="U171" s="99"/>
      <c r="V171" s="99"/>
    </row>
    <row r="172" spans="1:22" s="6" customFormat="1" ht="15.75" customHeight="1">
      <c r="A172" s="118"/>
      <c r="B172" s="35" t="s">
        <v>146</v>
      </c>
      <c r="C172" s="46"/>
      <c r="D172" s="44"/>
      <c r="E172" s="53"/>
      <c r="F172" s="53"/>
      <c r="G172" s="53"/>
      <c r="H172" s="53"/>
      <c r="I172" s="53"/>
      <c r="J172" s="53"/>
      <c r="K172" s="53"/>
      <c r="L172" s="53"/>
      <c r="M172" s="53"/>
      <c r="N172" s="96"/>
      <c r="O172" s="68"/>
      <c r="P172" s="29"/>
      <c r="Q172" s="44"/>
      <c r="R172" s="29"/>
      <c r="S172" s="44"/>
      <c r="T172" s="40">
        <f>SUM(E172:S172)</f>
        <v>0</v>
      </c>
      <c r="U172" s="39">
        <f>T172*1.8/100+T172</f>
        <v>0</v>
      </c>
      <c r="V172" s="40">
        <f>U172*1.8/100+U172</f>
        <v>0</v>
      </c>
    </row>
    <row r="173" spans="1:22" s="6" customFormat="1" ht="15.75" customHeight="1">
      <c r="A173" s="118"/>
      <c r="B173" s="58"/>
      <c r="C173" s="5"/>
      <c r="D173" s="59"/>
      <c r="E173" s="18"/>
      <c r="F173" s="18"/>
      <c r="G173" s="18"/>
      <c r="H173" s="18"/>
      <c r="I173" s="18"/>
      <c r="J173" s="18"/>
      <c r="K173" s="18"/>
      <c r="L173" s="18"/>
      <c r="M173" s="18"/>
      <c r="N173" s="19"/>
      <c r="O173" s="66"/>
      <c r="P173" s="20"/>
      <c r="Q173" s="22"/>
      <c r="R173" s="20"/>
      <c r="S173" s="20"/>
      <c r="T173" s="119"/>
      <c r="U173" s="119"/>
      <c r="V173" s="65"/>
    </row>
    <row r="174" spans="1:22" s="6" customFormat="1" ht="15.75" customHeight="1">
      <c r="A174" s="50" t="s">
        <v>147</v>
      </c>
      <c r="B174" s="93" t="s">
        <v>148</v>
      </c>
      <c r="C174" s="58"/>
      <c r="D174" s="59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5"/>
      <c r="U174" s="99"/>
      <c r="V174" s="99"/>
    </row>
    <row r="175" spans="1:22" s="6" customFormat="1" ht="15.75" customHeight="1">
      <c r="A175" s="118"/>
      <c r="B175" s="35" t="s">
        <v>149</v>
      </c>
      <c r="C175" s="46"/>
      <c r="D175" s="44"/>
      <c r="E175" s="53"/>
      <c r="F175" s="53"/>
      <c r="G175" s="53"/>
      <c r="H175" s="53"/>
      <c r="I175" s="53"/>
      <c r="J175" s="53"/>
      <c r="K175" s="53"/>
      <c r="L175" s="53"/>
      <c r="M175" s="53"/>
      <c r="N175" s="96"/>
      <c r="O175" s="68"/>
      <c r="P175" s="29"/>
      <c r="Q175" s="44"/>
      <c r="R175" s="29"/>
      <c r="S175" s="44"/>
      <c r="T175" s="69">
        <f aca="true" t="shared" si="12" ref="T175:T186">SUM(E175:S175)</f>
        <v>0</v>
      </c>
      <c r="U175" s="39">
        <f aca="true" t="shared" si="13" ref="U175:V190">T175*1.8/100+T175</f>
        <v>0</v>
      </c>
      <c r="V175" s="40">
        <f t="shared" si="13"/>
        <v>0</v>
      </c>
    </row>
    <row r="176" spans="1:22" s="6" customFormat="1" ht="15.75" customHeight="1">
      <c r="A176" s="118"/>
      <c r="B176" s="35" t="s">
        <v>150</v>
      </c>
      <c r="C176" s="46"/>
      <c r="D176" s="44"/>
      <c r="E176" s="53"/>
      <c r="F176" s="53"/>
      <c r="G176" s="53"/>
      <c r="H176" s="53"/>
      <c r="I176" s="53"/>
      <c r="J176" s="53"/>
      <c r="K176" s="53"/>
      <c r="L176" s="53"/>
      <c r="M176" s="53"/>
      <c r="N176" s="96"/>
      <c r="O176" s="68"/>
      <c r="P176" s="37"/>
      <c r="Q176" s="44"/>
      <c r="R176" s="37"/>
      <c r="S176" s="44"/>
      <c r="T176" s="39">
        <f t="shared" si="12"/>
        <v>0</v>
      </c>
      <c r="U176" s="39">
        <f t="shared" si="13"/>
        <v>0</v>
      </c>
      <c r="V176" s="40">
        <f t="shared" si="13"/>
        <v>0</v>
      </c>
    </row>
    <row r="177" spans="1:22" s="6" customFormat="1" ht="15.75" customHeight="1">
      <c r="A177" s="118"/>
      <c r="B177" s="35" t="s">
        <v>151</v>
      </c>
      <c r="C177" s="46"/>
      <c r="D177" s="44"/>
      <c r="E177" s="53"/>
      <c r="F177" s="53"/>
      <c r="G177" s="53"/>
      <c r="H177" s="53"/>
      <c r="I177" s="53"/>
      <c r="J177" s="53"/>
      <c r="K177" s="53"/>
      <c r="L177" s="53"/>
      <c r="M177" s="53"/>
      <c r="N177" s="96"/>
      <c r="O177" s="68"/>
      <c r="P177" s="37"/>
      <c r="Q177" s="44"/>
      <c r="R177" s="37"/>
      <c r="S177" s="44"/>
      <c r="T177" s="39">
        <f t="shared" si="12"/>
        <v>0</v>
      </c>
      <c r="U177" s="39">
        <f t="shared" si="13"/>
        <v>0</v>
      </c>
      <c r="V177" s="40">
        <f t="shared" si="13"/>
        <v>0</v>
      </c>
    </row>
    <row r="178" spans="1:22" s="6" customFormat="1" ht="15.75" customHeight="1">
      <c r="A178" s="118"/>
      <c r="B178" s="35" t="s">
        <v>152</v>
      </c>
      <c r="C178" s="46"/>
      <c r="D178" s="44"/>
      <c r="E178" s="53"/>
      <c r="F178" s="53"/>
      <c r="G178" s="53"/>
      <c r="H178" s="53"/>
      <c r="I178" s="53">
        <v>1200000</v>
      </c>
      <c r="J178" s="53">
        <v>1200000</v>
      </c>
      <c r="K178" s="53"/>
      <c r="L178" s="53"/>
      <c r="M178" s="53"/>
      <c r="N178" s="96"/>
      <c r="O178" s="68"/>
      <c r="P178" s="37"/>
      <c r="Q178" s="44"/>
      <c r="R178" s="37"/>
      <c r="S178" s="44"/>
      <c r="T178" s="39">
        <f t="shared" si="12"/>
        <v>2400000</v>
      </c>
      <c r="U178" s="39">
        <f t="shared" si="13"/>
        <v>2443200</v>
      </c>
      <c r="V178" s="40">
        <f t="shared" si="13"/>
        <v>2487177.6</v>
      </c>
    </row>
    <row r="179" spans="1:22" s="6" customFormat="1" ht="15.75" customHeight="1">
      <c r="A179" s="118"/>
      <c r="B179" s="35" t="s">
        <v>153</v>
      </c>
      <c r="C179" s="46"/>
      <c r="D179" s="44"/>
      <c r="E179" s="53"/>
      <c r="F179" s="53"/>
      <c r="G179" s="53"/>
      <c r="H179" s="53"/>
      <c r="I179" s="53"/>
      <c r="J179" s="53"/>
      <c r="K179" s="53"/>
      <c r="L179" s="53"/>
      <c r="M179" s="53"/>
      <c r="N179" s="96"/>
      <c r="O179" s="68"/>
      <c r="P179" s="37"/>
      <c r="Q179" s="44"/>
      <c r="R179" s="37"/>
      <c r="S179" s="44"/>
      <c r="T179" s="39">
        <f t="shared" si="12"/>
        <v>0</v>
      </c>
      <c r="U179" s="39">
        <f t="shared" si="13"/>
        <v>0</v>
      </c>
      <c r="V179" s="40">
        <f t="shared" si="13"/>
        <v>0</v>
      </c>
    </row>
    <row r="180" spans="1:22" s="6" customFormat="1" ht="15.75" customHeight="1">
      <c r="A180" s="118"/>
      <c r="B180" s="35" t="s">
        <v>154</v>
      </c>
      <c r="C180" s="46"/>
      <c r="D180" s="44"/>
      <c r="E180" s="53"/>
      <c r="F180" s="53"/>
      <c r="G180" s="53"/>
      <c r="H180" s="53"/>
      <c r="I180" s="53"/>
      <c r="J180" s="53"/>
      <c r="K180" s="53"/>
      <c r="L180" s="53"/>
      <c r="M180" s="53"/>
      <c r="N180" s="96"/>
      <c r="O180" s="68"/>
      <c r="P180" s="37"/>
      <c r="Q180" s="44"/>
      <c r="R180" s="37"/>
      <c r="S180" s="44">
        <v>5000000</v>
      </c>
      <c r="T180" s="39">
        <f t="shared" si="12"/>
        <v>5000000</v>
      </c>
      <c r="U180" s="39">
        <f t="shared" si="13"/>
        <v>5090000</v>
      </c>
      <c r="V180" s="40">
        <f t="shared" si="13"/>
        <v>5181620</v>
      </c>
    </row>
    <row r="181" spans="1:22" s="6" customFormat="1" ht="15.75" customHeight="1">
      <c r="A181" s="118"/>
      <c r="B181" s="35" t="s">
        <v>155</v>
      </c>
      <c r="C181" s="46"/>
      <c r="D181" s="44"/>
      <c r="E181" s="53">
        <v>30600000</v>
      </c>
      <c r="F181" s="53"/>
      <c r="G181" s="53"/>
      <c r="H181" s="53">
        <v>1500000</v>
      </c>
      <c r="I181" s="53">
        <v>700000</v>
      </c>
      <c r="J181" s="53">
        <v>800000</v>
      </c>
      <c r="K181" s="53"/>
      <c r="L181" s="53"/>
      <c r="M181" s="53"/>
      <c r="N181" s="96"/>
      <c r="O181" s="68"/>
      <c r="P181" s="37"/>
      <c r="Q181" s="44"/>
      <c r="R181" s="37"/>
      <c r="S181" s="44"/>
      <c r="T181" s="39">
        <f t="shared" si="12"/>
        <v>33600000</v>
      </c>
      <c r="U181" s="39">
        <f t="shared" si="13"/>
        <v>34204800</v>
      </c>
      <c r="V181" s="40">
        <f t="shared" si="13"/>
        <v>34820486.4</v>
      </c>
    </row>
    <row r="182" spans="1:22" s="6" customFormat="1" ht="15.75" customHeight="1">
      <c r="A182" s="118"/>
      <c r="B182" s="35" t="s">
        <v>156</v>
      </c>
      <c r="C182" s="46"/>
      <c r="D182" s="44"/>
      <c r="E182" s="53">
        <v>5100000</v>
      </c>
      <c r="F182" s="53"/>
      <c r="G182" s="53">
        <v>1020000</v>
      </c>
      <c r="H182" s="53">
        <v>525000</v>
      </c>
      <c r="I182" s="53"/>
      <c r="J182" s="53"/>
      <c r="K182" s="53"/>
      <c r="L182" s="53"/>
      <c r="M182" s="53"/>
      <c r="N182" s="96"/>
      <c r="O182" s="68"/>
      <c r="P182" s="37"/>
      <c r="Q182" s="44"/>
      <c r="R182" s="37"/>
      <c r="S182" s="44"/>
      <c r="T182" s="39">
        <f t="shared" si="12"/>
        <v>6645000</v>
      </c>
      <c r="U182" s="39">
        <f t="shared" si="13"/>
        <v>6764610</v>
      </c>
      <c r="V182" s="40">
        <f t="shared" si="13"/>
        <v>6886372.98</v>
      </c>
    </row>
    <row r="183" spans="1:22" s="6" customFormat="1" ht="15.75" customHeight="1">
      <c r="A183" s="118"/>
      <c r="B183" s="35" t="s">
        <v>157</v>
      </c>
      <c r="C183" s="46"/>
      <c r="D183" s="44"/>
      <c r="E183" s="53"/>
      <c r="F183" s="53"/>
      <c r="G183" s="53"/>
      <c r="H183" s="53"/>
      <c r="I183" s="53"/>
      <c r="J183" s="53"/>
      <c r="K183" s="53"/>
      <c r="L183" s="53"/>
      <c r="M183" s="53"/>
      <c r="N183" s="96">
        <v>10000000</v>
      </c>
      <c r="O183" s="68"/>
      <c r="P183" s="37"/>
      <c r="Q183" s="44"/>
      <c r="R183" s="37"/>
      <c r="S183" s="44"/>
      <c r="T183" s="39">
        <v>9000000</v>
      </c>
      <c r="U183" s="39">
        <f t="shared" si="13"/>
        <v>9162000</v>
      </c>
      <c r="V183" s="40">
        <f t="shared" si="13"/>
        <v>9326916</v>
      </c>
    </row>
    <row r="184" spans="1:22" s="6" customFormat="1" ht="15.75" customHeight="1">
      <c r="A184" s="118"/>
      <c r="B184" s="35" t="s">
        <v>158</v>
      </c>
      <c r="C184" s="46"/>
      <c r="D184" s="44"/>
      <c r="E184" s="53">
        <f>16000000+9000000</f>
        <v>25000000</v>
      </c>
      <c r="F184" s="53">
        <v>1000000</v>
      </c>
      <c r="G184" s="53">
        <v>500000</v>
      </c>
      <c r="H184" s="53">
        <v>3000000</v>
      </c>
      <c r="I184" s="53">
        <v>1500000</v>
      </c>
      <c r="J184" s="53">
        <v>1500000</v>
      </c>
      <c r="K184" s="53">
        <v>500000</v>
      </c>
      <c r="L184" s="53">
        <v>500000</v>
      </c>
      <c r="M184" s="53">
        <v>3000000</v>
      </c>
      <c r="N184" s="96">
        <v>500000</v>
      </c>
      <c r="O184" s="68">
        <v>500000</v>
      </c>
      <c r="P184" s="37">
        <v>3000000</v>
      </c>
      <c r="Q184" s="44"/>
      <c r="R184" s="37"/>
      <c r="S184" s="44"/>
      <c r="T184" s="39">
        <f t="shared" si="12"/>
        <v>40500000</v>
      </c>
      <c r="U184" s="39">
        <f t="shared" si="13"/>
        <v>41229000</v>
      </c>
      <c r="V184" s="40">
        <f t="shared" si="13"/>
        <v>41971122</v>
      </c>
    </row>
    <row r="185" spans="1:22" s="6" customFormat="1" ht="15.75" customHeight="1">
      <c r="A185" s="118"/>
      <c r="B185" s="35" t="s">
        <v>159</v>
      </c>
      <c r="C185" s="46"/>
      <c r="D185" s="44"/>
      <c r="E185" s="18">
        <v>1020000</v>
      </c>
      <c r="F185" s="18"/>
      <c r="G185" s="18"/>
      <c r="H185" s="18"/>
      <c r="I185" s="18">
        <v>1000000</v>
      </c>
      <c r="J185" s="18">
        <v>1000000</v>
      </c>
      <c r="K185" s="18"/>
      <c r="L185" s="18"/>
      <c r="M185" s="18"/>
      <c r="N185" s="19"/>
      <c r="O185" s="68"/>
      <c r="P185" s="37"/>
      <c r="Q185" s="44"/>
      <c r="R185" s="37"/>
      <c r="S185" s="44"/>
      <c r="T185" s="39">
        <f t="shared" si="12"/>
        <v>3020000</v>
      </c>
      <c r="U185" s="39">
        <f t="shared" si="13"/>
        <v>3074360</v>
      </c>
      <c r="V185" s="40">
        <f t="shared" si="13"/>
        <v>3129698.48</v>
      </c>
    </row>
    <row r="186" spans="1:22" s="6" customFormat="1" ht="15.75" customHeight="1">
      <c r="A186" s="118"/>
      <c r="B186" s="61" t="s">
        <v>160</v>
      </c>
      <c r="C186" s="62"/>
      <c r="D186" s="43"/>
      <c r="E186" s="37">
        <v>1428000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68"/>
      <c r="P186" s="37"/>
      <c r="Q186" s="37"/>
      <c r="R186" s="37"/>
      <c r="S186" s="44"/>
      <c r="T186" s="39">
        <f t="shared" si="12"/>
        <v>1428000</v>
      </c>
      <c r="U186" s="39">
        <f t="shared" si="13"/>
        <v>1453704</v>
      </c>
      <c r="V186" s="40">
        <f t="shared" si="13"/>
        <v>1479870.672</v>
      </c>
    </row>
    <row r="187" spans="1:22" s="6" customFormat="1" ht="15.75" customHeight="1">
      <c r="A187" s="41"/>
      <c r="B187" s="57" t="s">
        <v>161</v>
      </c>
      <c r="C187" s="5"/>
      <c r="D187" s="22"/>
      <c r="E187" s="18"/>
      <c r="F187" s="18"/>
      <c r="G187" s="18"/>
      <c r="H187" s="18"/>
      <c r="I187" s="18"/>
      <c r="J187" s="18"/>
      <c r="K187" s="18"/>
      <c r="L187" s="18"/>
      <c r="M187" s="18"/>
      <c r="N187" s="19"/>
      <c r="O187" s="68"/>
      <c r="P187" s="37"/>
      <c r="Q187" s="37"/>
      <c r="R187" s="37"/>
      <c r="S187" s="44"/>
      <c r="T187" s="99"/>
      <c r="U187" s="99"/>
      <c r="V187" s="99"/>
    </row>
    <row r="188" spans="1:22" s="6" customFormat="1" ht="15.75" customHeight="1">
      <c r="A188" s="66"/>
      <c r="B188" s="46" t="s">
        <v>162</v>
      </c>
      <c r="C188" s="46"/>
      <c r="D188" s="44"/>
      <c r="E188" s="37"/>
      <c r="F188" s="37"/>
      <c r="G188" s="37"/>
      <c r="H188" s="37"/>
      <c r="I188" s="37">
        <v>12000000</v>
      </c>
      <c r="J188" s="37">
        <v>12000000</v>
      </c>
      <c r="K188" s="37"/>
      <c r="L188" s="37"/>
      <c r="M188" s="37"/>
      <c r="N188" s="37"/>
      <c r="O188" s="68"/>
      <c r="P188" s="37"/>
      <c r="Q188" s="37"/>
      <c r="R188" s="37"/>
      <c r="S188" s="44"/>
      <c r="T188" s="40">
        <v>18000000</v>
      </c>
      <c r="U188" s="39">
        <f t="shared" si="13"/>
        <v>18324000</v>
      </c>
      <c r="V188" s="40">
        <f t="shared" si="13"/>
        <v>18653832</v>
      </c>
    </row>
    <row r="189" spans="1:22" s="6" customFormat="1" ht="15.75" customHeight="1">
      <c r="A189" s="118"/>
      <c r="B189" s="46" t="s">
        <v>58</v>
      </c>
      <c r="C189" s="46"/>
      <c r="D189" s="44"/>
      <c r="E189" s="37">
        <v>22700000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68"/>
      <c r="P189" s="37"/>
      <c r="Q189" s="37"/>
      <c r="R189" s="37"/>
      <c r="S189" s="44"/>
      <c r="T189" s="39">
        <f aca="true" t="shared" si="14" ref="T189:T197">SUM(E189:S189)</f>
        <v>22700000</v>
      </c>
      <c r="U189" s="39">
        <f t="shared" si="13"/>
        <v>23108600</v>
      </c>
      <c r="V189" s="40">
        <f t="shared" si="13"/>
        <v>23524554.8</v>
      </c>
    </row>
    <row r="190" spans="1:22" s="6" customFormat="1" ht="15.75" customHeight="1">
      <c r="A190" s="118"/>
      <c r="B190" s="46" t="s">
        <v>163</v>
      </c>
      <c r="C190" s="46"/>
      <c r="D190" s="44"/>
      <c r="E190" s="37">
        <v>2000000</v>
      </c>
      <c r="F190" s="37">
        <v>2000000</v>
      </c>
      <c r="G190" s="37">
        <v>2000000</v>
      </c>
      <c r="H190" s="37"/>
      <c r="I190" s="37"/>
      <c r="J190" s="37"/>
      <c r="K190" s="37"/>
      <c r="L190" s="37"/>
      <c r="M190" s="37"/>
      <c r="N190" s="37"/>
      <c r="O190" s="68"/>
      <c r="P190" s="37"/>
      <c r="Q190" s="37"/>
      <c r="R190" s="37"/>
      <c r="S190" s="44"/>
      <c r="T190" s="39">
        <f t="shared" si="14"/>
        <v>6000000</v>
      </c>
      <c r="U190" s="39">
        <f t="shared" si="13"/>
        <v>6108000</v>
      </c>
      <c r="V190" s="40">
        <f t="shared" si="13"/>
        <v>6217944</v>
      </c>
    </row>
    <row r="191" spans="1:22" s="6" customFormat="1" ht="15.75" customHeight="1">
      <c r="A191" s="118"/>
      <c r="B191" s="46" t="s">
        <v>164</v>
      </c>
      <c r="C191" s="46"/>
      <c r="D191" s="44"/>
      <c r="E191" s="37">
        <v>7000000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68"/>
      <c r="P191" s="37"/>
      <c r="Q191" s="37"/>
      <c r="R191" s="37"/>
      <c r="S191" s="44"/>
      <c r="T191" s="39">
        <f t="shared" si="14"/>
        <v>7000000</v>
      </c>
      <c r="U191" s="39">
        <f aca="true" t="shared" si="15" ref="U191:V197">T191*1.8/100+T191</f>
        <v>7126000</v>
      </c>
      <c r="V191" s="40">
        <f t="shared" si="15"/>
        <v>7254268</v>
      </c>
    </row>
    <row r="192" spans="1:22" s="6" customFormat="1" ht="15.75" customHeight="1">
      <c r="A192" s="118"/>
      <c r="B192" s="46" t="s">
        <v>59</v>
      </c>
      <c r="C192" s="46"/>
      <c r="D192" s="44"/>
      <c r="E192" s="52"/>
      <c r="F192" s="52">
        <v>29000000</v>
      </c>
      <c r="G192" s="37"/>
      <c r="H192" s="37"/>
      <c r="I192" s="37"/>
      <c r="J192" s="37"/>
      <c r="K192" s="37"/>
      <c r="L192" s="37"/>
      <c r="M192" s="37"/>
      <c r="N192" s="37"/>
      <c r="O192" s="68"/>
      <c r="P192" s="37"/>
      <c r="Q192" s="37"/>
      <c r="R192" s="37"/>
      <c r="S192" s="44"/>
      <c r="T192" s="39">
        <f t="shared" si="14"/>
        <v>29000000</v>
      </c>
      <c r="U192" s="39">
        <f t="shared" si="15"/>
        <v>29522000</v>
      </c>
      <c r="V192" s="40">
        <f t="shared" si="15"/>
        <v>30053396</v>
      </c>
    </row>
    <row r="193" spans="1:22" s="6" customFormat="1" ht="15.75" customHeight="1">
      <c r="A193" s="118"/>
      <c r="B193" s="35" t="s">
        <v>60</v>
      </c>
      <c r="C193" s="46"/>
      <c r="D193" s="44"/>
      <c r="E193" s="37"/>
      <c r="F193" s="37"/>
      <c r="G193" s="37"/>
      <c r="H193" s="37"/>
      <c r="I193" s="37"/>
      <c r="J193" s="37"/>
      <c r="K193" s="37"/>
      <c r="L193" s="37"/>
      <c r="M193" s="37"/>
      <c r="N193" s="37">
        <v>275000000</v>
      </c>
      <c r="O193" s="68"/>
      <c r="P193" s="37"/>
      <c r="Q193" s="37"/>
      <c r="R193" s="37"/>
      <c r="S193" s="44"/>
      <c r="T193" s="39">
        <v>317000000</v>
      </c>
      <c r="U193" s="39">
        <f t="shared" si="15"/>
        <v>322706000</v>
      </c>
      <c r="V193" s="40">
        <f t="shared" si="15"/>
        <v>328514708</v>
      </c>
    </row>
    <row r="194" spans="1:22" s="6" customFormat="1" ht="15.75" customHeight="1">
      <c r="A194" s="118"/>
      <c r="B194" s="35" t="s">
        <v>165</v>
      </c>
      <c r="C194" s="46"/>
      <c r="D194" s="44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68"/>
      <c r="P194" s="37"/>
      <c r="Q194" s="37"/>
      <c r="R194" s="37">
        <v>7500000</v>
      </c>
      <c r="S194" s="44"/>
      <c r="T194" s="39">
        <f t="shared" si="14"/>
        <v>7500000</v>
      </c>
      <c r="U194" s="39">
        <f t="shared" si="15"/>
        <v>7635000</v>
      </c>
      <c r="V194" s="40">
        <f t="shared" si="15"/>
        <v>7772430</v>
      </c>
    </row>
    <row r="195" spans="1:22" s="6" customFormat="1" ht="15.75" customHeight="1">
      <c r="A195" s="118"/>
      <c r="B195" s="35" t="s">
        <v>166</v>
      </c>
      <c r="C195" s="46"/>
      <c r="D195" s="44"/>
      <c r="E195" s="37">
        <v>10000000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68"/>
      <c r="P195" s="37"/>
      <c r="Q195" s="37"/>
      <c r="R195" s="37"/>
      <c r="S195" s="44"/>
      <c r="T195" s="39">
        <f t="shared" si="14"/>
        <v>10000000</v>
      </c>
      <c r="U195" s="39">
        <f t="shared" si="15"/>
        <v>10180000</v>
      </c>
      <c r="V195" s="40">
        <f t="shared" si="15"/>
        <v>10363240</v>
      </c>
    </row>
    <row r="196" spans="1:22" s="6" customFormat="1" ht="15.75" customHeight="1">
      <c r="A196" s="118"/>
      <c r="B196" s="35" t="s">
        <v>62</v>
      </c>
      <c r="C196" s="46"/>
      <c r="D196" s="44"/>
      <c r="E196" s="37">
        <v>24000000</v>
      </c>
      <c r="F196" s="63">
        <v>25000000</v>
      </c>
      <c r="G196" s="52">
        <v>3500000</v>
      </c>
      <c r="H196" s="52">
        <v>3000000</v>
      </c>
      <c r="I196" s="52">
        <v>8500000</v>
      </c>
      <c r="J196" s="52">
        <v>8500000</v>
      </c>
      <c r="K196" s="52">
        <v>0</v>
      </c>
      <c r="L196" s="52">
        <v>0</v>
      </c>
      <c r="M196" s="52">
        <v>6000000</v>
      </c>
      <c r="N196" s="54">
        <v>0</v>
      </c>
      <c r="O196" s="44">
        <v>3000000</v>
      </c>
      <c r="P196" s="29">
        <v>0</v>
      </c>
      <c r="Q196" s="68">
        <v>0</v>
      </c>
      <c r="R196" s="68">
        <v>0</v>
      </c>
      <c r="S196" s="37">
        <v>0</v>
      </c>
      <c r="T196" s="39">
        <f t="shared" si="14"/>
        <v>81500000</v>
      </c>
      <c r="U196" s="39">
        <f t="shared" si="15"/>
        <v>82967000</v>
      </c>
      <c r="V196" s="40">
        <f t="shared" si="15"/>
        <v>84460406</v>
      </c>
    </row>
    <row r="197" spans="1:22" s="6" customFormat="1" ht="15.75" customHeight="1">
      <c r="A197" s="118"/>
      <c r="B197" s="35" t="s">
        <v>64</v>
      </c>
      <c r="C197" s="46"/>
      <c r="D197" s="44"/>
      <c r="E197" s="37">
        <v>13500000</v>
      </c>
      <c r="F197" s="37">
        <v>13500000</v>
      </c>
      <c r="G197" s="37">
        <v>4500000</v>
      </c>
      <c r="H197" s="37">
        <v>0</v>
      </c>
      <c r="I197" s="37">
        <v>9000000</v>
      </c>
      <c r="J197" s="37">
        <v>9000000</v>
      </c>
      <c r="K197" s="37">
        <v>0</v>
      </c>
      <c r="L197" s="37">
        <v>0</v>
      </c>
      <c r="M197" s="37">
        <v>4500000</v>
      </c>
      <c r="N197" s="37">
        <v>0</v>
      </c>
      <c r="O197" s="68">
        <v>4500000</v>
      </c>
      <c r="P197" s="37">
        <v>0</v>
      </c>
      <c r="Q197" s="37">
        <v>0</v>
      </c>
      <c r="R197" s="37">
        <v>0</v>
      </c>
      <c r="S197" s="37"/>
      <c r="T197" s="39">
        <f t="shared" si="14"/>
        <v>58500000</v>
      </c>
      <c r="U197" s="39">
        <f t="shared" si="15"/>
        <v>59553000</v>
      </c>
      <c r="V197" s="40">
        <f t="shared" si="15"/>
        <v>60624954</v>
      </c>
    </row>
    <row r="198" spans="1:22" s="6" customFormat="1" ht="15.75" customHeight="1">
      <c r="A198" s="38"/>
      <c r="B198" s="120" t="s">
        <v>65</v>
      </c>
      <c r="C198" s="120"/>
      <c r="D198" s="43"/>
      <c r="E198" s="121">
        <f aca="true" t="shared" si="16" ref="E198:S198">SUM(E70:E197)</f>
        <v>5759378709.52</v>
      </c>
      <c r="F198" s="121">
        <f t="shared" si="16"/>
        <v>1237278859.8</v>
      </c>
      <c r="G198" s="121">
        <f t="shared" si="16"/>
        <v>321225422.32</v>
      </c>
      <c r="H198" s="121">
        <f t="shared" si="16"/>
        <v>260879400</v>
      </c>
      <c r="I198" s="121">
        <f t="shared" si="16"/>
        <v>1685048624</v>
      </c>
      <c r="J198" s="121">
        <f t="shared" si="16"/>
        <v>1925532884.36</v>
      </c>
      <c r="K198" s="121">
        <f t="shared" si="16"/>
        <v>141310221.4</v>
      </c>
      <c r="L198" s="121">
        <f t="shared" si="16"/>
        <v>43926782.8</v>
      </c>
      <c r="M198" s="121">
        <f t="shared" si="16"/>
        <v>430253886.2</v>
      </c>
      <c r="N198" s="121">
        <f t="shared" si="16"/>
        <v>592172886.2</v>
      </c>
      <c r="O198" s="121">
        <f t="shared" si="16"/>
        <v>237410924.48</v>
      </c>
      <c r="P198" s="121">
        <f t="shared" si="16"/>
        <v>140027000</v>
      </c>
      <c r="Q198" s="121">
        <f t="shared" si="16"/>
        <v>61000000</v>
      </c>
      <c r="R198" s="121">
        <f t="shared" si="16"/>
        <v>95500000</v>
      </c>
      <c r="S198" s="121">
        <f t="shared" si="16"/>
        <v>120500000</v>
      </c>
      <c r="T198" s="74">
        <f>SUM(T68:T120)+SUM(T144:T197)</f>
        <v>13326272275</v>
      </c>
      <c r="U198" s="74">
        <f>SUM(U68:U120)+SUM(U144:U197)</f>
        <v>13543697918.742</v>
      </c>
      <c r="V198" s="74">
        <f>SUM(V68:V120)+SUM(V144:V197)</f>
        <v>13852804736.941406</v>
      </c>
    </row>
    <row r="199" spans="1:22" s="122" customFormat="1" ht="12.75">
      <c r="A199" s="75"/>
      <c r="B199" s="77"/>
      <c r="C199" s="77"/>
      <c r="D199" s="75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9"/>
      <c r="U199" s="78"/>
      <c r="V199" s="78"/>
    </row>
    <row r="200" spans="1:22" s="122" customFormat="1" ht="12.75">
      <c r="A200" s="75"/>
      <c r="B200" s="77"/>
      <c r="C200" s="77"/>
      <c r="D200" s="75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9"/>
      <c r="U200" s="78"/>
      <c r="V200" s="78"/>
    </row>
    <row r="201" spans="1:22" s="122" customFormat="1" ht="12.75">
      <c r="A201" s="75"/>
      <c r="B201" s="77"/>
      <c r="C201" s="77"/>
      <c r="D201" s="75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9"/>
      <c r="U201" s="78"/>
      <c r="V201" s="78"/>
    </row>
    <row r="202" spans="1:22" s="122" customFormat="1" ht="12.75">
      <c r="A202" s="75"/>
      <c r="B202" s="77"/>
      <c r="C202" s="77"/>
      <c r="D202" s="75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9"/>
      <c r="U202" s="78"/>
      <c r="V202" s="78"/>
    </row>
    <row r="203" spans="1:22" s="122" customFormat="1" ht="12.75">
      <c r="A203" s="75"/>
      <c r="B203" s="77"/>
      <c r="C203" s="77"/>
      <c r="D203" s="75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9"/>
      <c r="U203" s="78"/>
      <c r="V203" s="78"/>
    </row>
    <row r="204" spans="1:22" s="122" customFormat="1" ht="12.75">
      <c r="A204" s="75"/>
      <c r="B204" s="77"/>
      <c r="C204" s="77"/>
      <c r="D204" s="75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9"/>
      <c r="U204" s="78"/>
      <c r="V204" s="78"/>
    </row>
    <row r="205" spans="1:22" s="122" customFormat="1" ht="12.75">
      <c r="A205" s="75"/>
      <c r="B205" s="77"/>
      <c r="C205" s="77"/>
      <c r="D205" s="75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9"/>
      <c r="U205" s="78"/>
      <c r="V205" s="78"/>
    </row>
    <row r="206" spans="1:22" s="122" customFormat="1" ht="12.75">
      <c r="A206" s="75"/>
      <c r="B206" s="77"/>
      <c r="C206" s="77"/>
      <c r="D206" s="75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9"/>
      <c r="U206" s="78"/>
      <c r="V206" s="78"/>
    </row>
    <row r="207" spans="1:22" s="122" customFormat="1" ht="12.75">
      <c r="A207" s="75"/>
      <c r="B207" s="77"/>
      <c r="C207" s="77"/>
      <c r="D207" s="75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78"/>
      <c r="V207" s="78"/>
    </row>
    <row r="208" spans="1:22" s="122" customFormat="1" ht="12.75">
      <c r="A208" s="75"/>
      <c r="B208" s="77"/>
      <c r="C208" s="77"/>
      <c r="D208" s="75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78"/>
      <c r="V208" s="78"/>
    </row>
    <row r="209" spans="1:22" s="122" customFormat="1" ht="12.75">
      <c r="A209" s="75"/>
      <c r="B209" s="77"/>
      <c r="C209" s="77"/>
      <c r="D209" s="75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9"/>
      <c r="U209" s="78"/>
      <c r="V209" s="78"/>
    </row>
    <row r="210" spans="1:22" s="122" customFormat="1" ht="12.75">
      <c r="A210" s="75"/>
      <c r="B210" s="77"/>
      <c r="C210" s="77"/>
      <c r="D210" s="75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9"/>
      <c r="U210" s="78"/>
      <c r="V210" s="78"/>
    </row>
    <row r="211" spans="1:22" s="122" customFormat="1" ht="12.75">
      <c r="A211" s="75"/>
      <c r="B211" s="77"/>
      <c r="C211" s="77"/>
      <c r="D211" s="75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9"/>
      <c r="U211" s="78"/>
      <c r="V211" s="78"/>
    </row>
    <row r="212" spans="1:22" s="122" customFormat="1" ht="12.75">
      <c r="A212" s="75"/>
      <c r="B212" s="77"/>
      <c r="C212" s="77"/>
      <c r="D212" s="75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9"/>
      <c r="U212" s="78"/>
      <c r="V212" s="78"/>
    </row>
    <row r="213" spans="1:22" s="122" customFormat="1" ht="12.75">
      <c r="A213" s="75"/>
      <c r="B213" s="77"/>
      <c r="C213" s="77"/>
      <c r="D213" s="75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9"/>
      <c r="U213" s="78"/>
      <c r="V213" s="78"/>
    </row>
    <row r="214" spans="1:22" s="122" customFormat="1" ht="12.75">
      <c r="A214" s="75"/>
      <c r="B214" s="77"/>
      <c r="C214" s="77"/>
      <c r="D214" s="75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9"/>
      <c r="U214" s="78"/>
      <c r="V214" s="78"/>
    </row>
    <row r="215" spans="1:22" s="122" customFormat="1" ht="12.75">
      <c r="A215" s="75"/>
      <c r="B215" s="77"/>
      <c r="C215" s="77"/>
      <c r="D215" s="75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9"/>
      <c r="U215" s="78"/>
      <c r="V215" s="78"/>
    </row>
    <row r="216" spans="1:22" s="122" customFormat="1" ht="12.75">
      <c r="A216" s="75"/>
      <c r="B216" s="77"/>
      <c r="C216" s="77"/>
      <c r="D216" s="75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9"/>
      <c r="U216" s="78"/>
      <c r="V216" s="78"/>
    </row>
    <row r="217" spans="1:22" s="122" customFormat="1" ht="12.75">
      <c r="A217" s="75"/>
      <c r="B217" s="77"/>
      <c r="C217" s="77"/>
      <c r="D217" s="75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9"/>
      <c r="U217" s="78"/>
      <c r="V217" s="78"/>
    </row>
    <row r="218" spans="1:22" s="122" customFormat="1" ht="12.75">
      <c r="A218" s="75"/>
      <c r="B218" s="77"/>
      <c r="C218" s="77"/>
      <c r="D218" s="75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9"/>
      <c r="U218" s="78"/>
      <c r="V218" s="78"/>
    </row>
    <row r="219" spans="1:22" s="122" customFormat="1" ht="12.75">
      <c r="A219" s="75"/>
      <c r="B219" s="77"/>
      <c r="C219" s="77"/>
      <c r="D219" s="75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9"/>
      <c r="U219" s="78"/>
      <c r="V219" s="78"/>
    </row>
    <row r="220" spans="1:22" s="122" customFormat="1" ht="12.75">
      <c r="A220" s="75"/>
      <c r="B220" s="77"/>
      <c r="C220" s="77"/>
      <c r="D220" s="75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9"/>
      <c r="U220" s="78"/>
      <c r="V220" s="78"/>
    </row>
    <row r="221" spans="1:22" s="6" customFormat="1" ht="15.75" customHeight="1">
      <c r="A221" s="5"/>
      <c r="B221" s="46"/>
      <c r="C221" s="46"/>
      <c r="D221" s="113"/>
      <c r="E221" s="7" t="s">
        <v>3</v>
      </c>
      <c r="F221" s="8" t="s">
        <v>4</v>
      </c>
      <c r="G221" s="9"/>
      <c r="H221" s="8" t="s">
        <v>5</v>
      </c>
      <c r="I221" s="10"/>
      <c r="J221" s="11"/>
      <c r="K221" s="11"/>
      <c r="L221" s="11"/>
      <c r="M221" s="9" t="s">
        <v>6</v>
      </c>
      <c r="N221" s="12" t="s">
        <v>7</v>
      </c>
      <c r="O221" s="9"/>
      <c r="P221" s="9"/>
      <c r="Q221" s="9"/>
      <c r="R221" s="9"/>
      <c r="S221" s="9"/>
      <c r="T221" s="123">
        <v>2000</v>
      </c>
      <c r="U221" s="123">
        <v>2001</v>
      </c>
      <c r="V221" s="123">
        <v>2002</v>
      </c>
    </row>
    <row r="222" spans="1:22" s="6" customFormat="1" ht="15.75" customHeight="1">
      <c r="A222" s="124" t="s">
        <v>167</v>
      </c>
      <c r="B222" s="125" t="s">
        <v>168</v>
      </c>
      <c r="C222" s="88"/>
      <c r="D222" s="126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127"/>
      <c r="U222" s="127"/>
      <c r="V222" s="127"/>
    </row>
    <row r="223" spans="1:22" s="6" customFormat="1" ht="15.75" customHeight="1">
      <c r="A223" s="50" t="s">
        <v>169</v>
      </c>
      <c r="B223" s="26" t="s">
        <v>170</v>
      </c>
      <c r="C223" s="27"/>
      <c r="D223" s="22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</row>
    <row r="224" spans="1:22" s="6" customFormat="1" ht="15.75" customHeight="1">
      <c r="A224" s="50" t="s">
        <v>171</v>
      </c>
      <c r="B224" s="93" t="s">
        <v>172</v>
      </c>
      <c r="C224" s="58"/>
      <c r="D224" s="59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</row>
    <row r="225" spans="1:22" s="6" customFormat="1" ht="15.75" customHeight="1">
      <c r="A225" s="118"/>
      <c r="B225" s="35" t="s">
        <v>173</v>
      </c>
      <c r="C225" s="46"/>
      <c r="D225" s="44"/>
      <c r="E225" s="128">
        <v>20000000</v>
      </c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9"/>
      <c r="R225" s="129"/>
      <c r="S225" s="129"/>
      <c r="T225" s="69">
        <f aca="true" t="shared" si="17" ref="T225:T233">SUM(E225:S225)</f>
        <v>20000000</v>
      </c>
      <c r="U225" s="39">
        <f aca="true" t="shared" si="18" ref="U225:V227">T225*1.8/100+T225</f>
        <v>20360000</v>
      </c>
      <c r="V225" s="40">
        <f t="shared" si="18"/>
        <v>20726480</v>
      </c>
    </row>
    <row r="226" spans="1:22" s="6" customFormat="1" ht="15.75" customHeight="1">
      <c r="A226" s="118"/>
      <c r="B226" s="35" t="s">
        <v>174</v>
      </c>
      <c r="C226" s="46"/>
      <c r="D226" s="44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8"/>
      <c r="P226" s="37"/>
      <c r="Q226" s="38"/>
      <c r="R226" s="38"/>
      <c r="S226" s="38"/>
      <c r="T226" s="40">
        <f t="shared" si="17"/>
        <v>0</v>
      </c>
      <c r="U226" s="39">
        <f t="shared" si="18"/>
        <v>0</v>
      </c>
      <c r="V226" s="40">
        <f t="shared" si="18"/>
        <v>0</v>
      </c>
    </row>
    <row r="227" spans="1:22" s="6" customFormat="1" ht="15.75" customHeight="1">
      <c r="A227" s="118"/>
      <c r="B227" s="35" t="s">
        <v>175</v>
      </c>
      <c r="C227" s="46"/>
      <c r="D227" s="44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44"/>
      <c r="P227" s="29"/>
      <c r="Q227" s="68"/>
      <c r="R227" s="68"/>
      <c r="S227" s="68"/>
      <c r="T227" s="40">
        <f t="shared" si="17"/>
        <v>0</v>
      </c>
      <c r="U227" s="39">
        <f t="shared" si="18"/>
        <v>0</v>
      </c>
      <c r="V227" s="40">
        <f t="shared" si="18"/>
        <v>0</v>
      </c>
    </row>
    <row r="228" spans="1:22" s="6" customFormat="1" ht="15.75" customHeight="1">
      <c r="A228" s="50" t="s">
        <v>176</v>
      </c>
      <c r="B228" s="93" t="s">
        <v>177</v>
      </c>
      <c r="C228" s="58"/>
      <c r="D228" s="5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22"/>
      <c r="P228" s="64"/>
      <c r="Q228" s="66"/>
      <c r="R228" s="66"/>
      <c r="S228" s="66"/>
      <c r="T228" s="65"/>
      <c r="U228" s="65"/>
      <c r="V228" s="65"/>
    </row>
    <row r="229" spans="1:22" s="6" customFormat="1" ht="15.75" customHeight="1">
      <c r="A229" s="118"/>
      <c r="B229" s="35" t="s">
        <v>178</v>
      </c>
      <c r="C229" s="46"/>
      <c r="D229" s="44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44"/>
      <c r="P229" s="29"/>
      <c r="Q229" s="68"/>
      <c r="R229" s="68"/>
      <c r="S229" s="68"/>
      <c r="T229" s="69"/>
      <c r="U229" s="69"/>
      <c r="V229" s="69"/>
    </row>
    <row r="230" spans="1:22" s="6" customFormat="1" ht="15.75" customHeight="1">
      <c r="A230" s="118"/>
      <c r="B230" s="35" t="s">
        <v>179</v>
      </c>
      <c r="C230" s="46"/>
      <c r="D230" s="44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44"/>
      <c r="P230" s="29"/>
      <c r="Q230" s="68"/>
      <c r="R230" s="68"/>
      <c r="S230" s="68"/>
      <c r="T230" s="40">
        <f t="shared" si="17"/>
        <v>0</v>
      </c>
      <c r="U230" s="39">
        <f aca="true" t="shared" si="19" ref="U230:V233">T230*1.8/100+T230</f>
        <v>0</v>
      </c>
      <c r="V230" s="40">
        <f t="shared" si="19"/>
        <v>0</v>
      </c>
    </row>
    <row r="231" spans="1:22" s="6" customFormat="1" ht="15.75" customHeight="1">
      <c r="A231" s="118"/>
      <c r="B231" s="35" t="s">
        <v>180</v>
      </c>
      <c r="C231" s="46"/>
      <c r="D231" s="44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44"/>
      <c r="P231" s="29"/>
      <c r="Q231" s="68"/>
      <c r="R231" s="68"/>
      <c r="S231" s="68"/>
      <c r="T231" s="40">
        <f t="shared" si="17"/>
        <v>0</v>
      </c>
      <c r="U231" s="39">
        <f t="shared" si="19"/>
        <v>0</v>
      </c>
      <c r="V231" s="40">
        <f t="shared" si="19"/>
        <v>0</v>
      </c>
    </row>
    <row r="232" spans="1:22" s="6" customFormat="1" ht="15.75" customHeight="1">
      <c r="A232" s="130"/>
      <c r="B232" s="35" t="s">
        <v>181</v>
      </c>
      <c r="C232" s="46"/>
      <c r="D232" s="44"/>
      <c r="E232" s="131">
        <f>2000000/12</f>
        <v>166666.66666666666</v>
      </c>
      <c r="F232" s="131">
        <f aca="true" t="shared" si="20" ref="F232:L232">2000000/12</f>
        <v>166666.66666666666</v>
      </c>
      <c r="G232" s="131">
        <f t="shared" si="20"/>
        <v>166666.66666666666</v>
      </c>
      <c r="H232" s="131">
        <f t="shared" si="20"/>
        <v>166666.66666666666</v>
      </c>
      <c r="I232" s="131">
        <f>2000000/12</f>
        <v>166666.66666666666</v>
      </c>
      <c r="J232" s="131">
        <f t="shared" si="20"/>
        <v>166666.66666666666</v>
      </c>
      <c r="K232" s="131">
        <f t="shared" si="20"/>
        <v>166666.66666666666</v>
      </c>
      <c r="L232" s="131">
        <f t="shared" si="20"/>
        <v>166666.66666666666</v>
      </c>
      <c r="M232" s="131"/>
      <c r="N232" s="131"/>
      <c r="O232" s="131"/>
      <c r="P232" s="131"/>
      <c r="Q232" s="117"/>
      <c r="R232" s="117"/>
      <c r="S232" s="117"/>
      <c r="T232" s="40">
        <f t="shared" si="17"/>
        <v>1333333.3333333333</v>
      </c>
      <c r="U232" s="39">
        <f t="shared" si="19"/>
        <v>1357333.3333333333</v>
      </c>
      <c r="V232" s="40">
        <f t="shared" si="19"/>
        <v>1381765.3333333333</v>
      </c>
    </row>
    <row r="233" spans="1:22" s="6" customFormat="1" ht="15.75" customHeight="1">
      <c r="A233" s="118"/>
      <c r="B233" s="35" t="s">
        <v>182</v>
      </c>
      <c r="C233" s="46"/>
      <c r="D233" s="44"/>
      <c r="E233" s="53"/>
      <c r="F233" s="18"/>
      <c r="G233" s="18"/>
      <c r="H233" s="18"/>
      <c r="I233" s="18"/>
      <c r="J233" s="18"/>
      <c r="K233" s="18"/>
      <c r="L233" s="18"/>
      <c r="M233" s="18"/>
      <c r="N233" s="18"/>
      <c r="O233" s="22"/>
      <c r="P233" s="29"/>
      <c r="Q233" s="68"/>
      <c r="R233" s="68"/>
      <c r="S233" s="68"/>
      <c r="T233" s="40">
        <f t="shared" si="17"/>
        <v>0</v>
      </c>
      <c r="U233" s="39">
        <f t="shared" si="19"/>
        <v>0</v>
      </c>
      <c r="V233" s="40">
        <f t="shared" si="19"/>
        <v>0</v>
      </c>
    </row>
    <row r="234" spans="1:22" s="6" customFormat="1" ht="15.75" customHeight="1">
      <c r="A234" s="38"/>
      <c r="B234" s="120" t="s">
        <v>65</v>
      </c>
      <c r="C234" s="120"/>
      <c r="D234" s="55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74">
        <f>T225-T232</f>
        <v>18666666.666666668</v>
      </c>
      <c r="U234" s="133">
        <f>SUM(U225:U233)</f>
        <v>21717333.333333332</v>
      </c>
      <c r="V234" s="74">
        <f>SUM(V225:V233)</f>
        <v>22108245.333333332</v>
      </c>
    </row>
    <row r="235" spans="1:22" s="6" customFormat="1" ht="15.75" customHeight="1">
      <c r="A235" s="118"/>
      <c r="B235" s="27"/>
      <c r="C235" s="8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62"/>
      <c r="U235" s="62"/>
      <c r="V235" s="47"/>
    </row>
    <row r="236" spans="1:22" s="6" customFormat="1" ht="15.75" customHeight="1">
      <c r="A236" s="86" t="s">
        <v>183</v>
      </c>
      <c r="B236" s="87" t="s">
        <v>184</v>
      </c>
      <c r="C236" s="88"/>
      <c r="D236" s="89"/>
      <c r="E236" s="134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6" t="s">
        <v>185</v>
      </c>
      <c r="V236" s="137" t="s">
        <v>185</v>
      </c>
    </row>
    <row r="237" spans="1:22" s="6" customFormat="1" ht="15.75" customHeight="1">
      <c r="A237" s="138"/>
      <c r="B237" s="139"/>
      <c r="C237" s="140"/>
      <c r="D237" s="141"/>
      <c r="E237" s="142"/>
      <c r="F237" s="92"/>
      <c r="G237" s="92"/>
      <c r="H237" s="92"/>
      <c r="I237" s="92"/>
      <c r="J237" s="92"/>
      <c r="K237" s="92"/>
      <c r="L237" s="92"/>
      <c r="M237" s="92"/>
      <c r="N237" s="92"/>
      <c r="O237" s="80"/>
      <c r="P237" s="80"/>
      <c r="Q237" s="80"/>
      <c r="R237" s="80"/>
      <c r="S237" s="80"/>
      <c r="T237" s="39">
        <f>SUM(E237:S237)</f>
        <v>0</v>
      </c>
      <c r="U237" s="39">
        <f>T237*1.8/100+T237</f>
        <v>0</v>
      </c>
      <c r="V237" s="40">
        <f>U237*1.8/100+U237</f>
        <v>0</v>
      </c>
    </row>
    <row r="238" spans="1:22" s="6" customFormat="1" ht="15.75" customHeight="1">
      <c r="A238" s="38"/>
      <c r="B238" s="120" t="s">
        <v>65</v>
      </c>
      <c r="C238" s="120"/>
      <c r="D238" s="55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74">
        <f>SUM(T237)</f>
        <v>0</v>
      </c>
      <c r="U238" s="133">
        <f>SUM(U237)</f>
        <v>0</v>
      </c>
      <c r="V238" s="74">
        <f>SUM(V237)</f>
        <v>0</v>
      </c>
    </row>
    <row r="239" spans="1:22" s="6" customFormat="1" ht="15.75" customHeight="1">
      <c r="A239" s="66"/>
      <c r="B239" s="143"/>
      <c r="C239" s="58"/>
      <c r="D239" s="59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62"/>
      <c r="U239" s="5"/>
      <c r="V239" s="32"/>
    </row>
    <row r="240" spans="1:22" s="6" customFormat="1" ht="15.75" customHeight="1">
      <c r="A240" s="14" t="s">
        <v>186</v>
      </c>
      <c r="B240" s="144" t="s">
        <v>187</v>
      </c>
      <c r="C240" s="145"/>
      <c r="D240" s="146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6" t="s">
        <v>188</v>
      </c>
      <c r="V240" s="137" t="s">
        <v>188</v>
      </c>
    </row>
    <row r="241" spans="1:22" s="6" customFormat="1" ht="15.75" customHeight="1">
      <c r="A241" s="50" t="s">
        <v>189</v>
      </c>
      <c r="B241" s="93" t="s">
        <v>190</v>
      </c>
      <c r="C241" s="58"/>
      <c r="D241" s="5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22"/>
      <c r="P241" s="20"/>
      <c r="Q241" s="115"/>
      <c r="R241" s="115"/>
      <c r="S241" s="115"/>
      <c r="T241" s="65"/>
      <c r="U241" s="85"/>
      <c r="V241" s="147"/>
    </row>
    <row r="242" spans="1:22" s="6" customFormat="1" ht="15.75" customHeight="1">
      <c r="A242" s="118"/>
      <c r="B242" s="35" t="s">
        <v>191</v>
      </c>
      <c r="C242" s="46"/>
      <c r="D242" s="44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44"/>
      <c r="P242" s="29"/>
      <c r="Q242" s="68"/>
      <c r="R242" s="68"/>
      <c r="S242" s="68"/>
      <c r="T242" s="69"/>
      <c r="U242" s="148"/>
      <c r="V242" s="148"/>
    </row>
    <row r="243" spans="1:22" s="6" customFormat="1" ht="15.75" customHeight="1">
      <c r="A243" s="66"/>
      <c r="B243" s="35" t="s">
        <v>192</v>
      </c>
      <c r="C243" s="46"/>
      <c r="D243" s="44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44"/>
      <c r="P243" s="29"/>
      <c r="Q243" s="68"/>
      <c r="R243" s="68"/>
      <c r="S243" s="68"/>
      <c r="T243" s="71">
        <f aca="true" t="shared" si="21" ref="T243:T249">SUM(E243:S243)</f>
        <v>0</v>
      </c>
      <c r="U243" s="39">
        <f>T243*1.8/100+T243</f>
        <v>0</v>
      </c>
      <c r="V243" s="40">
        <f>U243*1.8/100+U243</f>
        <v>0</v>
      </c>
    </row>
    <row r="244" spans="1:22" s="6" customFormat="1" ht="15.75" customHeight="1">
      <c r="A244" s="66"/>
      <c r="B244" s="35" t="s">
        <v>193</v>
      </c>
      <c r="C244" s="46"/>
      <c r="D244" s="44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55"/>
      <c r="P244" s="37"/>
      <c r="Q244" s="38"/>
      <c r="R244" s="38"/>
      <c r="S244" s="38"/>
      <c r="T244" s="40">
        <f t="shared" si="21"/>
        <v>0</v>
      </c>
      <c r="U244" s="39">
        <f>T244*1.8/100+T244</f>
        <v>0</v>
      </c>
      <c r="V244" s="40">
        <f>U244*1.8/100+U244</f>
        <v>0</v>
      </c>
    </row>
    <row r="245" spans="1:22" s="6" customFormat="1" ht="15.75" customHeight="1">
      <c r="A245" s="50" t="s">
        <v>194</v>
      </c>
      <c r="B245" s="93" t="s">
        <v>195</v>
      </c>
      <c r="C245" s="58"/>
      <c r="D245" s="59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2"/>
      <c r="P245" s="64"/>
      <c r="Q245" s="66"/>
      <c r="R245" s="66"/>
      <c r="S245" s="66"/>
      <c r="T245" s="65"/>
      <c r="U245" s="148"/>
      <c r="V245" s="32"/>
    </row>
    <row r="246" spans="1:22" s="6" customFormat="1" ht="15.75" customHeight="1">
      <c r="A246" s="66"/>
      <c r="B246" s="35" t="s">
        <v>196</v>
      </c>
      <c r="C246" s="46"/>
      <c r="D246" s="44"/>
      <c r="E246" s="29"/>
      <c r="F246" s="29"/>
      <c r="G246" s="29"/>
      <c r="H246" s="64"/>
      <c r="I246" s="29"/>
      <c r="J246" s="29"/>
      <c r="K246" s="29"/>
      <c r="L246" s="29"/>
      <c r="M246" s="29"/>
      <c r="N246" s="29"/>
      <c r="O246" s="44"/>
      <c r="P246" s="29"/>
      <c r="Q246" s="68"/>
      <c r="R246" s="68"/>
      <c r="S246" s="68"/>
      <c r="T246" s="71">
        <f t="shared" si="21"/>
        <v>0</v>
      </c>
      <c r="U246" s="39">
        <f aca="true" t="shared" si="22" ref="U246:V249">T246*1.8/100+T246</f>
        <v>0</v>
      </c>
      <c r="V246" s="40">
        <f t="shared" si="22"/>
        <v>0</v>
      </c>
    </row>
    <row r="247" spans="1:22" s="6" customFormat="1" ht="15.75" customHeight="1">
      <c r="A247" s="66"/>
      <c r="B247" s="35" t="s">
        <v>197</v>
      </c>
      <c r="C247" s="46"/>
      <c r="D247" s="44"/>
      <c r="E247" s="37"/>
      <c r="F247" s="37"/>
      <c r="G247" s="38"/>
      <c r="H247" s="37"/>
      <c r="I247" s="43"/>
      <c r="J247" s="37"/>
      <c r="K247" s="37"/>
      <c r="L247" s="37"/>
      <c r="M247" s="37"/>
      <c r="N247" s="37"/>
      <c r="O247" s="55"/>
      <c r="P247" s="37"/>
      <c r="Q247" s="38"/>
      <c r="R247" s="38"/>
      <c r="S247" s="38"/>
      <c r="T247" s="39">
        <f t="shared" si="21"/>
        <v>0</v>
      </c>
      <c r="U247" s="39">
        <f t="shared" si="22"/>
        <v>0</v>
      </c>
      <c r="V247" s="40">
        <f t="shared" si="22"/>
        <v>0</v>
      </c>
    </row>
    <row r="248" spans="1:22" s="6" customFormat="1" ht="15.75" customHeight="1">
      <c r="A248" s="66"/>
      <c r="B248" s="35" t="s">
        <v>198</v>
      </c>
      <c r="C248" s="46"/>
      <c r="D248" s="44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44"/>
      <c r="P248" s="29"/>
      <c r="Q248" s="68"/>
      <c r="R248" s="68"/>
      <c r="S248" s="68"/>
      <c r="T248" s="39">
        <f t="shared" si="21"/>
        <v>0</v>
      </c>
      <c r="U248" s="39">
        <f t="shared" si="22"/>
        <v>0</v>
      </c>
      <c r="V248" s="40">
        <f t="shared" si="22"/>
        <v>0</v>
      </c>
    </row>
    <row r="249" spans="1:22" s="6" customFormat="1" ht="15.75" customHeight="1">
      <c r="A249" s="66"/>
      <c r="B249" s="35" t="s">
        <v>193</v>
      </c>
      <c r="C249" s="46"/>
      <c r="D249" s="44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5"/>
      <c r="P249" s="37"/>
      <c r="Q249" s="38"/>
      <c r="R249" s="38"/>
      <c r="S249" s="38"/>
      <c r="T249" s="40">
        <f t="shared" si="21"/>
        <v>0</v>
      </c>
      <c r="U249" s="39">
        <f t="shared" si="22"/>
        <v>0</v>
      </c>
      <c r="V249" s="40">
        <f t="shared" si="22"/>
        <v>0</v>
      </c>
    </row>
    <row r="250" spans="1:22" s="6" customFormat="1" ht="15.75" customHeight="1">
      <c r="A250" s="50" t="s">
        <v>199</v>
      </c>
      <c r="B250" s="93" t="s">
        <v>200</v>
      </c>
      <c r="C250" s="58"/>
      <c r="D250" s="59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65"/>
      <c r="U250" s="32"/>
      <c r="V250" s="32"/>
    </row>
    <row r="251" spans="1:22" s="6" customFormat="1" ht="15.75" customHeight="1">
      <c r="A251" s="66"/>
      <c r="B251" s="35" t="s">
        <v>201</v>
      </c>
      <c r="C251" s="46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22"/>
      <c r="R251" s="22"/>
      <c r="S251" s="22"/>
      <c r="T251" s="69">
        <v>60000000</v>
      </c>
      <c r="U251" s="39">
        <v>63000000</v>
      </c>
      <c r="V251" s="40">
        <v>68000000</v>
      </c>
    </row>
    <row r="252" spans="1:22" s="6" customFormat="1" ht="15.75" customHeight="1">
      <c r="A252" s="68"/>
      <c r="B252" s="35" t="s">
        <v>202</v>
      </c>
      <c r="C252" s="46"/>
      <c r="D252" s="44"/>
      <c r="E252" s="53">
        <f aca="true" t="shared" si="23" ref="E252:S252">(E151+E104+E94)*4.25/100</f>
        <v>108281688.0625</v>
      </c>
      <c r="F252" s="53">
        <f t="shared" si="23"/>
        <v>13060712.825</v>
      </c>
      <c r="G252" s="53">
        <f t="shared" si="23"/>
        <v>2542006.43</v>
      </c>
      <c r="H252" s="53">
        <f t="shared" si="23"/>
        <v>5190499.5</v>
      </c>
      <c r="I252" s="53">
        <f t="shared" si="23"/>
        <v>7314721.75</v>
      </c>
      <c r="J252" s="53">
        <f t="shared" si="23"/>
        <v>4662737.39</v>
      </c>
      <c r="K252" s="53">
        <f t="shared" si="23"/>
        <v>1229068.975</v>
      </c>
      <c r="L252" s="53">
        <f t="shared" si="23"/>
        <v>1166439.7</v>
      </c>
      <c r="M252" s="53">
        <f t="shared" si="23"/>
        <v>687429.425</v>
      </c>
      <c r="N252" s="53">
        <f t="shared" si="23"/>
        <v>3191571.925</v>
      </c>
      <c r="O252" s="53">
        <f t="shared" si="23"/>
        <v>3852855.52</v>
      </c>
      <c r="P252" s="53">
        <f t="shared" si="23"/>
        <v>42500</v>
      </c>
      <c r="Q252" s="52">
        <f t="shared" si="23"/>
        <v>0</v>
      </c>
      <c r="R252" s="52">
        <f t="shared" si="23"/>
        <v>2295000</v>
      </c>
      <c r="S252" s="52">
        <f t="shared" si="23"/>
        <v>2295000</v>
      </c>
      <c r="T252" s="40">
        <v>159157877</v>
      </c>
      <c r="U252" s="39">
        <f>T252*1.8/100+T252</f>
        <v>162022718.786</v>
      </c>
      <c r="V252" s="40">
        <f>U252*1.8/100+U252</f>
        <v>164939127.724148</v>
      </c>
    </row>
    <row r="253" spans="1:22" s="6" customFormat="1" ht="15.75" customHeight="1">
      <c r="A253" s="38"/>
      <c r="B253" s="120" t="s">
        <v>65</v>
      </c>
      <c r="C253" s="120"/>
      <c r="D253" s="55"/>
      <c r="E253" s="121">
        <f>SUM(E243:E252)</f>
        <v>108281688.0625</v>
      </c>
      <c r="F253" s="121">
        <f>SUM(F243:F252)</f>
        <v>13060712.825</v>
      </c>
      <c r="G253" s="121">
        <f aca="true" t="shared" si="24" ref="G253:N253">SUM(G243:G252)</f>
        <v>2542006.43</v>
      </c>
      <c r="H253" s="121">
        <f t="shared" si="24"/>
        <v>5190499.5</v>
      </c>
      <c r="I253" s="121">
        <f>SUM(I243:I252)</f>
        <v>7314721.75</v>
      </c>
      <c r="J253" s="121">
        <f t="shared" si="24"/>
        <v>4662737.39</v>
      </c>
      <c r="K253" s="121">
        <f t="shared" si="24"/>
        <v>1229068.975</v>
      </c>
      <c r="L253" s="121">
        <f t="shared" si="24"/>
        <v>1166439.7</v>
      </c>
      <c r="M253" s="121">
        <f>SUM(M243:M252)</f>
        <v>687429.425</v>
      </c>
      <c r="N253" s="121">
        <f t="shared" si="24"/>
        <v>3191571.925</v>
      </c>
      <c r="O253" s="121">
        <f>SUM(O243:O252)</f>
        <v>3852855.52</v>
      </c>
      <c r="P253" s="121">
        <f>SUM(P243:P252)</f>
        <v>42500</v>
      </c>
      <c r="Q253" s="121">
        <f>SUM(Q243:Q252)</f>
        <v>0</v>
      </c>
      <c r="R253" s="121">
        <f>SUM(R243:R252)</f>
        <v>2295000</v>
      </c>
      <c r="S253" s="121">
        <f>SUM(S243:S252)</f>
        <v>2295000</v>
      </c>
      <c r="T253" s="74">
        <f>SUM(T241:T252)</f>
        <v>219157877</v>
      </c>
      <c r="U253" s="74">
        <f>SUM(U241:U252)</f>
        <v>225022718.786</v>
      </c>
      <c r="V253" s="74">
        <f>SUM(V241:V252)</f>
        <v>232939127.724148</v>
      </c>
    </row>
    <row r="254" spans="1:22" s="6" customFormat="1" ht="15.75" customHeight="1">
      <c r="A254" s="23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50"/>
      <c r="V254" s="150"/>
    </row>
    <row r="255" spans="1:22" s="6" customFormat="1" ht="15.75" customHeight="1">
      <c r="A255" s="23"/>
      <c r="B255" s="151" t="s">
        <v>203</v>
      </c>
      <c r="C255" s="151"/>
      <c r="D255" s="149"/>
      <c r="E255" s="121">
        <f>E55</f>
        <v>5783553203.5</v>
      </c>
      <c r="F255" s="121">
        <f aca="true" t="shared" si="25" ref="F255:V255">F55</f>
        <v>1108049197.8</v>
      </c>
      <c r="G255" s="121">
        <f t="shared" si="25"/>
        <v>341152579.32</v>
      </c>
      <c r="H255" s="121">
        <f>H55</f>
        <v>235096000</v>
      </c>
      <c r="I255" s="121">
        <f>I55</f>
        <v>1798223927</v>
      </c>
      <c r="J255" s="121">
        <f t="shared" si="25"/>
        <v>2095903169.36</v>
      </c>
      <c r="K255" s="121">
        <f t="shared" si="25"/>
        <v>135563832.4</v>
      </c>
      <c r="L255" s="121">
        <f t="shared" si="25"/>
        <v>43599052.8</v>
      </c>
      <c r="M255" s="121">
        <f t="shared" si="25"/>
        <v>452957768.2</v>
      </c>
      <c r="N255" s="121">
        <f t="shared" si="25"/>
        <v>594038708.2</v>
      </c>
      <c r="O255" s="121">
        <f t="shared" si="25"/>
        <v>251789108.48</v>
      </c>
      <c r="P255" s="121">
        <f t="shared" si="25"/>
        <v>175200000</v>
      </c>
      <c r="Q255" s="121">
        <f t="shared" si="25"/>
        <v>61000000</v>
      </c>
      <c r="R255" s="121">
        <f t="shared" si="25"/>
        <v>160000000</v>
      </c>
      <c r="S255" s="121">
        <f t="shared" si="25"/>
        <v>122795000</v>
      </c>
      <c r="T255" s="121">
        <f t="shared" si="25"/>
        <v>13526763485</v>
      </c>
      <c r="U255" s="121">
        <f t="shared" si="25"/>
        <v>13753581276</v>
      </c>
      <c r="V255" s="121">
        <f t="shared" si="25"/>
        <v>14085819560.237999</v>
      </c>
    </row>
    <row r="256" spans="1:22" s="6" customFormat="1" ht="15.75" customHeight="1">
      <c r="A256" s="31"/>
      <c r="B256" s="85"/>
      <c r="C256" s="152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153"/>
      <c r="V256" s="153"/>
    </row>
    <row r="257" spans="1:22" s="6" customFormat="1" ht="15.75" customHeight="1">
      <c r="A257" s="31"/>
      <c r="B257" s="152" t="s">
        <v>204</v>
      </c>
      <c r="C257" s="152"/>
      <c r="D257" s="85"/>
      <c r="E257" s="74">
        <f aca="true" t="shared" si="26" ref="E257:O257">E198+E234+E238+E253</f>
        <v>5867660397.5825</v>
      </c>
      <c r="F257" s="74">
        <f t="shared" si="26"/>
        <v>1250339572.625</v>
      </c>
      <c r="G257" s="74">
        <f t="shared" si="26"/>
        <v>323767428.75</v>
      </c>
      <c r="H257" s="74">
        <f t="shared" si="26"/>
        <v>266069899.5</v>
      </c>
      <c r="I257" s="74">
        <f t="shared" si="26"/>
        <v>1692363345.75</v>
      </c>
      <c r="J257" s="74">
        <f t="shared" si="26"/>
        <v>1930195621.75</v>
      </c>
      <c r="K257" s="74">
        <f t="shared" si="26"/>
        <v>142539290.375</v>
      </c>
      <c r="L257" s="74">
        <f t="shared" si="26"/>
        <v>45093222.5</v>
      </c>
      <c r="M257" s="74">
        <f t="shared" si="26"/>
        <v>430941315.625</v>
      </c>
      <c r="N257" s="74">
        <f t="shared" si="26"/>
        <v>595364458.125</v>
      </c>
      <c r="O257" s="74">
        <f t="shared" si="26"/>
        <v>241263780</v>
      </c>
      <c r="P257" s="74">
        <f>P238+P234+P198+P253</f>
        <v>140069500</v>
      </c>
      <c r="Q257" s="74">
        <f>Q198+Q234+Q238+Q253</f>
        <v>61000000</v>
      </c>
      <c r="R257" s="74">
        <f>R198+R234+R238+R253</f>
        <v>97795000</v>
      </c>
      <c r="S257" s="74">
        <f>S198+S234+S238+S253</f>
        <v>122795000</v>
      </c>
      <c r="T257" s="74">
        <f>T198+T238+T253</f>
        <v>13545430152</v>
      </c>
      <c r="U257" s="74">
        <f>U198+U238+U253</f>
        <v>13768720637.528</v>
      </c>
      <c r="V257" s="74">
        <f>V198+V238+V253</f>
        <v>14085743864.665554</v>
      </c>
    </row>
    <row r="258" spans="1:22" s="6" customFormat="1" ht="15.75" customHeight="1">
      <c r="A258" s="154"/>
      <c r="B258" s="82"/>
      <c r="C258" s="82"/>
      <c r="D258" s="81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6"/>
      <c r="V258" s="156"/>
    </row>
    <row r="259" spans="1:22" s="6" customFormat="1" ht="15.75" customHeight="1">
      <c r="A259" s="31"/>
      <c r="B259" s="152" t="s">
        <v>205</v>
      </c>
      <c r="C259" s="152"/>
      <c r="D259" s="85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>
        <f>T234</f>
        <v>18666666.666666668</v>
      </c>
      <c r="U259" s="74">
        <f>U234</f>
        <v>21717333.333333332</v>
      </c>
      <c r="V259" s="74">
        <f>V234</f>
        <v>22108245.333333332</v>
      </c>
    </row>
    <row r="260" spans="1:22" s="6" customFormat="1" ht="15.75" customHeight="1">
      <c r="A260" s="31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153"/>
      <c r="V260" s="153"/>
    </row>
    <row r="261" spans="1:22" s="6" customFormat="1" ht="15.75" customHeight="1">
      <c r="A261" s="157" t="s">
        <v>206</v>
      </c>
      <c r="B261" s="46"/>
      <c r="C261" s="46"/>
      <c r="D261" s="46"/>
      <c r="E261" s="158">
        <f>E255-E257</f>
        <v>-84107194.08250046</v>
      </c>
      <c r="F261" s="158">
        <f aca="true" t="shared" si="27" ref="F261:N261">F255-F257</f>
        <v>-142290374.82500005</v>
      </c>
      <c r="G261" s="158">
        <f>G255-G257</f>
        <v>17385150.569999993</v>
      </c>
      <c r="H261" s="158">
        <f>H255-H257</f>
        <v>-30973899.5</v>
      </c>
      <c r="I261" s="158">
        <f>I255-I257</f>
        <v>105860581.25</v>
      </c>
      <c r="J261" s="158">
        <f t="shared" si="27"/>
        <v>165707547.6099999</v>
      </c>
      <c r="K261" s="158">
        <f t="shared" si="27"/>
        <v>-6975457.974999994</v>
      </c>
      <c r="L261" s="158">
        <f t="shared" si="27"/>
        <v>-1494169.700000003</v>
      </c>
      <c r="M261" s="158">
        <f>M255-M257</f>
        <v>22016452.574999988</v>
      </c>
      <c r="N261" s="158">
        <f t="shared" si="27"/>
        <v>-1325749.9249999523</v>
      </c>
      <c r="O261" s="158">
        <f>O255-O257</f>
        <v>10525328.47999999</v>
      </c>
      <c r="P261" s="158">
        <f>P255-P257</f>
        <v>35130500</v>
      </c>
      <c r="Q261" s="158">
        <f>Q255-Q257</f>
        <v>0</v>
      </c>
      <c r="R261" s="158">
        <f>R255-R257</f>
        <v>62205000</v>
      </c>
      <c r="S261" s="158">
        <f>S255-S257</f>
        <v>0</v>
      </c>
      <c r="T261" s="158">
        <f>T255-T257+T259</f>
        <v>-0.3333333320915699</v>
      </c>
      <c r="U261" s="158">
        <f>U255-U257+U259</f>
        <v>6577971.805333454</v>
      </c>
      <c r="V261" s="158">
        <f>V255-V257+V259</f>
        <v>22183940.905778248</v>
      </c>
    </row>
    <row r="262" spans="1:19" s="6" customFormat="1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5" ht="12.75">
      <c r="S265"/>
    </row>
    <row r="266" spans="16:19" ht="12.75">
      <c r="P266" s="159"/>
      <c r="Q266" s="159"/>
      <c r="R266" s="159"/>
      <c r="S266"/>
    </row>
    <row r="267" spans="16:18" ht="12.75">
      <c r="P267" s="159"/>
      <c r="Q267" s="159"/>
      <c r="R267" s="159"/>
    </row>
    <row r="268" spans="16:19" ht="12.75">
      <c r="P268" s="160"/>
      <c r="Q268" s="160"/>
      <c r="R268" s="160"/>
      <c r="S268" s="160"/>
    </row>
    <row r="270" spans="15:17" ht="12.75">
      <c r="O270" s="159"/>
      <c r="P270" s="159"/>
      <c r="Q270" s="159"/>
    </row>
    <row r="271" spans="15:17" ht="12.75">
      <c r="O271" s="159"/>
      <c r="P271" s="159"/>
      <c r="Q271" s="159"/>
    </row>
    <row r="272" spans="15:17" ht="12.75">
      <c r="O272" s="160"/>
      <c r="P272" s="160"/>
      <c r="Q272" s="160"/>
    </row>
    <row r="274" spans="16:18" ht="12.75">
      <c r="P274" s="160"/>
      <c r="Q274" s="160"/>
      <c r="R274" s="160"/>
    </row>
  </sheetData>
  <printOptions/>
  <pageMargins left="0.75" right="0.75" top="1" bottom="1" header="0.5" footer="0.5"/>
  <pageSetup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2000-01-21T02:29:55Z</cp:lastPrinted>
  <dcterms:created xsi:type="dcterms:W3CDTF">2000-01-12T12:55:58Z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