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70" windowWidth="11160" windowHeight="6615" activeTab="0"/>
  </bookViews>
  <sheets>
    <sheet name="DEFINITIVO" sheetId="1" r:id="rId1"/>
  </sheets>
  <definedNames>
    <definedName name="_xlnm.Print_Area" localSheetId="0">'DEFINITIVO'!$A$1:$U$232</definedName>
  </definedNames>
  <calcPr fullCalcOnLoad="1"/>
  <oleSize ref="A2:Y241"/>
</workbook>
</file>

<file path=xl/comments1.xml><?xml version="1.0" encoding="utf-8"?>
<comments xmlns="http://schemas.openxmlformats.org/spreadsheetml/2006/main">
  <authors>
    <author>.</author>
    <author>ASL Provincia di Mantova</author>
  </authors>
  <commentList>
    <comment ref="K2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trasporto lire 7000
fatto da volontario lire 5500 e 1500 vanno al fondo acquisto
fatto da dipendente lire 7000
</t>
        </r>
      </text>
    </comment>
    <comment ref="E4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18000000 dormitorio
52000000 comunità alloggio
13000000 obiettori e vari
30000000 centro diurno
100000000 sad</t>
        </r>
      </text>
    </comment>
    <comment ref="B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RIVALSA RETTE E 2%
</t>
        </r>
      </text>
    </comment>
    <comment ref="H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importo da ivare
3600000 alloggio bettini</t>
        </r>
      </text>
    </comment>
    <comment ref="K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70000000 casa del sole
20000000 vari
1419160 2%</t>
        </r>
      </text>
    </comment>
    <comment ref="M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importo da ivare
835973 2%
</t>
        </r>
      </text>
    </comment>
    <comment ref="N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importo da ivare</t>
        </r>
      </text>
    </comment>
    <comment ref="T4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  <comment ref="R5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80000000 formazione interna
40000000 proventi corsi vari
40000000 contributi e finanziamenti</t>
        </r>
      </text>
    </comment>
    <comment ref="B9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SOPI 20000000
BIAGGI 20000000</t>
        </r>
      </text>
    </comment>
    <comment ref="E9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35.000.000 sopi
20.000.000 biaggi</t>
        </r>
      </text>
    </comment>
    <comment ref="B95" authorId="0">
      <text>
        <r>
          <rPr>
            <b/>
            <sz val="8"/>
            <rFont val="Tahoma"/>
            <family val="0"/>
          </rPr>
          <t>.: n</t>
        </r>
        <r>
          <rPr>
            <sz val="8"/>
            <rFont val="Tahoma"/>
            <family val="0"/>
          </rPr>
          <t>otaio 3000000
Avvocati 5000000
zaniboni 36.000.000
Manicardi 43.000.000</t>
        </r>
      </text>
    </comment>
    <comment ref="E9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manicardi 
avvocati</t>
        </r>
      </text>
    </comment>
    <comment ref="E9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40750000 RSA
5000000 Centro diurno
1500000 comunità alloggio
</t>
        </r>
      </text>
    </comment>
    <comment ref="E10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Rizzi 23000000
Pecchia 17000000
Perizzi 22500000
</t>
        </r>
      </text>
    </comment>
    <comment ref="G10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animatore per ferie e malattie
</t>
        </r>
      </text>
    </comment>
    <comment ref="J10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fasrmacisti profes
</t>
        </r>
      </text>
    </comment>
    <comment ref="N10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artisti vari</t>
        </r>
      </text>
    </comment>
    <comment ref="B102" authorId="0">
      <text>
        <r>
          <rPr>
            <b/>
            <sz val="8"/>
            <rFont val="Tahoma"/>
            <family val="0"/>
          </rPr>
          <t xml:space="preserve">PAOLA = 45.000.000
SIMONA = 18.000.000(35000*20*26)
QUADRI + 4=120.000.000
BERTOLDO+1=60.000.000
</t>
        </r>
        <r>
          <rPr>
            <sz val="8"/>
            <rFont val="Tahoma"/>
            <family val="0"/>
          </rPr>
          <t xml:space="preserve">
</t>
        </r>
      </text>
    </comment>
    <comment ref="N10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60.000.000 bertoldo
</t>
        </r>
      </text>
    </comment>
    <comment ref="R10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addetto formazione per un anno lire 40500000
lire 13500000 per conclusione progetti 99
</t>
        </r>
      </text>
    </comment>
    <comment ref="S102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addetto  per un anno inps compreso 
preparazione materiali
indagini di merk
ricerca sponsor
rapporto mass media lire 40500000
lire 13500000 per conclusione progetti 99
</t>
        </r>
      </text>
    </comment>
    <comment ref="F10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media pasti giornaliera n°60 per sad asporto
media pasti sad in RSA n°10
</t>
        </r>
      </text>
    </comment>
    <comment ref="G10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coop asa</t>
        </r>
      </text>
    </comment>
    <comment ref="K10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casa del sole</t>
        </r>
      </text>
    </comment>
    <comment ref="M10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alce nero</t>
        </r>
      </text>
    </comment>
    <comment ref="O10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quisport</t>
        </r>
      </text>
    </comment>
    <comment ref="Q10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le spese sono ripartite alle voci dei singoli settori
+500000  telefoniche</t>
        </r>
      </text>
    </comment>
    <comment ref="R10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spesa segreteria 10.000.000
spesa per docenze 20.000.000
spese telefoniche2000000
12000000 direttore gener</t>
        </r>
      </text>
    </comment>
    <comment ref="B1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ASI 63.000.000
 SOLLEVATORI 21.000.000 RSA 10.000.000 SAD
centralino telefono 9.000.000</t>
        </r>
      </text>
    </comment>
    <comment ref="E1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21.000.000 sollevATORI
9000000 CENTRLINO
49000000 ASI</t>
        </r>
      </text>
    </comment>
    <comment ref="F1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10.000.000 sollevatori
1500000 asi</t>
        </r>
      </text>
    </comment>
    <comment ref="E135" authorId="0">
      <text>
        <r>
          <rPr>
            <sz val="8"/>
            <rFont val="Tahoma"/>
            <family val="0"/>
          </rPr>
          <t xml:space="preserve">
+ 3 IP
1 Applicato
1 Masso
1 Fisio
2 4°
TOLTO ANNUNZIATA
337.588.376 A DISPOSIZIONE PER PRODUTTIVITA POSIZIONI ECC.</t>
        </r>
      </text>
    </comment>
    <comment ref="F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 4° vanno al centro diurno</t>
        </r>
      </text>
    </comment>
    <comment ref="I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tamassia veneziani lanzoni</t>
        </r>
      </text>
    </comment>
    <comment ref="J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becchi carra 1/2 cavicchioli</t>
        </r>
      </text>
    </comment>
    <comment ref="K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 4°</t>
        </r>
      </text>
    </comment>
    <comment ref="L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 3°</t>
        </r>
      </text>
    </comment>
    <comment ref="M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1/2 4°</t>
        </r>
      </text>
    </comment>
    <comment ref="N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1/2 4°</t>
        </r>
      </text>
    </comment>
    <comment ref="O13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garosi
lomghini
montanari</t>
        </r>
      </text>
    </comment>
    <comment ref="B13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INAIL, CPDL, INPS, VARIE</t>
        </r>
      </text>
    </comment>
    <comment ref="B14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2% da inserire</t>
        </r>
      </text>
    </comment>
    <comment ref="H14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20.000.000 = ammortamento immobile
1/5 di 200.000.000 = 40.000.000 per manutenzione straord.
Tirati via</t>
        </r>
      </text>
    </comment>
    <comment ref="B168" authorId="0">
      <text>
        <r>
          <rPr>
            <sz val="8"/>
            <rFont val="Tahoma"/>
            <family val="0"/>
          </rPr>
          <t>25.000.000 Capelli
iscrizione corsi 2.000.000
materiale vario 3.000.000
haccp 10.000.000</t>
        </r>
      </text>
    </comment>
    <comment ref="J172" authorId="1">
      <text>
        <r>
          <rPr>
            <b/>
            <sz val="8"/>
            <rFont val="Tahoma"/>
            <family val="0"/>
          </rPr>
          <t>11.000.000 costo progetto
1.000.000 attrezzature informatiche</t>
        </r>
      </text>
    </comment>
    <comment ref="K172" authorId="1">
      <text>
        <r>
          <rPr>
            <b/>
            <sz val="8"/>
            <rFont val="Tahoma"/>
            <family val="0"/>
          </rPr>
          <t>11.000.000 costo progetto
1.000.000 attrezzature informatiche</t>
        </r>
      </text>
    </comment>
    <comment ref="F176" authorId="1">
      <text>
        <r>
          <rPr>
            <b/>
            <sz val="8"/>
            <rFont val="Tahoma"/>
            <family val="0"/>
          </rPr>
          <t xml:space="preserve">ind. Turno 15.000.000
rep. 500.000
straord.  5.000.00
</t>
        </r>
      </text>
    </comment>
    <comment ref="R178" authorId="1">
      <text>
        <r>
          <rPr>
            <b/>
            <sz val="8"/>
            <rFont val="Tahoma"/>
            <family val="0"/>
          </rPr>
          <t xml:space="preserve">studio consulenza 5.500.000+PC 2.000.000
</t>
        </r>
      </text>
    </comment>
    <comment ref="R180" authorId="1">
      <text>
        <r>
          <rPr>
            <b/>
            <sz val="8"/>
            <rFont val="Tahoma"/>
            <family val="0"/>
          </rPr>
          <t>turbati 65.000.000
docenze 120.000.000
pubblicità 15.000.000
costi aziendali 10.000.000</t>
        </r>
      </text>
    </comment>
  </commentList>
</comments>
</file>

<file path=xl/sharedStrings.xml><?xml version="1.0" encoding="utf-8"?>
<sst xmlns="http://schemas.openxmlformats.org/spreadsheetml/2006/main" count="361" uniqueCount="230">
  <si>
    <t>A. S. P. e F.</t>
  </si>
  <si>
    <t>Azienda Servizi alla Persona e alla Famiglia</t>
  </si>
  <si>
    <t>D'ESTE</t>
  </si>
  <si>
    <t>Domiciliare</t>
  </si>
  <si>
    <t>Residenze</t>
  </si>
  <si>
    <t>Giovanile</t>
  </si>
  <si>
    <t>Palatè</t>
  </si>
  <si>
    <t>A</t>
  </si>
  <si>
    <t>VALORE DELLA PRODUZIONE</t>
  </si>
  <si>
    <t xml:space="preserve"> 1) Ricavi delle vendite e prestazioni</t>
  </si>
  <si>
    <t>a)</t>
  </si>
  <si>
    <t xml:space="preserve">Rette RSA </t>
  </si>
  <si>
    <t>b)</t>
  </si>
  <si>
    <t>Rette SAD</t>
  </si>
  <si>
    <t xml:space="preserve"> - b1) Pasti</t>
  </si>
  <si>
    <t xml:space="preserve"> - b2) Consegna pasti</t>
  </si>
  <si>
    <t xml:space="preserve"> - b3) Sollevatori</t>
  </si>
  <si>
    <t xml:space="preserve"> - b4) Prestazioni socio - sanitarie</t>
  </si>
  <si>
    <t>c)</t>
  </si>
  <si>
    <t>Rette Centro Diurno</t>
  </si>
  <si>
    <t>d)</t>
  </si>
  <si>
    <t>Proventi Dormitorio</t>
  </si>
  <si>
    <t>e)</t>
  </si>
  <si>
    <t xml:space="preserve">Proventi Trasporti </t>
  </si>
  <si>
    <t>f)</t>
  </si>
  <si>
    <t>Proventi Tanatologico</t>
  </si>
  <si>
    <t>g)</t>
  </si>
  <si>
    <t>Proventi C.A.G.</t>
  </si>
  <si>
    <t>h)</t>
  </si>
  <si>
    <t>Proventi Progetto giovani</t>
  </si>
  <si>
    <t>i)</t>
  </si>
  <si>
    <t>Proventi nuoto disabili</t>
  </si>
  <si>
    <t>l)</t>
  </si>
  <si>
    <t>Vendita farmaci</t>
  </si>
  <si>
    <t>m)</t>
  </si>
  <si>
    <t>Proventi Fisioterapia</t>
  </si>
  <si>
    <t>n)</t>
  </si>
  <si>
    <t>Prestazioni diverse</t>
  </si>
  <si>
    <t xml:space="preserve"> 2) Variazione delle rimanenze</t>
  </si>
  <si>
    <t xml:space="preserve"> 3) Variazione dei lavori in corso su ordinazione</t>
  </si>
  <si>
    <t xml:space="preserve"> 4) Incrementi di immobilizz. per lavori interni</t>
  </si>
  <si>
    <t xml:space="preserve"> 5) Altri ricavi e proventi</t>
  </si>
  <si>
    <t>Contributi</t>
  </si>
  <si>
    <t xml:space="preserve"> - Regione</t>
  </si>
  <si>
    <t xml:space="preserve"> - ASL</t>
  </si>
  <si>
    <t xml:space="preserve"> - Altri contributi ASL</t>
  </si>
  <si>
    <t xml:space="preserve"> - Contributi vari</t>
  </si>
  <si>
    <t>Altri ricavi e proventi vari</t>
  </si>
  <si>
    <t xml:space="preserve"> - Erogazione pasti RSA</t>
  </si>
  <si>
    <t xml:space="preserve"> - Proventi Comune di Mantova</t>
  </si>
  <si>
    <t xml:space="preserve"> - Rimborso farmaci e altre prestazioni farmacie</t>
  </si>
  <si>
    <t xml:space="preserve"> - Gestione del CPIH e Comunità Alloggio</t>
  </si>
  <si>
    <t xml:space="preserve"> - Rimborsi co sti telefonici</t>
  </si>
  <si>
    <t xml:space="preserve"> - Altri proventi vari</t>
  </si>
  <si>
    <t xml:space="preserve"> - Abbuoni e arrotondamenti attivi</t>
  </si>
  <si>
    <t xml:space="preserve"> - Vendite SAD</t>
  </si>
  <si>
    <t xml:space="preserve"> - Rivalsa bollo RSA</t>
  </si>
  <si>
    <t xml:space="preserve"> - Farmacie</t>
  </si>
  <si>
    <t xml:space="preserve"> - Riabilitazione</t>
  </si>
  <si>
    <t xml:space="preserve"> - Progetto Giovani</t>
  </si>
  <si>
    <t xml:space="preserve"> - Marketing</t>
  </si>
  <si>
    <t xml:space="preserve"> - Formazione</t>
  </si>
  <si>
    <t xml:space="preserve"> - Innovazione SAD</t>
  </si>
  <si>
    <t xml:space="preserve"> - Sistema di qualità</t>
  </si>
  <si>
    <t>TOTALE PARZIALE PER SERVIZIO</t>
  </si>
  <si>
    <t xml:space="preserve">          </t>
  </si>
  <si>
    <t>B</t>
  </si>
  <si>
    <t>COSTI DELLA PRODUZIONE</t>
  </si>
  <si>
    <t xml:space="preserve"> 6) Costi per mat. prime, sussidiarie, di consumo e merci</t>
  </si>
  <si>
    <t xml:space="preserve"> -  generi alimentari</t>
  </si>
  <si>
    <t xml:space="preserve"> - mat. medico per assist. farm. e sanit.</t>
  </si>
  <si>
    <t xml:space="preserve"> - Attività di animazione soggiorni e gite</t>
  </si>
  <si>
    <t xml:space="preserve"> -  farmaci e parafarmaci farmacie</t>
  </si>
  <si>
    <t xml:space="preserve"> - Telesoccorso</t>
  </si>
  <si>
    <t xml:space="preserve"> -  materiali di consumo vari</t>
  </si>
  <si>
    <t xml:space="preserve"> - Materiali di pulizia e lavanderia interna</t>
  </si>
  <si>
    <t xml:space="preserve"> - Cancelleria</t>
  </si>
  <si>
    <t xml:space="preserve"> - Materiale pubblicitario</t>
  </si>
  <si>
    <t xml:space="preserve"> - Carburanti e lubrificanti</t>
  </si>
  <si>
    <t xml:space="preserve"> - Spese access. su acquisti e addebiti da fornitori</t>
  </si>
  <si>
    <t xml:space="preserve"> - Teleriscaldamento</t>
  </si>
  <si>
    <t xml:space="preserve"> - Abbuoni e arrotondamenti</t>
  </si>
  <si>
    <t xml:space="preserve"> - Acquisto attrezzature da cucina</t>
  </si>
  <si>
    <t xml:space="preserve"> - Spese per fotocopiatore</t>
  </si>
  <si>
    <t xml:space="preserve"> 7) Costi per servizi</t>
  </si>
  <si>
    <t xml:space="preserve"> - Trasporti</t>
  </si>
  <si>
    <t xml:space="preserve"> - Energia elettrica</t>
  </si>
  <si>
    <t xml:space="preserve"> - Acqua e Gas</t>
  </si>
  <si>
    <t xml:space="preserve"> - Combustibili</t>
  </si>
  <si>
    <t xml:space="preserve"> - Rimborsi a piè di lista al personale</t>
  </si>
  <si>
    <t xml:space="preserve"> -  manutenzioni e riparazioni varie</t>
  </si>
  <si>
    <t xml:space="preserve"> - Manutenzioni contrattuali</t>
  </si>
  <si>
    <t xml:space="preserve"> - Compensi agli amministratori</t>
  </si>
  <si>
    <t xml:space="preserve"> - Compensi ai sindaci</t>
  </si>
  <si>
    <t xml:space="preserve"> - Consulenze tecniche</t>
  </si>
  <si>
    <t xml:space="preserve"> - Consulenze legali, fiscali </t>
  </si>
  <si>
    <t xml:space="preserve"> - Servizi barbiere e parrucchiere</t>
  </si>
  <si>
    <t xml:space="preserve"> - Spese lavanderia biancheria piana</t>
  </si>
  <si>
    <t xml:space="preserve"> - Spese lavanderia indumenti ospiti</t>
  </si>
  <si>
    <t xml:space="preserve"> - Servizio di portineria</t>
  </si>
  <si>
    <t xml:space="preserve"> - Servizio di pulizia</t>
  </si>
  <si>
    <t xml:space="preserve"> - Compensi professionisti</t>
  </si>
  <si>
    <t xml:space="preserve"> - Comp. collab. occasionali e comp. co.co.co.</t>
  </si>
  <si>
    <t xml:space="preserve"> - Enpam / Inps a carico azienda</t>
  </si>
  <si>
    <t xml:space="preserve"> - Acquisto pasti</t>
  </si>
  <si>
    <t xml:space="preserve"> - Consegna pasti</t>
  </si>
  <si>
    <t xml:space="preserve"> - Gestione reparti NAP</t>
  </si>
  <si>
    <t xml:space="preserve"> - Servizio assistenza geriatrica domiciliare</t>
  </si>
  <si>
    <t xml:space="preserve"> - Servizio di gestione funzionamento servizi</t>
  </si>
  <si>
    <t xml:space="preserve"> - Spese per manutenzione automezzi</t>
  </si>
  <si>
    <t xml:space="preserve"> - Spese per assicurazione automezzi</t>
  </si>
  <si>
    <t xml:space="preserve"> - Altre spese per automezzi</t>
  </si>
  <si>
    <t xml:space="preserve"> - Spese telefoniche</t>
  </si>
  <si>
    <t xml:space="preserve"> - Spese postali e di affrancatura</t>
  </si>
  <si>
    <t xml:space="preserve"> - Assicurazioni diverse</t>
  </si>
  <si>
    <t xml:space="preserve"> - Spese di rappresentanza</t>
  </si>
  <si>
    <t xml:space="preserve"> - Spese viaggi e trasferte</t>
  </si>
  <si>
    <t xml:space="preserve"> - Piccole spese economali e fondo cassa</t>
  </si>
  <si>
    <t xml:space="preserve"> - ENPAF Farmacisti</t>
  </si>
  <si>
    <t xml:space="preserve"> 8) Costi per godimento beni di terzi</t>
  </si>
  <si>
    <t xml:space="preserve"> - Affitti e locazioni</t>
  </si>
  <si>
    <t xml:space="preserve"> - Spese condominiali</t>
  </si>
  <si>
    <t xml:space="preserve"> - Noleggio strutture e attrezzature</t>
  </si>
  <si>
    <t xml:space="preserve"> - Altri per godimento beni di terzi</t>
  </si>
  <si>
    <t xml:space="preserve"> 9) Costi per il personale</t>
  </si>
  <si>
    <t xml:space="preserve"> - Salari e stipendi</t>
  </si>
  <si>
    <t xml:space="preserve"> - Contributi</t>
  </si>
  <si>
    <t xml:space="preserve"> - Trattamento di fine rapporto</t>
  </si>
  <si>
    <t xml:space="preserve"> - Divise per il personale</t>
  </si>
  <si>
    <t xml:space="preserve"> - Buoni pasto</t>
  </si>
  <si>
    <t xml:space="preserve"> - Altri costi per il personale (2%)</t>
  </si>
  <si>
    <t xml:space="preserve"> 10) Ammortamenti e svalutazioni</t>
  </si>
  <si>
    <t xml:space="preserve"> - Ammortamento immobilizzazioni immateriali</t>
  </si>
  <si>
    <t xml:space="preserve"> - Ammortamento immobilizzazioni materiali</t>
  </si>
  <si>
    <t xml:space="preserve"> - Altre svalutazioni delle immobilizzazioni</t>
  </si>
  <si>
    <t xml:space="preserve"> - Svalut. dei crediti compresi nell'attivo circolante</t>
  </si>
  <si>
    <t xml:space="preserve"> 11)</t>
  </si>
  <si>
    <t xml:space="preserve">Variazioni delle rimanenze </t>
  </si>
  <si>
    <t xml:space="preserve"> - Rimanenze iniziali</t>
  </si>
  <si>
    <t xml:space="preserve"> - (Rimanenze finali)</t>
  </si>
  <si>
    <t xml:space="preserve"> 12)</t>
  </si>
  <si>
    <t>Accantonamenti per rischi</t>
  </si>
  <si>
    <t xml:space="preserve"> - Accantonamento a fondo rischi</t>
  </si>
  <si>
    <t xml:space="preserve"> 13)</t>
  </si>
  <si>
    <t>Altri accantonamenti</t>
  </si>
  <si>
    <t xml:space="preserve"> - Altri accantonamenti</t>
  </si>
  <si>
    <t xml:space="preserve"> 14)</t>
  </si>
  <si>
    <t>Oneri diversi di gestione</t>
  </si>
  <si>
    <t xml:space="preserve"> - Imposte e tasse non relative al reddito d'eserc.</t>
  </si>
  <si>
    <t xml:space="preserve"> - Imposte di bollo</t>
  </si>
  <si>
    <t xml:space="preserve"> - Utif</t>
  </si>
  <si>
    <t xml:space="preserve"> - Tasse di concessione regionale</t>
  </si>
  <si>
    <t xml:space="preserve"> - Imposta di registro</t>
  </si>
  <si>
    <t xml:space="preserve"> - Altre imposte e tasse pubblicità</t>
  </si>
  <si>
    <t xml:space="preserve"> - Canoni di smaltimento rifiuti urbani e speciali</t>
  </si>
  <si>
    <t xml:space="preserve"> - Abbonamenti a testi, riviste, quotidiani e RAI</t>
  </si>
  <si>
    <t xml:space="preserve"> - SIAE</t>
  </si>
  <si>
    <t xml:space="preserve"> - Spese adempimenti L.626 e HACCP</t>
  </si>
  <si>
    <t xml:space="preserve"> - Contributi ad associazioni sindac. e di categoria</t>
  </si>
  <si>
    <t xml:space="preserve"> - Tasse di circolazione automezzi</t>
  </si>
  <si>
    <t>Progetti 2000</t>
  </si>
  <si>
    <t xml:space="preserve"> - Farmacia GRAMSCI e DUE Pini</t>
  </si>
  <si>
    <t xml:space="preserve"> - Attività teatrale</t>
  </si>
  <si>
    <t xml:space="preserve"> - Gestione magazzino</t>
  </si>
  <si>
    <t xml:space="preserve"> - Ufficio Ragioneria</t>
  </si>
  <si>
    <t xml:space="preserve"> - Informatizzazione</t>
  </si>
  <si>
    <t>C</t>
  </si>
  <si>
    <t>PROVENTI E ONERI FINANZIARI</t>
  </si>
  <si>
    <t xml:space="preserve"> 15)</t>
  </si>
  <si>
    <t>Proventi da partecipazioni</t>
  </si>
  <si>
    <t xml:space="preserve"> 16)</t>
  </si>
  <si>
    <t>Altri proventi finanziari</t>
  </si>
  <si>
    <t xml:space="preserve"> - Interessi attivi tesoriere</t>
  </si>
  <si>
    <t xml:space="preserve"> - Interessi attivi bancari</t>
  </si>
  <si>
    <t xml:space="preserve"> - Altri interessi attivi</t>
  </si>
  <si>
    <t xml:space="preserve"> 17)</t>
  </si>
  <si>
    <t>Interessi e altri oneri finanziari</t>
  </si>
  <si>
    <t xml:space="preserve"> - Interessi passivi su mutui</t>
  </si>
  <si>
    <t xml:space="preserve"> - Interessi passivi tesoriere</t>
  </si>
  <si>
    <t xml:space="preserve"> - Interessi passivi bancari</t>
  </si>
  <si>
    <t xml:space="preserve"> - Spese diverse bancarie</t>
  </si>
  <si>
    <t xml:space="preserve"> - Interessi passivi verso altri finanziatori</t>
  </si>
  <si>
    <t>D</t>
  </si>
  <si>
    <t>RETTIFICHE DI VALORE DI ATTIVITA' FINANZIARIE</t>
  </si>
  <si>
    <t>TOTALE     D</t>
  </si>
  <si>
    <t>E</t>
  </si>
  <si>
    <t>PROVENTI E ONERI STRAORDINARI</t>
  </si>
  <si>
    <t>TOTALE     E</t>
  </si>
  <si>
    <t xml:space="preserve"> 20)</t>
  </si>
  <si>
    <t>Proventi</t>
  </si>
  <si>
    <t xml:space="preserve"> - plusvalenze da alienazioni</t>
  </si>
  <si>
    <t xml:space="preserve"> - sopravvennienze attive</t>
  </si>
  <si>
    <t xml:space="preserve"> - altri</t>
  </si>
  <si>
    <t xml:space="preserve"> 21)</t>
  </si>
  <si>
    <t>Oneri</t>
  </si>
  <si>
    <t xml:space="preserve"> - minusvalenze da alienazioni</t>
  </si>
  <si>
    <t xml:space="preserve"> - insussistenze passive</t>
  </si>
  <si>
    <t xml:space="preserve"> - imposte esercizi precedenti</t>
  </si>
  <si>
    <t xml:space="preserve"> 22)</t>
  </si>
  <si>
    <t>IMPOSTE DELL'ESERCIZIO</t>
  </si>
  <si>
    <t xml:space="preserve"> - IRPEG</t>
  </si>
  <si>
    <t xml:space="preserve"> - IRAP</t>
  </si>
  <si>
    <t>AVANZO / DISAVANZO DI GESTIONE PER SERVIZIO</t>
  </si>
  <si>
    <t>Bilancio Previsionale 2000</t>
  </si>
  <si>
    <t>RSA</t>
  </si>
  <si>
    <t>Servizio</t>
  </si>
  <si>
    <t>Centro</t>
  </si>
  <si>
    <t>Dormitorio</t>
  </si>
  <si>
    <t>Farmacia</t>
  </si>
  <si>
    <t>Progetto</t>
  </si>
  <si>
    <t>Nuoto</t>
  </si>
  <si>
    <t>Comunità</t>
  </si>
  <si>
    <t>Qualità</t>
  </si>
  <si>
    <t>Formazione</t>
  </si>
  <si>
    <t>Marketing</t>
  </si>
  <si>
    <t>TOTALE</t>
  </si>
  <si>
    <t>ISABELLA</t>
  </si>
  <si>
    <t>Assistenza</t>
  </si>
  <si>
    <t>Diurno</t>
  </si>
  <si>
    <t>e</t>
  </si>
  <si>
    <t>2 PINI</t>
  </si>
  <si>
    <t>GRAMSCI</t>
  </si>
  <si>
    <t>Trasporti</t>
  </si>
  <si>
    <t>Tanatologico</t>
  </si>
  <si>
    <t>Aggregazione</t>
  </si>
  <si>
    <t>Giovani</t>
  </si>
  <si>
    <t>disabili</t>
  </si>
  <si>
    <t>alloggio</t>
  </si>
  <si>
    <t>PER</t>
  </si>
  <si>
    <t>VOCE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</si>
</sst>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\(#,##0\)"/>
    <numFmt numFmtId="165" formatCode="#,##0.0000000_);\(#,##0.0000000\)"/>
    <numFmt numFmtId="166" formatCode="#,##0_ ;\-#,##0\ "/>
  </numFmts>
  <fonts count="29">
    <font>
      <sz val="10"/>
      <name val="Arial"/>
      <family val="0"/>
    </font>
    <font>
      <sz val="10"/>
      <name val="Times New Roman"/>
      <family val="1"/>
    </font>
    <font>
      <sz val="18"/>
      <name val="Swis721 Hv BT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20"/>
      <name val="Times New Roman"/>
      <family val="1"/>
    </font>
    <font>
      <sz val="20"/>
      <name val="Arial"/>
      <family val="0"/>
    </font>
    <font>
      <sz val="20"/>
      <name val="Swis721 Hv BT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53"/>
      <name val="Times New Roman"/>
      <family val="1"/>
    </font>
    <font>
      <sz val="14"/>
      <color indexed="9"/>
      <name val="Arial"/>
      <family val="2"/>
    </font>
    <font>
      <sz val="14"/>
      <color indexed="9"/>
      <name val="Times New Roman"/>
      <family val="1"/>
    </font>
    <font>
      <sz val="14"/>
      <color indexed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8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42" fontId="1" fillId="0" borderId="0" xfId="19" applyFont="1" applyAlignment="1">
      <alignment/>
    </xf>
    <xf numFmtId="42" fontId="1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" borderId="1" xfId="0" applyFont="1" applyFill="1" applyBorder="1" applyAlignment="1">
      <alignment horizontal="center"/>
    </xf>
    <xf numFmtId="164" fontId="19" fillId="4" borderId="2" xfId="0" applyNumberFormat="1" applyFont="1" applyFill="1" applyBorder="1" applyAlignment="1" applyProtection="1">
      <alignment horizontal="center" vertical="center"/>
      <protection/>
    </xf>
    <xf numFmtId="0" fontId="18" fillId="3" borderId="2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164" fontId="19" fillId="4" borderId="4" xfId="0" applyNumberFormat="1" applyFont="1" applyFill="1" applyBorder="1" applyAlignment="1" applyProtection="1">
      <alignment horizontal="center" vertical="center"/>
      <protection/>
    </xf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164" fontId="19" fillId="4" borderId="6" xfId="0" applyNumberFormat="1" applyFont="1" applyFill="1" applyBorder="1" applyAlignment="1" applyProtection="1">
      <alignment horizontal="center" vertical="center"/>
      <protection/>
    </xf>
    <xf numFmtId="0" fontId="17" fillId="3" borderId="4" xfId="0" applyFont="1" applyFill="1" applyBorder="1" applyAlignment="1">
      <alignment/>
    </xf>
    <xf numFmtId="0" fontId="17" fillId="3" borderId="6" xfId="0" applyFont="1" applyFill="1" applyBorder="1" applyAlignment="1">
      <alignment/>
    </xf>
    <xf numFmtId="164" fontId="19" fillId="4" borderId="5" xfId="0" applyNumberFormat="1" applyFont="1" applyFill="1" applyBorder="1" applyAlignment="1" applyProtection="1">
      <alignment horizontal="center" vertical="center"/>
      <protection/>
    </xf>
    <xf numFmtId="164" fontId="19" fillId="4" borderId="7" xfId="0" applyNumberFormat="1" applyFont="1" applyFill="1" applyBorder="1" applyAlignment="1" applyProtection="1">
      <alignment horizontal="center" vertical="center"/>
      <protection/>
    </xf>
    <xf numFmtId="164" fontId="19" fillId="4" borderId="8" xfId="0" applyNumberFormat="1" applyFont="1" applyFill="1" applyBorder="1" applyAlignment="1" applyProtection="1">
      <alignment vertical="center"/>
      <protection/>
    </xf>
    <xf numFmtId="0" fontId="21" fillId="4" borderId="8" xfId="0" applyFont="1" applyFill="1" applyBorder="1" applyAlignment="1" applyProtection="1">
      <alignment vertical="center"/>
      <protection/>
    </xf>
    <xf numFmtId="164" fontId="21" fillId="4" borderId="9" xfId="0" applyNumberFormat="1" applyFont="1" applyFill="1" applyBorder="1" applyAlignment="1" applyProtection="1">
      <alignment vertical="center"/>
      <protection/>
    </xf>
    <xf numFmtId="164" fontId="21" fillId="2" borderId="10" xfId="0" applyNumberFormat="1" applyFont="1" applyFill="1" applyBorder="1" applyAlignment="1" applyProtection="1">
      <alignment/>
      <protection/>
    </xf>
    <xf numFmtId="164" fontId="21" fillId="2" borderId="11" xfId="0" applyNumberFormat="1" applyFont="1" applyFill="1" applyBorder="1" applyAlignment="1" applyProtection="1">
      <alignment/>
      <protection/>
    </xf>
    <xf numFmtId="164" fontId="21" fillId="2" borderId="1" xfId="0" applyNumberFormat="1" applyFont="1" applyFill="1" applyBorder="1" applyAlignment="1" applyProtection="1">
      <alignment/>
      <protection/>
    </xf>
    <xf numFmtId="164" fontId="21" fillId="2" borderId="12" xfId="0" applyNumberFormat="1" applyFont="1" applyFill="1" applyBorder="1" applyAlignment="1" applyProtection="1">
      <alignment/>
      <protection/>
    </xf>
    <xf numFmtId="164" fontId="21" fillId="2" borderId="2" xfId="0" applyNumberFormat="1" applyFont="1" applyFill="1" applyBorder="1" applyAlignment="1" applyProtection="1">
      <alignment/>
      <protection/>
    </xf>
    <xf numFmtId="0" fontId="17" fillId="0" borderId="2" xfId="0" applyFont="1" applyBorder="1" applyAlignment="1">
      <alignment/>
    </xf>
    <xf numFmtId="0" fontId="17" fillId="0" borderId="1" xfId="0" applyFont="1" applyBorder="1" applyAlignment="1">
      <alignment/>
    </xf>
    <xf numFmtId="164" fontId="22" fillId="2" borderId="13" xfId="0" applyNumberFormat="1" applyFont="1" applyFill="1" applyBorder="1" applyAlignment="1" applyProtection="1">
      <alignment/>
      <protection/>
    </xf>
    <xf numFmtId="164" fontId="22" fillId="2" borderId="0" xfId="0" applyNumberFormat="1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164" fontId="21" fillId="2" borderId="0" xfId="0" applyNumberFormat="1" applyFont="1" applyFill="1" applyBorder="1" applyAlignment="1" applyProtection="1">
      <alignment/>
      <protection/>
    </xf>
    <xf numFmtId="164" fontId="21" fillId="2" borderId="5" xfId="0" applyNumberFormat="1" applyFont="1" applyFill="1" applyBorder="1" applyAlignment="1" applyProtection="1">
      <alignment/>
      <protection/>
    </xf>
    <xf numFmtId="164" fontId="21" fillId="2" borderId="6" xfId="0" applyNumberFormat="1" applyFont="1" applyFill="1" applyBorder="1" applyAlignment="1" applyProtection="1">
      <alignment/>
      <protection/>
    </xf>
    <xf numFmtId="0" fontId="17" fillId="0" borderId="3" xfId="0" applyFont="1" applyBorder="1" applyAlignment="1">
      <alignment/>
    </xf>
    <xf numFmtId="164" fontId="21" fillId="2" borderId="4" xfId="0" applyNumberFormat="1" applyFont="1" applyFill="1" applyBorder="1" applyAlignment="1" applyProtection="1">
      <alignment horizontal="center"/>
      <protection/>
    </xf>
    <xf numFmtId="164" fontId="23" fillId="2" borderId="14" xfId="0" applyNumberFormat="1" applyFont="1" applyFill="1" applyBorder="1" applyAlignment="1" applyProtection="1">
      <alignment/>
      <protection/>
    </xf>
    <xf numFmtId="0" fontId="21" fillId="2" borderId="14" xfId="0" applyFont="1" applyFill="1" applyBorder="1" applyAlignment="1" applyProtection="1">
      <alignment/>
      <protection/>
    </xf>
    <xf numFmtId="164" fontId="21" fillId="2" borderId="15" xfId="0" applyNumberFormat="1" applyFont="1" applyFill="1" applyBorder="1" applyAlignment="1" applyProtection="1">
      <alignment/>
      <protection/>
    </xf>
    <xf numFmtId="164" fontId="21" fillId="2" borderId="16" xfId="0" applyNumberFormat="1" applyFont="1" applyFill="1" applyBorder="1" applyAlignment="1" applyProtection="1">
      <alignment/>
      <protection/>
    </xf>
    <xf numFmtId="164" fontId="21" fillId="2" borderId="17" xfId="0" applyNumberFormat="1" applyFont="1" applyFill="1" applyBorder="1" applyAlignment="1" applyProtection="1">
      <alignment/>
      <protection/>
    </xf>
    <xf numFmtId="164" fontId="17" fillId="0" borderId="17" xfId="0" applyNumberFormat="1" applyFont="1" applyBorder="1" applyAlignment="1">
      <alignment/>
    </xf>
    <xf numFmtId="164" fontId="23" fillId="2" borderId="4" xfId="0" applyNumberFormat="1" applyFont="1" applyFill="1" applyBorder="1" applyAlignment="1" applyProtection="1">
      <alignment horizontal="center"/>
      <protection/>
    </xf>
    <xf numFmtId="164" fontId="21" fillId="2" borderId="18" xfId="0" applyNumberFormat="1" applyFont="1" applyFill="1" applyBorder="1" applyAlignment="1" applyProtection="1">
      <alignment/>
      <protection/>
    </xf>
    <xf numFmtId="164" fontId="21" fillId="2" borderId="19" xfId="0" applyNumberFormat="1" applyFont="1" applyFill="1" applyBorder="1" applyAlignment="1" applyProtection="1">
      <alignment/>
      <protection/>
    </xf>
    <xf numFmtId="164" fontId="21" fillId="2" borderId="14" xfId="0" applyNumberFormat="1" applyFont="1" applyFill="1" applyBorder="1" applyAlignment="1" applyProtection="1">
      <alignment/>
      <protection/>
    </xf>
    <xf numFmtId="164" fontId="21" fillId="2" borderId="20" xfId="0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164" fontId="21" fillId="0" borderId="16" xfId="0" applyNumberFormat="1" applyFont="1" applyFill="1" applyBorder="1" applyAlignment="1" applyProtection="1">
      <alignment/>
      <protection/>
    </xf>
    <xf numFmtId="164" fontId="22" fillId="2" borderId="4" xfId="0" applyNumberFormat="1" applyFont="1" applyFill="1" applyBorder="1" applyAlignment="1" applyProtection="1">
      <alignment/>
      <protection/>
    </xf>
    <xf numFmtId="164" fontId="22" fillId="2" borderId="14" xfId="0" applyNumberFormat="1" applyFont="1" applyFill="1" applyBorder="1" applyAlignment="1" applyProtection="1">
      <alignment/>
      <protection/>
    </xf>
    <xf numFmtId="164" fontId="21" fillId="2" borderId="21" xfId="0" applyNumberFormat="1" applyFont="1" applyFill="1" applyBorder="1" applyAlignment="1" applyProtection="1">
      <alignment/>
      <protection/>
    </xf>
    <xf numFmtId="164" fontId="21" fillId="2" borderId="22" xfId="0" applyNumberFormat="1" applyFont="1" applyFill="1" applyBorder="1" applyAlignment="1" applyProtection="1">
      <alignment/>
      <protection/>
    </xf>
    <xf numFmtId="164" fontId="21" fillId="2" borderId="23" xfId="0" applyNumberFormat="1" applyFont="1" applyFill="1" applyBorder="1" applyAlignment="1" applyProtection="1">
      <alignment/>
      <protection/>
    </xf>
    <xf numFmtId="164" fontId="21" fillId="2" borderId="24" xfId="0" applyNumberFormat="1" applyFont="1" applyFill="1" applyBorder="1" applyAlignment="1" applyProtection="1">
      <alignment/>
      <protection/>
    </xf>
    <xf numFmtId="164" fontId="21" fillId="2" borderId="25" xfId="0" applyNumberFormat="1" applyFont="1" applyFill="1" applyBorder="1" applyAlignment="1" applyProtection="1">
      <alignment/>
      <protection/>
    </xf>
    <xf numFmtId="164" fontId="23" fillId="2" borderId="0" xfId="0" applyNumberFormat="1" applyFont="1" applyFill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164" fontId="21" fillId="2" borderId="0" xfId="0" applyNumberFormat="1" applyFont="1" applyFill="1" applyAlignment="1" applyProtection="1">
      <alignment/>
      <protection/>
    </xf>
    <xf numFmtId="164" fontId="24" fillId="0" borderId="17" xfId="0" applyNumberFormat="1" applyFont="1" applyBorder="1" applyAlignment="1">
      <alignment/>
    </xf>
    <xf numFmtId="41" fontId="17" fillId="0" borderId="25" xfId="16" applyFont="1" applyBorder="1" applyAlignment="1">
      <alignment horizontal="right"/>
    </xf>
    <xf numFmtId="0" fontId="21" fillId="2" borderId="24" xfId="0" applyFont="1" applyFill="1" applyBorder="1" applyAlignment="1" applyProtection="1">
      <alignment/>
      <protection/>
    </xf>
    <xf numFmtId="0" fontId="17" fillId="0" borderId="24" xfId="0" applyFont="1" applyBorder="1" applyAlignment="1">
      <alignment/>
    </xf>
    <xf numFmtId="164" fontId="21" fillId="2" borderId="26" xfId="0" applyNumberFormat="1" applyFont="1" applyFill="1" applyBorder="1" applyAlignment="1" applyProtection="1">
      <alignment/>
      <protection/>
    </xf>
    <xf numFmtId="164" fontId="17" fillId="0" borderId="16" xfId="0" applyNumberFormat="1" applyFont="1" applyBorder="1" applyAlignment="1">
      <alignment/>
    </xf>
    <xf numFmtId="164" fontId="21" fillId="2" borderId="3" xfId="0" applyNumberFormat="1" applyFont="1" applyFill="1" applyBorder="1" applyAlignment="1" applyProtection="1">
      <alignment/>
      <protection/>
    </xf>
    <xf numFmtId="164" fontId="17" fillId="0" borderId="3" xfId="0" applyNumberFormat="1" applyFont="1" applyBorder="1" applyAlignment="1">
      <alignment/>
    </xf>
    <xf numFmtId="0" fontId="17" fillId="0" borderId="15" xfId="0" applyFont="1" applyBorder="1" applyAlignment="1">
      <alignment/>
    </xf>
    <xf numFmtId="164" fontId="21" fillId="2" borderId="4" xfId="0" applyNumberFormat="1" applyFont="1" applyFill="1" applyBorder="1" applyAlignment="1" applyProtection="1">
      <alignment/>
      <protection/>
    </xf>
    <xf numFmtId="164" fontId="21" fillId="2" borderId="5" xfId="0" applyNumberFormat="1" applyFont="1" applyFill="1" applyBorder="1" applyAlignment="1" applyProtection="1">
      <alignment horizontal="right"/>
      <protection/>
    </xf>
    <xf numFmtId="164" fontId="17" fillId="0" borderId="6" xfId="0" applyNumberFormat="1" applyFont="1" applyBorder="1" applyAlignment="1">
      <alignment/>
    </xf>
    <xf numFmtId="41" fontId="25" fillId="0" borderId="0" xfId="16" applyFont="1" applyAlignment="1">
      <alignment/>
    </xf>
    <xf numFmtId="41" fontId="25" fillId="0" borderId="0" xfId="0" applyNumberFormat="1" applyFont="1" applyAlignment="1">
      <alignment/>
    </xf>
    <xf numFmtId="164" fontId="21" fillId="2" borderId="27" xfId="0" applyNumberFormat="1" applyFont="1" applyFill="1" applyBorder="1" applyAlignment="1" applyProtection="1">
      <alignment/>
      <protection/>
    </xf>
    <xf numFmtId="164" fontId="21" fillId="2" borderId="28" xfId="0" applyNumberFormat="1" applyFont="1" applyFill="1" applyBorder="1" applyAlignment="1" applyProtection="1">
      <alignment/>
      <protection/>
    </xf>
    <xf numFmtId="0" fontId="18" fillId="0" borderId="14" xfId="0" applyFont="1" applyBorder="1" applyAlignment="1">
      <alignment/>
    </xf>
    <xf numFmtId="164" fontId="19" fillId="5" borderId="16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Alignment="1">
      <alignment/>
    </xf>
    <xf numFmtId="164" fontId="6" fillId="4" borderId="2" xfId="0" applyNumberFormat="1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>
      <alignment horizontal="center"/>
    </xf>
    <xf numFmtId="164" fontId="21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9" fillId="4" borderId="17" xfId="0" applyNumberFormat="1" applyFont="1" applyFill="1" applyBorder="1" applyAlignment="1" applyProtection="1">
      <alignment horizontal="center" vertical="center"/>
      <protection/>
    </xf>
    <xf numFmtId="164" fontId="19" fillId="4" borderId="24" xfId="0" applyNumberFormat="1" applyFont="1" applyFill="1" applyBorder="1" applyAlignment="1" applyProtection="1">
      <alignment vertical="center"/>
      <protection/>
    </xf>
    <xf numFmtId="0" fontId="21" fillId="4" borderId="24" xfId="0" applyFont="1" applyFill="1" applyBorder="1" applyAlignment="1" applyProtection="1">
      <alignment vertical="center"/>
      <protection/>
    </xf>
    <xf numFmtId="164" fontId="21" fillId="4" borderId="24" xfId="0" applyNumberFormat="1" applyFont="1" applyFill="1" applyBorder="1" applyAlignment="1" applyProtection="1">
      <alignment vertical="center"/>
      <protection/>
    </xf>
    <xf numFmtId="164" fontId="21" fillId="0" borderId="3" xfId="0" applyNumberFormat="1" applyFont="1" applyFill="1" applyBorder="1" applyAlignment="1" applyProtection="1">
      <alignment/>
      <protection/>
    </xf>
    <xf numFmtId="164" fontId="21" fillId="0" borderId="15" xfId="0" applyNumberFormat="1" applyFont="1" applyFill="1" applyBorder="1" applyAlignment="1" applyProtection="1">
      <alignment/>
      <protection/>
    </xf>
    <xf numFmtId="164" fontId="21" fillId="0" borderId="1" xfId="0" applyNumberFormat="1" applyFont="1" applyFill="1" applyBorder="1" applyAlignment="1" applyProtection="1">
      <alignment/>
      <protection/>
    </xf>
    <xf numFmtId="0" fontId="17" fillId="0" borderId="4" xfId="0" applyFont="1" applyBorder="1" applyAlignment="1">
      <alignment/>
    </xf>
    <xf numFmtId="164" fontId="22" fillId="2" borderId="0" xfId="0" applyNumberFormat="1" applyFont="1" applyFill="1" applyAlignment="1" applyProtection="1">
      <alignment/>
      <protection/>
    </xf>
    <xf numFmtId="164" fontId="21" fillId="0" borderId="5" xfId="0" applyNumberFormat="1" applyFont="1" applyFill="1" applyBorder="1" applyAlignment="1" applyProtection="1">
      <alignment/>
      <protection/>
    </xf>
    <xf numFmtId="164" fontId="17" fillId="0" borderId="5" xfId="0" applyNumberFormat="1" applyFont="1" applyBorder="1" applyAlignment="1">
      <alignment/>
    </xf>
    <xf numFmtId="164" fontId="21" fillId="2" borderId="29" xfId="0" applyNumberFormat="1" applyFont="1" applyFill="1" applyBorder="1" applyAlignment="1" applyProtection="1">
      <alignment/>
      <protection/>
    </xf>
    <xf numFmtId="164" fontId="21" fillId="0" borderId="22" xfId="0" applyNumberFormat="1" applyFont="1" applyFill="1" applyBorder="1" applyAlignment="1" applyProtection="1">
      <alignment/>
      <protection/>
    </xf>
    <xf numFmtId="41" fontId="17" fillId="0" borderId="0" xfId="16" applyFont="1" applyAlignment="1">
      <alignment/>
    </xf>
    <xf numFmtId="164" fontId="21" fillId="2" borderId="30" xfId="0" applyNumberFormat="1" applyFont="1" applyFill="1" applyBorder="1" applyAlignment="1" applyProtection="1">
      <alignment/>
      <protection/>
    </xf>
    <xf numFmtId="164" fontId="19" fillId="0" borderId="21" xfId="0" applyNumberFormat="1" applyFont="1" applyFill="1" applyBorder="1" applyAlignment="1" applyProtection="1">
      <alignment/>
      <protection/>
    </xf>
    <xf numFmtId="41" fontId="17" fillId="0" borderId="24" xfId="16" applyFont="1" applyBorder="1" applyAlignment="1">
      <alignment/>
    </xf>
    <xf numFmtId="164" fontId="20" fillId="0" borderId="0" xfId="0" applyNumberFormat="1" applyFont="1" applyAlignment="1">
      <alignment/>
    </xf>
    <xf numFmtId="165" fontId="21" fillId="2" borderId="14" xfId="0" applyNumberFormat="1" applyFont="1" applyFill="1" applyBorder="1" applyAlignment="1" applyProtection="1">
      <alignment/>
      <protection/>
    </xf>
    <xf numFmtId="41" fontId="17" fillId="0" borderId="25" xfId="16" applyFont="1" applyFill="1" applyBorder="1" applyAlignment="1">
      <alignment/>
    </xf>
    <xf numFmtId="41" fontId="17" fillId="0" borderId="5" xfId="16" applyFont="1" applyFill="1" applyBorder="1" applyAlignment="1">
      <alignment/>
    </xf>
    <xf numFmtId="164" fontId="21" fillId="0" borderId="27" xfId="0" applyNumberFormat="1" applyFont="1" applyFill="1" applyBorder="1" applyAlignment="1" applyProtection="1">
      <alignment/>
      <protection/>
    </xf>
    <xf numFmtId="0" fontId="17" fillId="0" borderId="5" xfId="0" applyFont="1" applyBorder="1" applyAlignment="1">
      <alignment/>
    </xf>
    <xf numFmtId="164" fontId="22" fillId="2" borderId="2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/>
    </xf>
    <xf numFmtId="164" fontId="17" fillId="0" borderId="31" xfId="0" applyNumberFormat="1" applyFont="1" applyBorder="1" applyAlignment="1">
      <alignment/>
    </xf>
    <xf numFmtId="164" fontId="26" fillId="2" borderId="14" xfId="0" applyNumberFormat="1" applyFont="1" applyFill="1" applyBorder="1" applyAlignment="1" applyProtection="1">
      <alignment/>
      <protection/>
    </xf>
    <xf numFmtId="164" fontId="17" fillId="0" borderId="1" xfId="0" applyNumberFormat="1" applyFont="1" applyBorder="1" applyAlignment="1">
      <alignment/>
    </xf>
    <xf numFmtId="164" fontId="23" fillId="2" borderId="4" xfId="0" applyNumberFormat="1" applyFont="1" applyFill="1" applyBorder="1" applyAlignment="1" applyProtection="1">
      <alignment/>
      <protection/>
    </xf>
    <xf numFmtId="164" fontId="17" fillId="0" borderId="2" xfId="0" applyNumberFormat="1" applyFont="1" applyBorder="1" applyAlignment="1">
      <alignment/>
    </xf>
    <xf numFmtId="0" fontId="18" fillId="0" borderId="24" xfId="0" applyFont="1" applyBorder="1" applyAlignment="1">
      <alignment/>
    </xf>
    <xf numFmtId="164" fontId="11" fillId="0" borderId="14" xfId="0" applyNumberFormat="1" applyFont="1" applyFill="1" applyBorder="1" applyAlignment="1" applyProtection="1">
      <alignment/>
      <protection/>
    </xf>
    <xf numFmtId="164" fontId="9" fillId="0" borderId="14" xfId="0" applyNumberFormat="1" applyFont="1" applyFill="1" applyBorder="1" applyAlignment="1">
      <alignment/>
    </xf>
    <xf numFmtId="164" fontId="19" fillId="4" borderId="32" xfId="0" applyNumberFormat="1" applyFont="1" applyFill="1" applyBorder="1" applyAlignment="1" applyProtection="1">
      <alignment horizontal="center" vertical="center"/>
      <protection/>
    </xf>
    <xf numFmtId="164" fontId="19" fillId="4" borderId="17" xfId="0" applyNumberFormat="1" applyFont="1" applyFill="1" applyBorder="1" applyAlignment="1" applyProtection="1">
      <alignment vertical="center"/>
      <protection/>
    </xf>
    <xf numFmtId="164" fontId="21" fillId="4" borderId="19" xfId="0" applyNumberFormat="1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/>
      <protection/>
    </xf>
    <xf numFmtId="164" fontId="19" fillId="4" borderId="16" xfId="0" applyNumberFormat="1" applyFont="1" applyFill="1" applyBorder="1" applyAlignment="1" applyProtection="1">
      <alignment/>
      <protection/>
    </xf>
    <xf numFmtId="164" fontId="21" fillId="4" borderId="16" xfId="0" applyNumberFormat="1" applyFont="1" applyFill="1" applyBorder="1" applyAlignment="1" applyProtection="1">
      <alignment/>
      <protection/>
    </xf>
    <xf numFmtId="164" fontId="19" fillId="4" borderId="16" xfId="0" applyNumberFormat="1" applyFont="1" applyFill="1" applyBorder="1" applyAlignment="1" applyProtection="1">
      <alignment horizontal="center"/>
      <protection/>
    </xf>
    <xf numFmtId="164" fontId="19" fillId="0" borderId="4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164" fontId="21" fillId="0" borderId="0" xfId="0" applyNumberFormat="1" applyFont="1" applyFill="1" applyBorder="1" applyAlignment="1" applyProtection="1">
      <alignment vertical="center"/>
      <protection/>
    </xf>
    <xf numFmtId="164" fontId="19" fillId="0" borderId="1" xfId="0" applyNumberFormat="1" applyFont="1" applyFill="1" applyBorder="1" applyAlignment="1" applyProtection="1">
      <alignment/>
      <protection/>
    </xf>
    <xf numFmtId="164" fontId="17" fillId="6" borderId="16" xfId="0" applyNumberFormat="1" applyFont="1" applyFill="1" applyBorder="1" applyAlignment="1">
      <alignment/>
    </xf>
    <xf numFmtId="164" fontId="19" fillId="2" borderId="0" xfId="0" applyNumberFormat="1" applyFont="1" applyFill="1" applyAlignment="1" applyProtection="1">
      <alignment/>
      <protection/>
    </xf>
    <xf numFmtId="164" fontId="19" fillId="4" borderId="33" xfId="0" applyNumberFormat="1" applyFont="1" applyFill="1" applyBorder="1" applyAlignment="1" applyProtection="1">
      <alignment vertical="center"/>
      <protection/>
    </xf>
    <xf numFmtId="0" fontId="21" fillId="4" borderId="33" xfId="0" applyFont="1" applyFill="1" applyBorder="1" applyAlignment="1" applyProtection="1">
      <alignment vertical="center"/>
      <protection/>
    </xf>
    <xf numFmtId="164" fontId="21" fillId="4" borderId="33" xfId="0" applyNumberFormat="1" applyFont="1" applyFill="1" applyBorder="1" applyAlignment="1" applyProtection="1">
      <alignment vertical="center"/>
      <protection/>
    </xf>
    <xf numFmtId="164" fontId="17" fillId="0" borderId="15" xfId="0" applyNumberFormat="1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1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8" fillId="0" borderId="6" xfId="0" applyFont="1" applyBorder="1" applyAlignment="1">
      <alignment/>
    </xf>
    <xf numFmtId="42" fontId="18" fillId="6" borderId="16" xfId="0" applyNumberFormat="1" applyFont="1" applyFill="1" applyBorder="1" applyAlignment="1">
      <alignment horizontal="right"/>
    </xf>
    <xf numFmtId="164" fontId="19" fillId="2" borderId="35" xfId="0" applyNumberFormat="1" applyFont="1" applyFill="1" applyBorder="1" applyAlignment="1" applyProtection="1">
      <alignment/>
      <protection/>
    </xf>
    <xf numFmtId="164" fontId="19" fillId="2" borderId="16" xfId="0" applyNumberFormat="1" applyFont="1" applyFill="1" applyBorder="1" applyAlignment="1" applyProtection="1">
      <alignment/>
      <protection/>
    </xf>
    <xf numFmtId="164" fontId="19" fillId="2" borderId="36" xfId="0" applyNumberFormat="1" applyFont="1" applyFill="1" applyBorder="1" applyAlignment="1" applyProtection="1">
      <alignment/>
      <protection/>
    </xf>
    <xf numFmtId="164" fontId="19" fillId="2" borderId="10" xfId="0" applyNumberFormat="1" applyFont="1" applyFill="1" applyBorder="1" applyAlignment="1" applyProtection="1">
      <alignment/>
      <protection/>
    </xf>
    <xf numFmtId="164" fontId="19" fillId="2" borderId="4" xfId="0" applyNumberFormat="1" applyFont="1" applyFill="1" applyBorder="1" applyAlignment="1" applyProtection="1">
      <alignment/>
      <protection/>
    </xf>
    <xf numFmtId="164" fontId="18" fillId="0" borderId="3" xfId="0" applyNumberFormat="1" applyFont="1" applyBorder="1" applyAlignment="1">
      <alignment/>
    </xf>
    <xf numFmtId="164" fontId="19" fillId="2" borderId="3" xfId="0" applyNumberFormat="1" applyFont="1" applyFill="1" applyBorder="1" applyAlignment="1" applyProtection="1">
      <alignment/>
      <protection/>
    </xf>
    <xf numFmtId="164" fontId="19" fillId="2" borderId="1" xfId="0" applyNumberFormat="1" applyFont="1" applyFill="1" applyBorder="1" applyAlignment="1" applyProtection="1">
      <alignment/>
      <protection/>
    </xf>
    <xf numFmtId="164" fontId="19" fillId="2" borderId="0" xfId="0" applyNumberFormat="1" applyFont="1" applyFill="1" applyBorder="1" applyAlignment="1" applyProtection="1">
      <alignment/>
      <protection/>
    </xf>
    <xf numFmtId="3" fontId="19" fillId="2" borderId="10" xfId="17" applyNumberFormat="1" applyFont="1" applyFill="1" applyBorder="1" applyAlignment="1" applyProtection="1">
      <alignment/>
      <protection/>
    </xf>
    <xf numFmtId="0" fontId="21" fillId="0" borderId="15" xfId="0" applyFont="1" applyBorder="1" applyAlignment="1">
      <alignment/>
    </xf>
    <xf numFmtId="0" fontId="27" fillId="0" borderId="0" xfId="0" applyFont="1" applyAlignment="1">
      <alignment/>
    </xf>
    <xf numFmtId="164" fontId="21" fillId="0" borderId="5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41" fontId="21" fillId="0" borderId="15" xfId="16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2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1"/>
  <sheetViews>
    <sheetView tabSelected="1" zoomScale="75" zoomScaleNormal="75" workbookViewId="0" topLeftCell="A2">
      <selection activeCell="U226" sqref="U226"/>
    </sheetView>
  </sheetViews>
  <sheetFormatPr defaultColWidth="9.140625" defaultRowHeight="12.75"/>
  <cols>
    <col min="1" max="1" width="6.7109375" style="1" customWidth="1"/>
    <col min="2" max="2" width="2.421875" style="1" customWidth="1"/>
    <col min="3" max="3" width="3.8515625" style="1" customWidth="1"/>
    <col min="4" max="4" width="56.00390625" style="1" customWidth="1"/>
    <col min="5" max="5" width="22.421875" style="1" customWidth="1"/>
    <col min="6" max="6" width="20.421875" style="1" customWidth="1"/>
    <col min="7" max="8" width="18.7109375" style="1" customWidth="1"/>
    <col min="9" max="9" width="21.00390625" style="1" customWidth="1"/>
    <col min="10" max="10" width="20.421875" style="1" customWidth="1"/>
    <col min="11" max="14" width="18.7109375" style="1" customWidth="1"/>
    <col min="15" max="15" width="17.57421875" style="1" customWidth="1"/>
    <col min="16" max="16" width="20.8515625" style="1" customWidth="1"/>
    <col min="17" max="17" width="17.57421875" style="1" customWidth="1"/>
    <col min="18" max="18" width="19.00390625" style="1" customWidth="1"/>
    <col min="19" max="19" width="16.421875" style="1" customWidth="1"/>
    <col min="20" max="21" width="20.00390625" style="0" customWidth="1"/>
    <col min="22" max="22" width="22.28125" style="0" customWidth="1"/>
    <col min="23" max="23" width="13.8515625" style="0" customWidth="1"/>
    <col min="24" max="24" width="12.28125" style="0" customWidth="1"/>
    <col min="25" max="25" width="13.8515625" style="0" customWidth="1"/>
  </cols>
  <sheetData>
    <row r="1" ht="12.75"/>
    <row r="2" spans="1:19" s="25" customFormat="1" ht="27.7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25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s="25" customFormat="1" ht="27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s="25" customFormat="1" ht="27.75" customHeight="1">
      <c r="A5" s="26" t="s">
        <v>203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4"/>
    </row>
    <row r="6" spans="1:19" s="25" customFormat="1" ht="27.7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4"/>
    </row>
    <row r="7" spans="1:19" s="25" customFormat="1" ht="31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4"/>
    </row>
    <row r="8" spans="1:18" ht="23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9" s="5" customFormat="1" ht="2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1" s="32" customFormat="1" ht="21.75" customHeight="1">
      <c r="A10" s="28"/>
      <c r="B10" s="28"/>
      <c r="C10" s="28"/>
      <c r="D10" s="28"/>
      <c r="E10" s="29" t="s">
        <v>204</v>
      </c>
      <c r="F10" s="30" t="s">
        <v>205</v>
      </c>
      <c r="G10" s="31" t="s">
        <v>206</v>
      </c>
      <c r="H10" s="30" t="s">
        <v>207</v>
      </c>
      <c r="I10" s="31" t="s">
        <v>208</v>
      </c>
      <c r="J10" s="31" t="s">
        <v>208</v>
      </c>
      <c r="K10" s="31" t="s">
        <v>205</v>
      </c>
      <c r="L10" s="31" t="s">
        <v>205</v>
      </c>
      <c r="M10" s="31" t="s">
        <v>206</v>
      </c>
      <c r="N10" s="29" t="s">
        <v>209</v>
      </c>
      <c r="O10" s="31" t="s">
        <v>210</v>
      </c>
      <c r="P10" s="31" t="s">
        <v>211</v>
      </c>
      <c r="Q10" s="31" t="s">
        <v>212</v>
      </c>
      <c r="R10" s="31" t="s">
        <v>213</v>
      </c>
      <c r="S10" s="31" t="s">
        <v>214</v>
      </c>
      <c r="T10" s="31" t="s">
        <v>215</v>
      </c>
      <c r="U10" s="29" t="s">
        <v>215</v>
      </c>
    </row>
    <row r="11" spans="1:21" s="32" customFormat="1" ht="21.75" customHeight="1">
      <c r="A11" s="28"/>
      <c r="B11" s="28"/>
      <c r="C11" s="28"/>
      <c r="D11" s="28"/>
      <c r="E11" s="33" t="s">
        <v>216</v>
      </c>
      <c r="F11" s="34" t="s">
        <v>217</v>
      </c>
      <c r="G11" s="34" t="s">
        <v>218</v>
      </c>
      <c r="H11" s="34" t="s">
        <v>219</v>
      </c>
      <c r="I11" s="35" t="s">
        <v>220</v>
      </c>
      <c r="J11" s="35" t="s">
        <v>221</v>
      </c>
      <c r="K11" s="35" t="s">
        <v>222</v>
      </c>
      <c r="L11" s="35" t="s">
        <v>223</v>
      </c>
      <c r="M11" s="34" t="s">
        <v>224</v>
      </c>
      <c r="N11" s="33" t="s">
        <v>225</v>
      </c>
      <c r="O11" s="34" t="s">
        <v>226</v>
      </c>
      <c r="P11" s="34" t="s">
        <v>227</v>
      </c>
      <c r="Q11" s="34"/>
      <c r="R11" s="34"/>
      <c r="S11" s="34"/>
      <c r="T11" s="34" t="s">
        <v>228</v>
      </c>
      <c r="U11" s="33" t="s">
        <v>7</v>
      </c>
    </row>
    <row r="12" spans="1:21" s="32" customFormat="1" ht="21.75" customHeight="1">
      <c r="A12" s="28"/>
      <c r="B12" s="28"/>
      <c r="C12" s="28"/>
      <c r="D12" s="28"/>
      <c r="E12" s="36" t="s">
        <v>2</v>
      </c>
      <c r="F12" s="37" t="s">
        <v>3</v>
      </c>
      <c r="G12" s="38"/>
      <c r="H12" s="37" t="s">
        <v>4</v>
      </c>
      <c r="I12" s="39"/>
      <c r="J12" s="40"/>
      <c r="K12" s="40"/>
      <c r="L12" s="40"/>
      <c r="M12" s="38" t="s">
        <v>5</v>
      </c>
      <c r="N12" s="41" t="s">
        <v>6</v>
      </c>
      <c r="O12" s="38"/>
      <c r="P12" s="38"/>
      <c r="Q12" s="38"/>
      <c r="R12" s="38"/>
      <c r="S12" s="38"/>
      <c r="T12" s="37" t="s">
        <v>229</v>
      </c>
      <c r="U12" s="36"/>
    </row>
    <row r="13" spans="1:21" s="32" customFormat="1" ht="21.75" customHeight="1">
      <c r="A13" s="42" t="s">
        <v>7</v>
      </c>
      <c r="B13" s="43" t="s">
        <v>8</v>
      </c>
      <c r="C13" s="44"/>
      <c r="D13" s="45"/>
      <c r="E13" s="46"/>
      <c r="F13" s="46"/>
      <c r="G13" s="46"/>
      <c r="H13" s="47"/>
      <c r="I13" s="48"/>
      <c r="J13" s="49"/>
      <c r="K13" s="46"/>
      <c r="L13" s="46"/>
      <c r="M13" s="47"/>
      <c r="N13" s="48"/>
      <c r="O13" s="50"/>
      <c r="P13" s="48"/>
      <c r="Q13" s="48"/>
      <c r="R13" s="48"/>
      <c r="S13" s="48"/>
      <c r="T13" s="51"/>
      <c r="U13" s="52"/>
    </row>
    <row r="14" spans="1:21" s="32" customFormat="1" ht="21.75" customHeight="1">
      <c r="A14" s="53" t="s">
        <v>9</v>
      </c>
      <c r="B14" s="54"/>
      <c r="C14" s="55"/>
      <c r="D14" s="56"/>
      <c r="E14" s="166">
        <f>SUM(E15:E30)</f>
        <v>2170000000</v>
      </c>
      <c r="F14" s="166">
        <f>SUM(F15:F30)</f>
        <v>482000000</v>
      </c>
      <c r="G14" s="166">
        <f>SUM(G15:G30)</f>
        <v>65000000</v>
      </c>
      <c r="H14" s="166">
        <f>SUM(H15:H30)</f>
        <v>1496000</v>
      </c>
      <c r="I14" s="166">
        <f>SUM(I15:I30)</f>
        <v>1777300000</v>
      </c>
      <c r="J14" s="166">
        <f>SUM(J15:J30)</f>
        <v>2071000000</v>
      </c>
      <c r="K14" s="166">
        <f>SUM(K15:K30)</f>
        <v>45000000</v>
      </c>
      <c r="L14" s="166">
        <f>SUM(L15:L30)</f>
        <v>43064000</v>
      </c>
      <c r="M14" s="166">
        <f>SUM(M15:M30)</f>
        <v>0</v>
      </c>
      <c r="N14" s="166">
        <f>SUM(N15:N30)</f>
        <v>20000000</v>
      </c>
      <c r="O14" s="166">
        <f>SUM(O15:O30)</f>
        <v>249996000</v>
      </c>
      <c r="P14" s="166">
        <f>SUM(P15:P30)</f>
        <v>0</v>
      </c>
      <c r="Q14" s="166">
        <f>SUM(Q15:Q30)</f>
        <v>0</v>
      </c>
      <c r="R14" s="166">
        <f>SUM(R15:R30)</f>
        <v>0</v>
      </c>
      <c r="S14" s="166">
        <f>SUM(S15:S30)</f>
        <v>0</v>
      </c>
      <c r="T14" s="166">
        <f>SUM(T15:T30)</f>
        <v>6924856000</v>
      </c>
      <c r="U14" s="59"/>
    </row>
    <row r="15" spans="1:21" s="32" customFormat="1" ht="21.75" customHeight="1">
      <c r="A15" s="60" t="s">
        <v>10</v>
      </c>
      <c r="B15" s="61" t="s">
        <v>11</v>
      </c>
      <c r="C15" s="62"/>
      <c r="D15" s="63"/>
      <c r="E15" s="64">
        <v>2170000000</v>
      </c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5"/>
      <c r="Q15" s="65"/>
      <c r="R15" s="65"/>
      <c r="S15" s="65"/>
      <c r="T15" s="66">
        <f>SUM(E15:S15)</f>
        <v>2170000000</v>
      </c>
      <c r="U15" s="59"/>
    </row>
    <row r="16" spans="1:21" s="32" customFormat="1" ht="21.75" customHeight="1">
      <c r="A16" s="67" t="s">
        <v>12</v>
      </c>
      <c r="B16" s="61" t="s">
        <v>13</v>
      </c>
      <c r="C16" s="62"/>
      <c r="D16" s="68"/>
      <c r="E16" s="69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6">
        <f>SUM(E16:S16)</f>
        <v>0</v>
      </c>
      <c r="U16" s="59"/>
    </row>
    <row r="17" spans="1:21" s="32" customFormat="1" ht="21.75" customHeight="1">
      <c r="A17" s="60"/>
      <c r="B17" s="70" t="s">
        <v>14</v>
      </c>
      <c r="C17" s="62"/>
      <c r="D17" s="68"/>
      <c r="E17" s="69"/>
      <c r="F17" s="64">
        <v>150000000</v>
      </c>
      <c r="G17" s="64"/>
      <c r="H17" s="64"/>
      <c r="I17" s="64"/>
      <c r="J17" s="64"/>
      <c r="K17" s="64"/>
      <c r="L17" s="64"/>
      <c r="M17" s="64"/>
      <c r="N17" s="64"/>
      <c r="O17" s="65"/>
      <c r="P17" s="65"/>
      <c r="Q17" s="65"/>
      <c r="R17" s="65"/>
      <c r="S17" s="65"/>
      <c r="T17" s="66">
        <f>SUM(E17:S17)</f>
        <v>150000000</v>
      </c>
      <c r="U17" s="59"/>
    </row>
    <row r="18" spans="1:21" s="32" customFormat="1" ht="21.75" customHeight="1">
      <c r="A18" s="60"/>
      <c r="B18" s="70" t="s">
        <v>15</v>
      </c>
      <c r="C18" s="62"/>
      <c r="D18" s="71"/>
      <c r="E18" s="69"/>
      <c r="F18" s="64">
        <v>70000000</v>
      </c>
      <c r="G18" s="64"/>
      <c r="H18" s="64"/>
      <c r="I18" s="64"/>
      <c r="J18" s="64"/>
      <c r="K18" s="64"/>
      <c r="L18" s="64"/>
      <c r="M18" s="64"/>
      <c r="N18" s="64"/>
      <c r="O18" s="65"/>
      <c r="P18" s="65"/>
      <c r="Q18" s="65"/>
      <c r="R18" s="65"/>
      <c r="S18" s="65"/>
      <c r="T18" s="66">
        <f>SUM(E18:S18)</f>
        <v>70000000</v>
      </c>
      <c r="U18" s="59"/>
    </row>
    <row r="19" spans="1:21" s="32" customFormat="1" ht="21.75" customHeight="1">
      <c r="A19" s="60"/>
      <c r="B19" s="70" t="s">
        <v>16</v>
      </c>
      <c r="C19" s="62"/>
      <c r="D19" s="71"/>
      <c r="E19" s="69"/>
      <c r="F19" s="64">
        <v>16800000</v>
      </c>
      <c r="G19" s="64"/>
      <c r="H19" s="64"/>
      <c r="I19" s="64"/>
      <c r="J19" s="64"/>
      <c r="K19" s="64"/>
      <c r="L19" s="64"/>
      <c r="M19" s="64"/>
      <c r="N19" s="64"/>
      <c r="O19" s="65"/>
      <c r="P19" s="65"/>
      <c r="Q19" s="65"/>
      <c r="R19" s="65"/>
      <c r="S19" s="65"/>
      <c r="T19" s="66">
        <f>SUM(E19:S19)</f>
        <v>16800000</v>
      </c>
      <c r="U19" s="59"/>
    </row>
    <row r="20" spans="1:21" s="32" customFormat="1" ht="21.75" customHeight="1">
      <c r="A20" s="60"/>
      <c r="B20" s="70" t="s">
        <v>17</v>
      </c>
      <c r="C20" s="62"/>
      <c r="D20" s="71"/>
      <c r="E20" s="69"/>
      <c r="F20" s="64">
        <v>245200000</v>
      </c>
      <c r="G20" s="64"/>
      <c r="H20" s="64"/>
      <c r="I20" s="64"/>
      <c r="J20" s="64"/>
      <c r="K20" s="64"/>
      <c r="L20" s="64"/>
      <c r="M20" s="64"/>
      <c r="N20" s="64"/>
      <c r="O20" s="65"/>
      <c r="P20" s="65"/>
      <c r="Q20" s="65"/>
      <c r="R20" s="65"/>
      <c r="S20" s="65"/>
      <c r="T20" s="66">
        <f>SUM(E20:S20)</f>
        <v>245200000</v>
      </c>
      <c r="U20" s="59"/>
    </row>
    <row r="21" spans="1:21" s="32" customFormat="1" ht="21.75" customHeight="1">
      <c r="A21" s="60" t="s">
        <v>18</v>
      </c>
      <c r="B21" s="62" t="s">
        <v>19</v>
      </c>
      <c r="C21" s="72"/>
      <c r="D21" s="71"/>
      <c r="E21" s="69"/>
      <c r="F21" s="64"/>
      <c r="G21" s="64">
        <v>65000000</v>
      </c>
      <c r="H21" s="64"/>
      <c r="I21" s="64"/>
      <c r="J21" s="64"/>
      <c r="K21" s="64"/>
      <c r="L21" s="64"/>
      <c r="M21" s="73"/>
      <c r="N21" s="64"/>
      <c r="O21" s="65"/>
      <c r="P21" s="65"/>
      <c r="Q21" s="65"/>
      <c r="R21" s="65"/>
      <c r="S21" s="65"/>
      <c r="T21" s="66">
        <f>SUM(E21:S21)</f>
        <v>65000000</v>
      </c>
      <c r="U21" s="59"/>
    </row>
    <row r="22" spans="1:21" s="32" customFormat="1" ht="21.75" customHeight="1">
      <c r="A22" s="60" t="s">
        <v>20</v>
      </c>
      <c r="B22" s="62" t="s">
        <v>21</v>
      </c>
      <c r="C22" s="72"/>
      <c r="D22" s="71"/>
      <c r="E22" s="69"/>
      <c r="F22" s="64"/>
      <c r="G22" s="64"/>
      <c r="H22" s="64">
        <v>1496000</v>
      </c>
      <c r="I22" s="64"/>
      <c r="J22" s="64"/>
      <c r="K22" s="64"/>
      <c r="L22" s="64"/>
      <c r="M22" s="73"/>
      <c r="N22" s="64"/>
      <c r="O22" s="65"/>
      <c r="P22" s="65"/>
      <c r="Q22" s="65"/>
      <c r="R22" s="65"/>
      <c r="S22" s="65"/>
      <c r="T22" s="66">
        <f>SUM(E22:S22)</f>
        <v>1496000</v>
      </c>
      <c r="U22" s="59"/>
    </row>
    <row r="23" spans="1:21" s="32" customFormat="1" ht="21.75" customHeight="1">
      <c r="A23" s="60" t="s">
        <v>22</v>
      </c>
      <c r="B23" s="62" t="s">
        <v>23</v>
      </c>
      <c r="C23" s="72"/>
      <c r="D23" s="71"/>
      <c r="E23" s="69"/>
      <c r="F23" s="64"/>
      <c r="G23" s="64"/>
      <c r="H23" s="64"/>
      <c r="I23" s="64"/>
      <c r="J23" s="64"/>
      <c r="K23" s="64">
        <v>45000000</v>
      </c>
      <c r="L23" s="64"/>
      <c r="M23" s="73"/>
      <c r="N23" s="64"/>
      <c r="O23" s="65"/>
      <c r="P23" s="65"/>
      <c r="Q23" s="65"/>
      <c r="R23" s="65"/>
      <c r="S23" s="65"/>
      <c r="T23" s="66">
        <f>SUM(E23:S23)</f>
        <v>45000000</v>
      </c>
      <c r="U23" s="59"/>
    </row>
    <row r="24" spans="1:21" s="32" customFormat="1" ht="21.75" customHeight="1">
      <c r="A24" s="60" t="s">
        <v>24</v>
      </c>
      <c r="B24" s="62" t="s">
        <v>25</v>
      </c>
      <c r="C24" s="72"/>
      <c r="D24" s="71"/>
      <c r="E24" s="69"/>
      <c r="F24" s="64"/>
      <c r="G24" s="64"/>
      <c r="H24" s="64"/>
      <c r="I24" s="64"/>
      <c r="J24" s="64"/>
      <c r="K24" s="64"/>
      <c r="L24" s="64">
        <v>43064000</v>
      </c>
      <c r="M24" s="73"/>
      <c r="N24" s="64"/>
      <c r="O24" s="65"/>
      <c r="P24" s="65"/>
      <c r="Q24" s="65"/>
      <c r="R24" s="65"/>
      <c r="S24" s="65"/>
      <c r="T24" s="66">
        <f>SUM(E24:S24)</f>
        <v>43064000</v>
      </c>
      <c r="U24" s="59"/>
    </row>
    <row r="25" spans="1:21" s="32" customFormat="1" ht="21.75" customHeight="1">
      <c r="A25" s="60" t="s">
        <v>26</v>
      </c>
      <c r="B25" s="62" t="s">
        <v>27</v>
      </c>
      <c r="C25" s="72"/>
      <c r="D25" s="71"/>
      <c r="E25" s="69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5"/>
      <c r="Q25" s="65"/>
      <c r="R25" s="65"/>
      <c r="S25" s="65"/>
      <c r="T25" s="66">
        <f>SUM(E25:S25)</f>
        <v>0</v>
      </c>
      <c r="U25" s="59"/>
    </row>
    <row r="26" spans="1:21" s="32" customFormat="1" ht="21.75" customHeight="1">
      <c r="A26" s="60" t="s">
        <v>28</v>
      </c>
      <c r="B26" s="62" t="s">
        <v>29</v>
      </c>
      <c r="C26" s="72"/>
      <c r="D26" s="71"/>
      <c r="E26" s="69"/>
      <c r="F26" s="64"/>
      <c r="G26" s="64"/>
      <c r="H26" s="64"/>
      <c r="I26" s="64"/>
      <c r="J26" s="64"/>
      <c r="K26" s="64"/>
      <c r="L26" s="64"/>
      <c r="M26" s="74"/>
      <c r="N26" s="64">
        <v>20000000</v>
      </c>
      <c r="O26" s="65"/>
      <c r="P26" s="65"/>
      <c r="Q26" s="65"/>
      <c r="R26" s="65"/>
      <c r="S26" s="65"/>
      <c r="T26" s="66">
        <f>SUM(E26:S26)</f>
        <v>20000000</v>
      </c>
      <c r="U26" s="59"/>
    </row>
    <row r="27" spans="1:21" s="32" customFormat="1" ht="21.75" customHeight="1">
      <c r="A27" s="60" t="s">
        <v>30</v>
      </c>
      <c r="B27" s="62" t="s">
        <v>31</v>
      </c>
      <c r="C27" s="72"/>
      <c r="D27" s="71"/>
      <c r="E27" s="69"/>
      <c r="F27" s="64"/>
      <c r="G27" s="64"/>
      <c r="H27" s="64"/>
      <c r="I27" s="64"/>
      <c r="J27" s="64"/>
      <c r="K27" s="64"/>
      <c r="L27" s="64"/>
      <c r="M27" s="74"/>
      <c r="N27" s="64"/>
      <c r="O27" s="65">
        <v>249996000</v>
      </c>
      <c r="P27" s="65"/>
      <c r="Q27" s="65"/>
      <c r="R27" s="65"/>
      <c r="S27" s="65"/>
      <c r="T27" s="66">
        <f>SUM(E27:S27)</f>
        <v>249996000</v>
      </c>
      <c r="U27" s="59"/>
    </row>
    <row r="28" spans="1:21" s="32" customFormat="1" ht="21.75" customHeight="1">
      <c r="A28" s="60" t="s">
        <v>32</v>
      </c>
      <c r="B28" s="70" t="s">
        <v>33</v>
      </c>
      <c r="C28" s="62"/>
      <c r="D28" s="71"/>
      <c r="E28" s="69"/>
      <c r="F28" s="64"/>
      <c r="G28" s="64"/>
      <c r="H28" s="64"/>
      <c r="I28" s="64">
        <v>1777300000</v>
      </c>
      <c r="J28" s="75">
        <v>2071000000</v>
      </c>
      <c r="K28" s="64"/>
      <c r="L28" s="64"/>
      <c r="M28" s="64"/>
      <c r="N28" s="64"/>
      <c r="O28" s="65"/>
      <c r="P28" s="65"/>
      <c r="Q28" s="65"/>
      <c r="R28" s="65"/>
      <c r="S28" s="65"/>
      <c r="T28" s="66">
        <f>SUM(E28:S28)</f>
        <v>3848300000</v>
      </c>
      <c r="U28" s="59"/>
    </row>
    <row r="29" spans="1:21" s="32" customFormat="1" ht="21.75" customHeight="1">
      <c r="A29" s="60" t="s">
        <v>34</v>
      </c>
      <c r="B29" s="70" t="s">
        <v>35</v>
      </c>
      <c r="C29" s="62"/>
      <c r="D29" s="70"/>
      <c r="E29" s="64"/>
      <c r="F29" s="64"/>
      <c r="G29" s="64"/>
      <c r="H29" s="64"/>
      <c r="I29" s="64"/>
      <c r="J29" s="75"/>
      <c r="K29" s="64"/>
      <c r="L29" s="64"/>
      <c r="M29" s="64"/>
      <c r="N29" s="64"/>
      <c r="O29" s="65"/>
      <c r="P29" s="65"/>
      <c r="Q29" s="65"/>
      <c r="R29" s="65"/>
      <c r="S29" s="65"/>
      <c r="T29" s="66">
        <f>SUM(E29:S29)</f>
        <v>0</v>
      </c>
      <c r="U29" s="59"/>
    </row>
    <row r="30" spans="1:21" s="32" customFormat="1" ht="21.75" customHeight="1">
      <c r="A30" s="60" t="s">
        <v>36</v>
      </c>
      <c r="B30" s="70" t="s">
        <v>37</v>
      </c>
      <c r="C30" s="72"/>
      <c r="D30" s="7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5"/>
      <c r="Q30" s="65"/>
      <c r="R30" s="65"/>
      <c r="S30" s="65"/>
      <c r="T30" s="66">
        <f>SUM(E30:S30)</f>
        <v>0</v>
      </c>
      <c r="U30" s="59"/>
    </row>
    <row r="31" spans="1:21" s="32" customFormat="1" ht="21.75" customHeight="1">
      <c r="A31" s="76" t="s">
        <v>38</v>
      </c>
      <c r="B31" s="77"/>
      <c r="C31" s="62"/>
      <c r="D31" s="70"/>
      <c r="E31" s="78"/>
      <c r="F31" s="78"/>
      <c r="G31" s="78"/>
      <c r="H31" s="78"/>
      <c r="I31" s="79"/>
      <c r="J31" s="78"/>
      <c r="K31" s="78"/>
      <c r="L31" s="78"/>
      <c r="M31" s="78"/>
      <c r="N31" s="80"/>
      <c r="O31" s="81"/>
      <c r="P31" s="65"/>
      <c r="Q31" s="65"/>
      <c r="R31" s="65"/>
      <c r="S31" s="65"/>
      <c r="T31" s="66">
        <f>SUM(E31:S31)</f>
        <v>0</v>
      </c>
      <c r="U31" s="59"/>
    </row>
    <row r="32" spans="1:21" s="32" customFormat="1" ht="21.75" customHeight="1">
      <c r="A32" s="76" t="s">
        <v>39</v>
      </c>
      <c r="B32" s="77"/>
      <c r="C32" s="62"/>
      <c r="D32" s="70"/>
      <c r="E32" s="79"/>
      <c r="F32" s="79"/>
      <c r="G32" s="79"/>
      <c r="H32" s="79"/>
      <c r="I32" s="46"/>
      <c r="J32" s="79"/>
      <c r="K32" s="79"/>
      <c r="L32" s="79"/>
      <c r="M32" s="79"/>
      <c r="N32" s="82"/>
      <c r="O32" s="70"/>
      <c r="P32" s="65"/>
      <c r="Q32" s="65"/>
      <c r="R32" s="65"/>
      <c r="S32" s="65"/>
      <c r="T32" s="66">
        <f>SUM(E32:S32)</f>
        <v>0</v>
      </c>
      <c r="U32" s="59"/>
    </row>
    <row r="33" spans="1:21" s="32" customFormat="1" ht="21.75" customHeight="1">
      <c r="A33" s="76" t="s">
        <v>40</v>
      </c>
      <c r="B33" s="77"/>
      <c r="C33" s="62"/>
      <c r="D33" s="70"/>
      <c r="E33" s="46"/>
      <c r="F33" s="46"/>
      <c r="G33" s="46"/>
      <c r="H33" s="46"/>
      <c r="I33" s="64"/>
      <c r="J33" s="46"/>
      <c r="K33" s="46"/>
      <c r="L33" s="46"/>
      <c r="M33" s="46"/>
      <c r="N33" s="46"/>
      <c r="O33" s="56"/>
      <c r="P33" s="65"/>
      <c r="Q33" s="65"/>
      <c r="R33" s="65"/>
      <c r="S33" s="65"/>
      <c r="T33" s="66">
        <f>SUM(E33:S33)</f>
        <v>0</v>
      </c>
      <c r="U33" s="59"/>
    </row>
    <row r="34" spans="1:21" s="32" customFormat="1" ht="21.75" customHeight="1">
      <c r="A34" s="76" t="s">
        <v>41</v>
      </c>
      <c r="B34" s="77"/>
      <c r="C34" s="62"/>
      <c r="D34" s="70"/>
      <c r="E34" s="167">
        <f>SUM(E35:E57)</f>
        <v>3591265716.56</v>
      </c>
      <c r="F34" s="167">
        <f>SUM(F35:F57)</f>
        <v>621000000</v>
      </c>
      <c r="G34" s="167">
        <f>SUM(G35:G57)</f>
        <v>264000000</v>
      </c>
      <c r="H34" s="167">
        <f>SUM(H35:H57)</f>
        <v>225000000</v>
      </c>
      <c r="I34" s="167">
        <f>SUM(I35:I57)</f>
        <v>44700000</v>
      </c>
      <c r="J34" s="167">
        <f>SUM(J35:J57)</f>
        <v>50000000</v>
      </c>
      <c r="K34" s="167">
        <f>SUM(K35:K57)</f>
        <v>90563000</v>
      </c>
      <c r="L34" s="167">
        <f>SUM(L35:L57)</f>
        <v>0</v>
      </c>
      <c r="M34" s="167">
        <f>SUM(M35:M57)</f>
        <v>394157768.2</v>
      </c>
      <c r="N34" s="167">
        <f>SUM(N35:N57)</f>
        <v>577000000</v>
      </c>
      <c r="O34" s="167">
        <f>SUM(O35:O57)</f>
        <v>0</v>
      </c>
      <c r="P34" s="167">
        <f>SUM(P35:P57)</f>
        <v>395426000</v>
      </c>
      <c r="Q34" s="167">
        <f>SUM(Q35:Q57)</f>
        <v>63000000</v>
      </c>
      <c r="R34" s="167">
        <f>SUM(R35:R57)</f>
        <v>163000000</v>
      </c>
      <c r="S34" s="167">
        <f>SUM(S35:S57)</f>
        <v>122795000</v>
      </c>
      <c r="T34" s="167">
        <f>SUM(T35:T57)</f>
        <v>6601907484.76</v>
      </c>
      <c r="U34" s="167">
        <f>SUM(U35:U57)</f>
        <v>0</v>
      </c>
    </row>
    <row r="35" spans="1:21" s="32" customFormat="1" ht="21.75" customHeight="1">
      <c r="A35" s="67" t="s">
        <v>10</v>
      </c>
      <c r="B35" s="83" t="s">
        <v>42</v>
      </c>
      <c r="C35" s="84"/>
      <c r="D35" s="85"/>
      <c r="E35" s="64"/>
      <c r="F35" s="64"/>
      <c r="G35" s="64"/>
      <c r="H35" s="28"/>
      <c r="I35" s="64"/>
      <c r="J35" s="64"/>
      <c r="K35" s="64"/>
      <c r="L35" s="64"/>
      <c r="M35" s="73"/>
      <c r="N35" s="28"/>
      <c r="O35" s="65"/>
      <c r="P35" s="65"/>
      <c r="Q35" s="65"/>
      <c r="R35" s="65"/>
      <c r="S35" s="65"/>
      <c r="T35" s="86">
        <f>SUM(E35:S35)</f>
        <v>0</v>
      </c>
      <c r="U35" s="59"/>
    </row>
    <row r="36" spans="1:21" s="32" customFormat="1" ht="21.75" customHeight="1">
      <c r="A36" s="60"/>
      <c r="B36" s="62" t="s">
        <v>43</v>
      </c>
      <c r="C36" s="72"/>
      <c r="D36" s="70"/>
      <c r="E36" s="79">
        <v>764572000</v>
      </c>
      <c r="F36" s="87"/>
      <c r="G36" s="79"/>
      <c r="H36" s="79"/>
      <c r="I36" s="78"/>
      <c r="J36" s="79"/>
      <c r="K36" s="79"/>
      <c r="L36" s="79"/>
      <c r="M36" s="79"/>
      <c r="N36" s="28"/>
      <c r="O36" s="65"/>
      <c r="P36" s="64"/>
      <c r="Q36" s="65"/>
      <c r="R36" s="65"/>
      <c r="S36" s="65"/>
      <c r="T36" s="66">
        <f>SUM(E36:S36)</f>
        <v>764572000</v>
      </c>
      <c r="U36" s="59"/>
    </row>
    <row r="37" spans="1:21" s="32" customFormat="1" ht="21.75" customHeight="1">
      <c r="A37" s="60"/>
      <c r="B37" s="62" t="s">
        <v>44</v>
      </c>
      <c r="C37" s="72"/>
      <c r="D37" s="70"/>
      <c r="E37" s="78">
        <v>2260000000</v>
      </c>
      <c r="F37" s="87">
        <v>400000000</v>
      </c>
      <c r="G37" s="79">
        <f>400000000*0.6</f>
        <v>240000000</v>
      </c>
      <c r="H37" s="78"/>
      <c r="I37" s="78"/>
      <c r="J37" s="78"/>
      <c r="K37" s="78"/>
      <c r="L37" s="78"/>
      <c r="M37" s="78">
        <v>84000000</v>
      </c>
      <c r="N37" s="80"/>
      <c r="O37" s="65"/>
      <c r="P37" s="65">
        <v>395426000</v>
      </c>
      <c r="Q37" s="65"/>
      <c r="R37" s="65"/>
      <c r="S37" s="65"/>
      <c r="T37" s="66">
        <f>SUM(E37:S37)</f>
        <v>3379426000</v>
      </c>
      <c r="U37" s="59"/>
    </row>
    <row r="38" spans="1:21" s="32" customFormat="1" ht="21.75" customHeight="1">
      <c r="A38" s="60"/>
      <c r="B38" s="88" t="s">
        <v>45</v>
      </c>
      <c r="C38" s="89"/>
      <c r="D38" s="9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5"/>
      <c r="P38" s="65"/>
      <c r="Q38" s="65"/>
      <c r="R38" s="65"/>
      <c r="S38" s="65"/>
      <c r="T38" s="66">
        <f>SUM(E38:S38)</f>
        <v>0</v>
      </c>
      <c r="U38" s="59"/>
    </row>
    <row r="39" spans="1:21" s="32" customFormat="1" ht="21.75" customHeight="1">
      <c r="A39" s="60"/>
      <c r="B39" s="88" t="s">
        <v>46</v>
      </c>
      <c r="C39" s="89"/>
      <c r="D39" s="81"/>
      <c r="E39" s="78"/>
      <c r="F39" s="78"/>
      <c r="G39" s="78"/>
      <c r="H39" s="78"/>
      <c r="I39" s="78"/>
      <c r="J39" s="78"/>
      <c r="K39" s="78"/>
      <c r="L39" s="78"/>
      <c r="M39" s="78"/>
      <c r="N39" s="78">
        <v>45000000</v>
      </c>
      <c r="O39" s="65"/>
      <c r="P39" s="65"/>
      <c r="Q39" s="65"/>
      <c r="R39" s="65"/>
      <c r="S39" s="65"/>
      <c r="T39" s="91">
        <f>SUM(E39:S39)</f>
        <v>45000000</v>
      </c>
      <c r="U39" s="59"/>
    </row>
    <row r="40" spans="1:21" s="32" customFormat="1" ht="21.75" customHeight="1">
      <c r="A40" s="67" t="s">
        <v>12</v>
      </c>
      <c r="B40" s="83" t="s">
        <v>47</v>
      </c>
      <c r="C40" s="84"/>
      <c r="D40" s="85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3"/>
      <c r="U40" s="94"/>
    </row>
    <row r="41" spans="1:21" s="32" customFormat="1" ht="21.75" customHeight="1">
      <c r="A41" s="95"/>
      <c r="B41" s="62" t="s">
        <v>48</v>
      </c>
      <c r="C41" s="72"/>
      <c r="D41" s="70"/>
      <c r="E41" s="57">
        <v>213000000</v>
      </c>
      <c r="F41" s="57"/>
      <c r="G41" s="57"/>
      <c r="H41" s="57"/>
      <c r="I41" s="79"/>
      <c r="J41" s="57"/>
      <c r="K41" s="57"/>
      <c r="L41" s="57"/>
      <c r="M41" s="96"/>
      <c r="N41" s="57"/>
      <c r="O41" s="58"/>
      <c r="P41" s="58"/>
      <c r="Q41" s="58"/>
      <c r="R41" s="58"/>
      <c r="S41" s="58"/>
      <c r="T41" s="97">
        <f>SUM(E41:S41)</f>
        <v>213000000</v>
      </c>
      <c r="U41" s="59"/>
    </row>
    <row r="42" spans="1:25" s="32" customFormat="1" ht="21.75" customHeight="1">
      <c r="A42" s="60"/>
      <c r="B42" s="62" t="s">
        <v>49</v>
      </c>
      <c r="C42" s="72"/>
      <c r="D42" s="70"/>
      <c r="E42" s="64">
        <v>301693716.56</v>
      </c>
      <c r="F42" s="64">
        <v>190000000</v>
      </c>
      <c r="G42" s="64">
        <v>24000000</v>
      </c>
      <c r="H42" s="64">
        <v>220000000</v>
      </c>
      <c r="I42" s="79"/>
      <c r="J42" s="79"/>
      <c r="K42" s="64">
        <v>90563000</v>
      </c>
      <c r="L42" s="64"/>
      <c r="M42" s="64">
        <v>310157768.2</v>
      </c>
      <c r="N42" s="64">
        <v>215000000</v>
      </c>
      <c r="O42" s="65"/>
      <c r="P42" s="65">
        <v>0</v>
      </c>
      <c r="Q42" s="65"/>
      <c r="R42" s="65"/>
      <c r="S42" s="65"/>
      <c r="T42" s="66">
        <v>1351414484.76</v>
      </c>
      <c r="U42" s="59"/>
      <c r="V42" s="98">
        <v>745157768.2</v>
      </c>
      <c r="W42" s="99">
        <v>149031553.64</v>
      </c>
      <c r="X42" s="99">
        <v>894189321.84</v>
      </c>
      <c r="Y42" s="99">
        <v>1500446038.4</v>
      </c>
    </row>
    <row r="43" spans="1:21" s="32" customFormat="1" ht="21.75" customHeight="1">
      <c r="A43" s="95"/>
      <c r="B43" s="62" t="s">
        <v>50</v>
      </c>
      <c r="C43" s="72"/>
      <c r="D43" s="70"/>
      <c r="E43" s="79"/>
      <c r="F43" s="79"/>
      <c r="G43" s="79"/>
      <c r="H43" s="79"/>
      <c r="I43" s="79">
        <v>2700000</v>
      </c>
      <c r="J43" s="79">
        <v>3000000</v>
      </c>
      <c r="K43" s="79"/>
      <c r="L43" s="79"/>
      <c r="M43" s="79"/>
      <c r="N43" s="82"/>
      <c r="O43" s="70"/>
      <c r="P43" s="64"/>
      <c r="Q43" s="65"/>
      <c r="R43" s="65"/>
      <c r="S43" s="65"/>
      <c r="T43" s="66">
        <f>SUM(E43:S43)</f>
        <v>5700000</v>
      </c>
      <c r="U43" s="59"/>
    </row>
    <row r="44" spans="1:21" s="32" customFormat="1" ht="21.75" customHeight="1">
      <c r="A44" s="95"/>
      <c r="B44" s="62" t="s">
        <v>51</v>
      </c>
      <c r="C44" s="72"/>
      <c r="D44" s="70"/>
      <c r="E44" s="79"/>
      <c r="F44" s="79"/>
      <c r="G44" s="79"/>
      <c r="H44" s="79"/>
      <c r="I44" s="78"/>
      <c r="J44" s="79"/>
      <c r="K44" s="79"/>
      <c r="L44" s="79"/>
      <c r="M44" s="79"/>
      <c r="N44" s="82"/>
      <c r="O44" s="70"/>
      <c r="P44" s="57"/>
      <c r="Q44" s="58"/>
      <c r="R44" s="58"/>
      <c r="S44" s="58"/>
      <c r="T44" s="66">
        <f>SUM(E44:S44)</f>
        <v>0</v>
      </c>
      <c r="U44" s="59"/>
    </row>
    <row r="45" spans="1:21" s="32" customFormat="1" ht="21.75" customHeight="1">
      <c r="A45" s="95"/>
      <c r="B45" s="28" t="s">
        <v>52</v>
      </c>
      <c r="C45" s="89"/>
      <c r="D45" s="81"/>
      <c r="E45" s="78">
        <v>2000000</v>
      </c>
      <c r="F45" s="78"/>
      <c r="G45" s="78"/>
      <c r="H45" s="78"/>
      <c r="I45" s="78"/>
      <c r="J45" s="78"/>
      <c r="K45" s="78"/>
      <c r="L45" s="78"/>
      <c r="M45" s="78"/>
      <c r="N45" s="80"/>
      <c r="O45" s="70"/>
      <c r="P45" s="57"/>
      <c r="Q45" s="58"/>
      <c r="R45" s="58"/>
      <c r="S45" s="58"/>
      <c r="T45" s="66">
        <f>SUM(E45:S45)</f>
        <v>2000000</v>
      </c>
      <c r="U45" s="59"/>
    </row>
    <row r="46" spans="1:21" s="32" customFormat="1" ht="21.75" customHeight="1">
      <c r="A46" s="95"/>
      <c r="B46" s="72" t="s">
        <v>53</v>
      </c>
      <c r="C46" s="72"/>
      <c r="D46" s="100"/>
      <c r="E46" s="78"/>
      <c r="F46" s="78"/>
      <c r="G46" s="78"/>
      <c r="H46" s="78">
        <v>5000000</v>
      </c>
      <c r="I46" s="78"/>
      <c r="J46" s="78"/>
      <c r="K46" s="78"/>
      <c r="L46" s="78"/>
      <c r="M46" s="78"/>
      <c r="N46" s="80"/>
      <c r="O46" s="70"/>
      <c r="P46" s="57"/>
      <c r="Q46" s="58"/>
      <c r="R46" s="58"/>
      <c r="S46" s="58"/>
      <c r="T46" s="66">
        <f>SUM(E46:S46)</f>
        <v>5000000</v>
      </c>
      <c r="U46" s="93"/>
    </row>
    <row r="47" spans="1:21" s="32" customFormat="1" ht="21.75" customHeight="1">
      <c r="A47" s="95"/>
      <c r="B47" s="72" t="s">
        <v>54</v>
      </c>
      <c r="C47" s="72"/>
      <c r="D47" s="100"/>
      <c r="E47" s="78"/>
      <c r="F47" s="78"/>
      <c r="G47" s="78"/>
      <c r="H47" s="78"/>
      <c r="I47" s="78"/>
      <c r="J47" s="78"/>
      <c r="K47" s="78"/>
      <c r="L47" s="78"/>
      <c r="M47" s="78"/>
      <c r="N47" s="80"/>
      <c r="O47" s="70"/>
      <c r="P47" s="57"/>
      <c r="Q47" s="58"/>
      <c r="R47" s="58"/>
      <c r="S47" s="58"/>
      <c r="T47" s="66">
        <f>SUM(E47:S47)</f>
        <v>0</v>
      </c>
      <c r="U47" s="93"/>
    </row>
    <row r="48" spans="1:21" s="32" customFormat="1" ht="21.75" customHeight="1">
      <c r="A48" s="95"/>
      <c r="B48" s="89" t="s">
        <v>55</v>
      </c>
      <c r="C48" s="89"/>
      <c r="D48" s="90"/>
      <c r="E48" s="78"/>
      <c r="F48" s="78"/>
      <c r="G48" s="78"/>
      <c r="H48" s="78"/>
      <c r="I48" s="78"/>
      <c r="J48" s="78"/>
      <c r="K48" s="78"/>
      <c r="L48" s="78"/>
      <c r="M48" s="78"/>
      <c r="N48" s="80"/>
      <c r="O48" s="70"/>
      <c r="P48" s="57"/>
      <c r="Q48" s="58"/>
      <c r="R48" s="58"/>
      <c r="S48" s="58"/>
      <c r="T48" s="66">
        <f>SUM(E48:S48)</f>
        <v>0</v>
      </c>
      <c r="U48" s="93"/>
    </row>
    <row r="49" spans="1:21" s="32" customFormat="1" ht="21.75" customHeight="1">
      <c r="A49" s="95"/>
      <c r="B49" s="72" t="s">
        <v>56</v>
      </c>
      <c r="C49" s="72"/>
      <c r="D49" s="100"/>
      <c r="E49" s="78"/>
      <c r="F49" s="78"/>
      <c r="G49" s="78"/>
      <c r="H49" s="78"/>
      <c r="I49" s="78"/>
      <c r="J49" s="78"/>
      <c r="K49" s="78"/>
      <c r="L49" s="78"/>
      <c r="M49" s="78"/>
      <c r="N49" s="80"/>
      <c r="O49" s="81"/>
      <c r="P49" s="64"/>
      <c r="Q49" s="65"/>
      <c r="R49" s="65"/>
      <c r="S49" s="65"/>
      <c r="T49" s="66">
        <f>SUM(E49:S49)</f>
        <v>0</v>
      </c>
      <c r="U49" s="93"/>
    </row>
    <row r="50" spans="1:21" s="32" customFormat="1" ht="21.75" customHeight="1">
      <c r="A50" s="67" t="s">
        <v>18</v>
      </c>
      <c r="B50" s="83" t="s">
        <v>160</v>
      </c>
      <c r="C50" s="28"/>
      <c r="D50" s="85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66">
        <f>SUM(E50:S50)</f>
        <v>0</v>
      </c>
      <c r="U50" s="93"/>
    </row>
    <row r="51" spans="1:21" s="32" customFormat="1" ht="21.75" customHeight="1">
      <c r="A51" s="67"/>
      <c r="B51" s="70" t="s">
        <v>57</v>
      </c>
      <c r="C51" s="72"/>
      <c r="D51" s="101"/>
      <c r="E51" s="64"/>
      <c r="F51" s="64"/>
      <c r="G51" s="64"/>
      <c r="H51" s="64"/>
      <c r="I51" s="64">
        <v>42000000</v>
      </c>
      <c r="J51" s="64">
        <v>47000000</v>
      </c>
      <c r="K51" s="64"/>
      <c r="L51" s="64"/>
      <c r="M51" s="64"/>
      <c r="N51" s="64"/>
      <c r="O51" s="64"/>
      <c r="P51" s="64"/>
      <c r="Q51" s="64"/>
      <c r="R51" s="64"/>
      <c r="S51" s="64"/>
      <c r="T51" s="66">
        <f>SUM(E51:S51)</f>
        <v>89000000</v>
      </c>
      <c r="U51" s="93"/>
    </row>
    <row r="52" spans="1:21" s="32" customFormat="1" ht="21.75" customHeight="1">
      <c r="A52" s="95"/>
      <c r="B52" s="72" t="s">
        <v>58</v>
      </c>
      <c r="C52" s="72"/>
      <c r="D52" s="70"/>
      <c r="E52" s="79">
        <v>50000000</v>
      </c>
      <c r="F52" s="79"/>
      <c r="G52" s="79"/>
      <c r="H52" s="79"/>
      <c r="I52" s="79"/>
      <c r="J52" s="79"/>
      <c r="K52" s="79"/>
      <c r="L52" s="79"/>
      <c r="M52" s="79"/>
      <c r="N52" s="82"/>
      <c r="O52" s="70"/>
      <c r="P52" s="57"/>
      <c r="Q52" s="58"/>
      <c r="R52" s="58"/>
      <c r="S52" s="58"/>
      <c r="T52" s="66">
        <f>SUM(E52:S52)</f>
        <v>50000000</v>
      </c>
      <c r="U52" s="93"/>
    </row>
    <row r="53" spans="1:21" s="32" customFormat="1" ht="21.75" customHeight="1">
      <c r="A53" s="95"/>
      <c r="B53" s="62" t="s">
        <v>59</v>
      </c>
      <c r="C53" s="72"/>
      <c r="D53" s="70"/>
      <c r="E53" s="64"/>
      <c r="F53" s="64"/>
      <c r="G53" s="64"/>
      <c r="H53" s="64"/>
      <c r="I53" s="64"/>
      <c r="J53" s="64"/>
      <c r="K53" s="64"/>
      <c r="L53" s="64"/>
      <c r="M53" s="64"/>
      <c r="N53" s="64">
        <v>317000000</v>
      </c>
      <c r="O53" s="70"/>
      <c r="P53" s="57"/>
      <c r="Q53" s="58"/>
      <c r="R53" s="58"/>
      <c r="S53" s="58"/>
      <c r="T53" s="97">
        <f>SUM(E53:S53)</f>
        <v>317000000</v>
      </c>
      <c r="U53" s="93"/>
    </row>
    <row r="54" spans="1:21" s="32" customFormat="1" ht="21.75" customHeight="1">
      <c r="A54" s="95"/>
      <c r="B54" s="62" t="s">
        <v>60</v>
      </c>
      <c r="C54" s="72"/>
      <c r="D54" s="70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58"/>
      <c r="P54" s="64"/>
      <c r="Q54" s="64"/>
      <c r="R54" s="64"/>
      <c r="S54" s="64">
        <f>126629500-3834500</f>
        <v>122795000</v>
      </c>
      <c r="T54" s="97">
        <f>SUM(E54:S54)</f>
        <v>122795000</v>
      </c>
      <c r="U54" s="93"/>
    </row>
    <row r="55" spans="1:21" s="32" customFormat="1" ht="21.75" customHeight="1">
      <c r="A55" s="95"/>
      <c r="B55" s="62" t="s">
        <v>61</v>
      </c>
      <c r="C55" s="72"/>
      <c r="D55" s="70"/>
      <c r="E55" s="64"/>
      <c r="F55" s="90"/>
      <c r="G55" s="78"/>
      <c r="H55" s="78"/>
      <c r="I55" s="78"/>
      <c r="J55" s="78"/>
      <c r="K55" s="78"/>
      <c r="L55" s="78"/>
      <c r="M55" s="78"/>
      <c r="N55" s="80"/>
      <c r="O55" s="70"/>
      <c r="P55" s="57"/>
      <c r="Q55" s="58"/>
      <c r="R55" s="58">
        <v>163000000</v>
      </c>
      <c r="S55" s="58"/>
      <c r="T55" s="97">
        <f>SUM(E55:S55)</f>
        <v>163000000</v>
      </c>
      <c r="U55" s="93"/>
    </row>
    <row r="56" spans="1:21" s="32" customFormat="1" ht="21.75" customHeight="1">
      <c r="A56" s="95"/>
      <c r="B56" s="62" t="s">
        <v>62</v>
      </c>
      <c r="C56" s="72"/>
      <c r="D56" s="70"/>
      <c r="E56" s="64"/>
      <c r="F56" s="90">
        <v>31000000</v>
      </c>
      <c r="G56" s="78"/>
      <c r="H56" s="78"/>
      <c r="I56" s="78"/>
      <c r="J56" s="78"/>
      <c r="K56" s="78"/>
      <c r="L56" s="78"/>
      <c r="M56" s="78"/>
      <c r="N56" s="80"/>
      <c r="O56" s="70"/>
      <c r="P56" s="57"/>
      <c r="Q56" s="58"/>
      <c r="R56" s="58"/>
      <c r="S56" s="58"/>
      <c r="T56" s="97">
        <f>SUM(E56:S56)</f>
        <v>31000000</v>
      </c>
      <c r="U56" s="93"/>
    </row>
    <row r="57" spans="1:21" s="32" customFormat="1" ht="21.75" customHeight="1">
      <c r="A57" s="95"/>
      <c r="B57" s="62" t="s">
        <v>63</v>
      </c>
      <c r="C57" s="72"/>
      <c r="D57" s="70"/>
      <c r="E57" s="64"/>
      <c r="F57" s="90"/>
      <c r="G57" s="78"/>
      <c r="H57" s="78"/>
      <c r="I57" s="78"/>
      <c r="J57" s="78"/>
      <c r="K57" s="78"/>
      <c r="L57" s="78"/>
      <c r="M57" s="78"/>
      <c r="N57" s="80"/>
      <c r="O57" s="70"/>
      <c r="P57" s="57"/>
      <c r="Q57" s="58">
        <v>63000000</v>
      </c>
      <c r="R57" s="58"/>
      <c r="S57" s="58"/>
      <c r="T57" s="97">
        <f>SUM(E57:S57)</f>
        <v>63000000</v>
      </c>
      <c r="U57" s="93"/>
    </row>
    <row r="58" spans="1:21" s="32" customFormat="1" ht="21.75" customHeight="1">
      <c r="A58" s="65"/>
      <c r="B58" s="102" t="s">
        <v>64</v>
      </c>
      <c r="C58" s="102"/>
      <c r="D58" s="70"/>
      <c r="E58" s="103">
        <f>E$14+E$34</f>
        <v>5761265716.559999</v>
      </c>
      <c r="F58" s="103">
        <f>F$14+F$34</f>
        <v>1103000000</v>
      </c>
      <c r="G58" s="103">
        <f>G$14+G$34</f>
        <v>329000000</v>
      </c>
      <c r="H58" s="103">
        <f>H$14+H$34</f>
        <v>226496000</v>
      </c>
      <c r="I58" s="103">
        <f>I$14+I$34</f>
        <v>1822000000</v>
      </c>
      <c r="J58" s="103">
        <f>J$14+J$34</f>
        <v>2121000000</v>
      </c>
      <c r="K58" s="103">
        <f>K$14+K$34</f>
        <v>135563000</v>
      </c>
      <c r="L58" s="103">
        <f>L$14+L$34</f>
        <v>43064000</v>
      </c>
      <c r="M58" s="103">
        <f>M$14+M$34</f>
        <v>394157768.2</v>
      </c>
      <c r="N58" s="103">
        <f>N$14+N$34</f>
        <v>597000000</v>
      </c>
      <c r="O58" s="103">
        <f>O$14+O$34</f>
        <v>249996000</v>
      </c>
      <c r="P58" s="103">
        <f>P$14+P$34</f>
        <v>395426000</v>
      </c>
      <c r="Q58" s="103">
        <f>Q$14+Q$34</f>
        <v>63000000</v>
      </c>
      <c r="R58" s="103">
        <f>R$14+R$34</f>
        <v>163000000</v>
      </c>
      <c r="S58" s="103">
        <f>S$14+S$34</f>
        <v>122795000</v>
      </c>
      <c r="T58" s="103">
        <f>T$14+T$34</f>
        <v>13526763484.76</v>
      </c>
      <c r="U58" s="103">
        <f>U$14+U$34</f>
        <v>0</v>
      </c>
    </row>
    <row r="59" spans="1:21" ht="26.25" customHeight="1">
      <c r="A59" s="6"/>
      <c r="B59" s="7" t="s">
        <v>65</v>
      </c>
      <c r="C59" s="8"/>
      <c r="D59" s="6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4"/>
      <c r="U59" s="9"/>
    </row>
    <row r="60" spans="1:21" ht="15.75" customHeight="1">
      <c r="A60" s="6"/>
      <c r="B60" s="7"/>
      <c r="C60" s="8"/>
      <c r="D60" s="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4"/>
      <c r="U60" s="9"/>
    </row>
    <row r="61" spans="1:21" ht="24" customHeight="1">
      <c r="A61" s="6"/>
      <c r="B61" s="7"/>
      <c r="C61" s="8"/>
      <c r="D61" s="6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4"/>
      <c r="U61" s="9"/>
    </row>
    <row r="62" spans="1:21" ht="79.5" customHeight="1">
      <c r="A62" s="6"/>
      <c r="B62" s="7"/>
      <c r="C62" s="8"/>
      <c r="D62" s="6"/>
      <c r="E62" s="9"/>
      <c r="F62" s="9"/>
      <c r="G62" s="9"/>
      <c r="H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4"/>
      <c r="U62" s="9"/>
    </row>
    <row r="63" spans="1:21" s="5" customFormat="1" ht="21.75" customHeight="1">
      <c r="A63" s="11"/>
      <c r="B63" s="12"/>
      <c r="C63" s="13"/>
      <c r="D63" s="11"/>
      <c r="E63" s="19" t="s">
        <v>204</v>
      </c>
      <c r="F63" s="105" t="s">
        <v>205</v>
      </c>
      <c r="G63" s="106" t="s">
        <v>206</v>
      </c>
      <c r="H63" s="105" t="s">
        <v>207</v>
      </c>
      <c r="I63" s="106" t="s">
        <v>208</v>
      </c>
      <c r="J63" s="106" t="s">
        <v>208</v>
      </c>
      <c r="K63" s="106" t="s">
        <v>205</v>
      </c>
      <c r="L63" s="106" t="s">
        <v>205</v>
      </c>
      <c r="M63" s="106" t="s">
        <v>206</v>
      </c>
      <c r="N63" s="106" t="s">
        <v>209</v>
      </c>
      <c r="O63" s="106" t="s">
        <v>210</v>
      </c>
      <c r="P63" s="106" t="s">
        <v>211</v>
      </c>
      <c r="Q63" s="106" t="s">
        <v>212</v>
      </c>
      <c r="R63" s="106" t="s">
        <v>213</v>
      </c>
      <c r="S63" s="106" t="s">
        <v>214</v>
      </c>
      <c r="T63" s="106" t="s">
        <v>215</v>
      </c>
      <c r="U63" s="19" t="s">
        <v>215</v>
      </c>
    </row>
    <row r="64" spans="1:21" s="32" customFormat="1" ht="21.75" customHeight="1">
      <c r="A64" s="107"/>
      <c r="B64" s="108"/>
      <c r="C64" s="109"/>
      <c r="D64" s="107"/>
      <c r="E64" s="33" t="s">
        <v>216</v>
      </c>
      <c r="F64" s="34" t="s">
        <v>217</v>
      </c>
      <c r="G64" s="34" t="s">
        <v>218</v>
      </c>
      <c r="H64" s="34" t="s">
        <v>219</v>
      </c>
      <c r="I64" s="35" t="s">
        <v>220</v>
      </c>
      <c r="J64" s="35" t="s">
        <v>221</v>
      </c>
      <c r="K64" s="35" t="s">
        <v>222</v>
      </c>
      <c r="L64" s="35" t="s">
        <v>223</v>
      </c>
      <c r="M64" s="34" t="s">
        <v>224</v>
      </c>
      <c r="N64" s="34" t="s">
        <v>225</v>
      </c>
      <c r="O64" s="34" t="s">
        <v>226</v>
      </c>
      <c r="P64" s="34" t="s">
        <v>227</v>
      </c>
      <c r="Q64" s="34"/>
      <c r="R64" s="34"/>
      <c r="S64" s="34"/>
      <c r="T64" s="34" t="s">
        <v>228</v>
      </c>
      <c r="U64" s="33" t="s">
        <v>66</v>
      </c>
    </row>
    <row r="65" spans="1:21" s="32" customFormat="1" ht="21.75" customHeight="1">
      <c r="A65" s="107"/>
      <c r="B65" s="108"/>
      <c r="C65" s="109"/>
      <c r="D65" s="107"/>
      <c r="E65" s="36" t="s">
        <v>2</v>
      </c>
      <c r="F65" s="37" t="s">
        <v>3</v>
      </c>
      <c r="G65" s="38"/>
      <c r="H65" s="37" t="s">
        <v>4</v>
      </c>
      <c r="I65" s="40"/>
      <c r="J65" s="40"/>
      <c r="K65" s="40"/>
      <c r="L65" s="40"/>
      <c r="M65" s="38" t="s">
        <v>5</v>
      </c>
      <c r="N65" s="38" t="s">
        <v>6</v>
      </c>
      <c r="O65" s="38"/>
      <c r="P65" s="38"/>
      <c r="Q65" s="38"/>
      <c r="R65" s="38"/>
      <c r="S65" s="38"/>
      <c r="T65" s="37" t="s">
        <v>229</v>
      </c>
      <c r="U65" s="36"/>
    </row>
    <row r="66" spans="1:21" s="32" customFormat="1" ht="21.75" customHeight="1">
      <c r="A66" s="110" t="s">
        <v>66</v>
      </c>
      <c r="B66" s="111" t="s">
        <v>67</v>
      </c>
      <c r="C66" s="112"/>
      <c r="D66" s="113"/>
      <c r="E66" s="114"/>
      <c r="F66" s="114"/>
      <c r="G66" s="114"/>
      <c r="H66" s="114"/>
      <c r="I66" s="115"/>
      <c r="J66" s="115"/>
      <c r="K66" s="115"/>
      <c r="L66" s="115"/>
      <c r="M66" s="115"/>
      <c r="N66" s="107"/>
      <c r="O66" s="116"/>
      <c r="P66" s="116"/>
      <c r="Q66" s="116"/>
      <c r="R66" s="116"/>
      <c r="S66" s="116"/>
      <c r="T66" s="117"/>
      <c r="U66" s="59"/>
    </row>
    <row r="67" spans="1:21" s="32" customFormat="1" ht="21.75" customHeight="1">
      <c r="A67" s="76" t="s">
        <v>68</v>
      </c>
      <c r="B67" s="118"/>
      <c r="C67" s="84"/>
      <c r="D67" s="85"/>
      <c r="E67" s="168">
        <f>SUM(E68:E82)</f>
        <v>1168100000</v>
      </c>
      <c r="F67" s="168">
        <f>SUM(F68:F82)</f>
        <v>21500000</v>
      </c>
      <c r="G67" s="168">
        <f>SUM(G68:G82)</f>
        <v>33500000</v>
      </c>
      <c r="H67" s="168">
        <f>SUM(H68:H82)</f>
        <v>14170000</v>
      </c>
      <c r="I67" s="168">
        <f>SUM(I68:I82)</f>
        <v>1316500000</v>
      </c>
      <c r="J67" s="168">
        <f>SUM(J68:J82)</f>
        <v>1551500000</v>
      </c>
      <c r="K67" s="168">
        <f>SUM(K68:K82)</f>
        <v>14000000</v>
      </c>
      <c r="L67" s="168">
        <f>SUM(L68:L82)</f>
        <v>4050000</v>
      </c>
      <c r="M67" s="168">
        <f>SUM(M68:M82)</f>
        <v>17500000</v>
      </c>
      <c r="N67" s="168">
        <f>SUM(N68:N82)</f>
        <v>5000000</v>
      </c>
      <c r="O67" s="168">
        <f>SUM(O68:O82)</f>
        <v>1000000</v>
      </c>
      <c r="P67" s="168">
        <f>SUM(P68:P82)</f>
        <v>15000000</v>
      </c>
      <c r="Q67" s="168">
        <f>SUM(Q68:Q82)</f>
        <v>0</v>
      </c>
      <c r="R67" s="168">
        <f>SUM(R68:R82)</f>
        <v>0</v>
      </c>
      <c r="S67" s="168">
        <f>SUM(S68:S82)</f>
        <v>40000000</v>
      </c>
      <c r="T67" s="168">
        <f>SUM(T68:T82)</f>
        <v>4201820000</v>
      </c>
      <c r="U67" s="168">
        <f>SUM(U68:U82)</f>
        <v>0</v>
      </c>
    </row>
    <row r="68" spans="1:21" s="32" customFormat="1" ht="21.75" customHeight="1">
      <c r="A68" s="95"/>
      <c r="B68" s="62" t="s">
        <v>69</v>
      </c>
      <c r="C68" s="72"/>
      <c r="D68" s="70"/>
      <c r="E68" s="119">
        <v>445000000</v>
      </c>
      <c r="F68" s="119"/>
      <c r="G68" s="57"/>
      <c r="H68" s="119"/>
      <c r="I68" s="119"/>
      <c r="J68" s="119"/>
      <c r="K68" s="119"/>
      <c r="L68" s="119"/>
      <c r="M68" s="119"/>
      <c r="N68" s="57"/>
      <c r="O68" s="119"/>
      <c r="P68" s="119"/>
      <c r="Q68" s="119"/>
      <c r="R68" s="119"/>
      <c r="S68" s="119"/>
      <c r="T68" s="120">
        <f>SUM(E68:S68)</f>
        <v>445000000</v>
      </c>
      <c r="U68" s="94"/>
    </row>
    <row r="69" spans="1:21" s="32" customFormat="1" ht="21.75" customHeight="1">
      <c r="A69" s="95"/>
      <c r="B69" s="62" t="s">
        <v>70</v>
      </c>
      <c r="C69" s="72"/>
      <c r="D69" s="70"/>
      <c r="E69" s="79">
        <v>395000000</v>
      </c>
      <c r="F69" s="79"/>
      <c r="G69" s="79">
        <v>3000000</v>
      </c>
      <c r="H69" s="79">
        <v>1000000</v>
      </c>
      <c r="I69" s="79"/>
      <c r="J69" s="79"/>
      <c r="K69" s="79"/>
      <c r="L69" s="79">
        <v>2000000</v>
      </c>
      <c r="M69" s="79"/>
      <c r="N69" s="121"/>
      <c r="O69" s="58"/>
      <c r="P69" s="58"/>
      <c r="Q69" s="58"/>
      <c r="R69" s="58"/>
      <c r="S69" s="58"/>
      <c r="T69" s="97">
        <f>SUM(E69:S69)</f>
        <v>401000000</v>
      </c>
      <c r="U69" s="59"/>
    </row>
    <row r="70" spans="1:21" s="32" customFormat="1" ht="21.75" customHeight="1">
      <c r="A70" s="95"/>
      <c r="B70" s="62" t="s">
        <v>71</v>
      </c>
      <c r="C70" s="72"/>
      <c r="D70" s="70"/>
      <c r="E70" s="79">
        <v>17000000</v>
      </c>
      <c r="F70" s="79"/>
      <c r="G70" s="79">
        <v>17400000</v>
      </c>
      <c r="H70" s="79"/>
      <c r="I70" s="79"/>
      <c r="J70" s="79"/>
      <c r="K70" s="79"/>
      <c r="L70" s="79"/>
      <c r="M70" s="79"/>
      <c r="N70" s="121"/>
      <c r="O70" s="65"/>
      <c r="P70" s="65">
        <v>12000000</v>
      </c>
      <c r="Q70" s="65"/>
      <c r="R70" s="65"/>
      <c r="S70" s="65"/>
      <c r="T70" s="66">
        <f>SUM(E70:S70)</f>
        <v>46400000</v>
      </c>
      <c r="U70" s="59"/>
    </row>
    <row r="71" spans="1:21" s="32" customFormat="1" ht="21.75" customHeight="1">
      <c r="A71" s="95"/>
      <c r="B71" s="62" t="s">
        <v>72</v>
      </c>
      <c r="C71" s="72"/>
      <c r="D71" s="70"/>
      <c r="E71" s="73"/>
      <c r="F71" s="100"/>
      <c r="G71" s="79"/>
      <c r="H71" s="79"/>
      <c r="I71" s="79">
        <v>1315000000</v>
      </c>
      <c r="J71" s="122">
        <v>1550000000</v>
      </c>
      <c r="K71" s="79"/>
      <c r="L71" s="79"/>
      <c r="M71" s="79"/>
      <c r="N71" s="121"/>
      <c r="O71" s="65"/>
      <c r="P71" s="65"/>
      <c r="Q71" s="65"/>
      <c r="R71" s="65"/>
      <c r="S71" s="65"/>
      <c r="T71" s="66">
        <f>SUM(E71:S71)</f>
        <v>2865000000</v>
      </c>
      <c r="U71" s="59"/>
    </row>
    <row r="72" spans="1:21" s="32" customFormat="1" ht="21.75" customHeight="1">
      <c r="A72" s="95"/>
      <c r="B72" s="62" t="s">
        <v>73</v>
      </c>
      <c r="C72" s="72"/>
      <c r="D72" s="70"/>
      <c r="E72" s="73"/>
      <c r="F72" s="100"/>
      <c r="G72" s="79"/>
      <c r="H72" s="79"/>
      <c r="I72" s="79"/>
      <c r="J72" s="79"/>
      <c r="K72" s="79"/>
      <c r="L72" s="79"/>
      <c r="M72" s="79"/>
      <c r="N72" s="121"/>
      <c r="O72" s="65"/>
      <c r="P72" s="65"/>
      <c r="Q72" s="65"/>
      <c r="R72" s="65"/>
      <c r="S72" s="65"/>
      <c r="T72" s="66">
        <f>SUM(E72:S72)</f>
        <v>0</v>
      </c>
      <c r="U72" s="59"/>
    </row>
    <row r="73" spans="1:21" s="32" customFormat="1" ht="21.75" customHeight="1">
      <c r="A73" s="95"/>
      <c r="B73" s="62" t="s">
        <v>74</v>
      </c>
      <c r="C73" s="72"/>
      <c r="D73" s="70"/>
      <c r="E73" s="79">
        <v>14000000</v>
      </c>
      <c r="F73" s="79">
        <v>2000000</v>
      </c>
      <c r="G73" s="79">
        <v>3500000</v>
      </c>
      <c r="H73" s="79">
        <v>2000000</v>
      </c>
      <c r="I73" s="79">
        <v>500000</v>
      </c>
      <c r="J73" s="79">
        <v>500000</v>
      </c>
      <c r="K73" s="79">
        <v>500000</v>
      </c>
      <c r="L73" s="79">
        <v>500000</v>
      </c>
      <c r="M73" s="79">
        <v>5000000</v>
      </c>
      <c r="N73" s="121">
        <v>3000000</v>
      </c>
      <c r="O73" s="65">
        <v>500000</v>
      </c>
      <c r="P73" s="65">
        <v>1500000</v>
      </c>
      <c r="Q73" s="65"/>
      <c r="R73" s="65"/>
      <c r="S73" s="65"/>
      <c r="T73" s="66">
        <f>SUM(E73:S73)</f>
        <v>33500000</v>
      </c>
      <c r="U73" s="59"/>
    </row>
    <row r="74" spans="1:21" s="32" customFormat="1" ht="21.75" customHeight="1">
      <c r="A74" s="95"/>
      <c r="B74" s="62" t="s">
        <v>75</v>
      </c>
      <c r="C74" s="72"/>
      <c r="D74" s="70"/>
      <c r="E74" s="79">
        <v>65000000</v>
      </c>
      <c r="F74" s="79">
        <v>3000000</v>
      </c>
      <c r="G74" s="79">
        <v>6000000</v>
      </c>
      <c r="H74" s="79">
        <v>1500000</v>
      </c>
      <c r="I74" s="79">
        <v>500000</v>
      </c>
      <c r="J74" s="79">
        <v>500000</v>
      </c>
      <c r="K74" s="79"/>
      <c r="L74" s="79"/>
      <c r="M74" s="79">
        <v>500000</v>
      </c>
      <c r="N74" s="121"/>
      <c r="O74" s="64"/>
      <c r="P74" s="123">
        <v>1000000</v>
      </c>
      <c r="Q74" s="65"/>
      <c r="R74" s="65"/>
      <c r="S74" s="65"/>
      <c r="T74" s="66">
        <f>SUM(E74:S74)</f>
        <v>78000000</v>
      </c>
      <c r="U74" s="59"/>
    </row>
    <row r="75" spans="1:21" s="32" customFormat="1" ht="21.75" customHeight="1">
      <c r="A75" s="95"/>
      <c r="B75" s="62" t="s">
        <v>76</v>
      </c>
      <c r="C75" s="72"/>
      <c r="D75" s="70"/>
      <c r="E75" s="79">
        <v>5000000</v>
      </c>
      <c r="F75" s="79">
        <v>2000000</v>
      </c>
      <c r="G75" s="79">
        <v>1500000</v>
      </c>
      <c r="H75" s="79">
        <v>500000</v>
      </c>
      <c r="I75" s="79">
        <v>500000</v>
      </c>
      <c r="J75" s="79">
        <v>500000</v>
      </c>
      <c r="K75" s="79">
        <v>1000000</v>
      </c>
      <c r="L75" s="79">
        <v>500000</v>
      </c>
      <c r="M75" s="79">
        <v>1500000</v>
      </c>
      <c r="N75" s="121">
        <v>2000000</v>
      </c>
      <c r="O75" s="65">
        <v>500000</v>
      </c>
      <c r="P75" s="65">
        <v>500000</v>
      </c>
      <c r="Q75" s="65"/>
      <c r="R75" s="65"/>
      <c r="S75" s="65"/>
      <c r="T75" s="66">
        <f>SUM(E75:S75)</f>
        <v>16000000</v>
      </c>
      <c r="U75" s="59"/>
    </row>
    <row r="76" spans="1:21" s="32" customFormat="1" ht="21.75" customHeight="1">
      <c r="A76" s="95"/>
      <c r="B76" s="62" t="s">
        <v>77</v>
      </c>
      <c r="C76" s="72"/>
      <c r="D76" s="70"/>
      <c r="E76" s="79"/>
      <c r="F76" s="79"/>
      <c r="G76" s="79"/>
      <c r="H76" s="79"/>
      <c r="I76" s="79"/>
      <c r="J76" s="79"/>
      <c r="K76" s="79"/>
      <c r="L76" s="79"/>
      <c r="M76" s="79"/>
      <c r="N76" s="121"/>
      <c r="O76" s="65"/>
      <c r="P76" s="65"/>
      <c r="Q76" s="65"/>
      <c r="R76" s="65"/>
      <c r="S76" s="65">
        <v>40000000</v>
      </c>
      <c r="T76" s="66">
        <f>SUM(E76:S76)</f>
        <v>40000000</v>
      </c>
      <c r="U76" s="59"/>
    </row>
    <row r="77" spans="1:21" s="32" customFormat="1" ht="21.75" customHeight="1">
      <c r="A77" s="95"/>
      <c r="B77" s="62" t="s">
        <v>78</v>
      </c>
      <c r="C77" s="72"/>
      <c r="D77" s="70"/>
      <c r="E77" s="79">
        <v>2100000</v>
      </c>
      <c r="F77" s="122">
        <v>11500000</v>
      </c>
      <c r="G77" s="79">
        <v>2100000</v>
      </c>
      <c r="H77" s="79"/>
      <c r="I77" s="79"/>
      <c r="J77" s="79"/>
      <c r="K77" s="79">
        <v>12500000</v>
      </c>
      <c r="L77" s="79">
        <v>1050000</v>
      </c>
      <c r="M77" s="79">
        <v>500000</v>
      </c>
      <c r="N77" s="121"/>
      <c r="O77" s="65"/>
      <c r="P77" s="65"/>
      <c r="Q77" s="65"/>
      <c r="R77" s="65"/>
      <c r="S77" s="65"/>
      <c r="T77" s="66">
        <f>SUM(E77:S77)</f>
        <v>29750000</v>
      </c>
      <c r="U77" s="59"/>
    </row>
    <row r="78" spans="1:21" s="32" customFormat="1" ht="21.75" customHeight="1">
      <c r="A78" s="95"/>
      <c r="B78" s="62" t="s">
        <v>79</v>
      </c>
      <c r="C78" s="72"/>
      <c r="D78" s="70"/>
      <c r="E78" s="79"/>
      <c r="F78" s="79"/>
      <c r="G78" s="79"/>
      <c r="H78" s="79"/>
      <c r="I78" s="79"/>
      <c r="J78" s="79"/>
      <c r="K78" s="79"/>
      <c r="L78" s="79"/>
      <c r="M78" s="79"/>
      <c r="N78" s="121"/>
      <c r="O78" s="65"/>
      <c r="P78" s="65"/>
      <c r="Q78" s="65"/>
      <c r="R78" s="65"/>
      <c r="S78" s="65"/>
      <c r="T78" s="66">
        <f>SUM(E78:S78)</f>
        <v>0</v>
      </c>
      <c r="U78" s="59"/>
    </row>
    <row r="79" spans="1:21" s="32" customFormat="1" ht="21.75" customHeight="1">
      <c r="A79" s="95"/>
      <c r="B79" s="62" t="s">
        <v>80</v>
      </c>
      <c r="C79" s="72"/>
      <c r="D79" s="70"/>
      <c r="E79" s="79">
        <v>210000000</v>
      </c>
      <c r="F79" s="79">
        <v>3000000</v>
      </c>
      <c r="G79" s="79"/>
      <c r="H79" s="79">
        <v>8420000</v>
      </c>
      <c r="I79" s="79"/>
      <c r="J79" s="79"/>
      <c r="K79" s="79"/>
      <c r="L79" s="79"/>
      <c r="M79" s="79">
        <v>10000000</v>
      </c>
      <c r="N79" s="121"/>
      <c r="O79" s="65"/>
      <c r="P79" s="65"/>
      <c r="Q79" s="65"/>
      <c r="R79" s="65"/>
      <c r="S79" s="65"/>
      <c r="T79" s="66">
        <f>SUM(E79:S79)</f>
        <v>231420000</v>
      </c>
      <c r="U79" s="59"/>
    </row>
    <row r="80" spans="1:21" s="32" customFormat="1" ht="21.75" customHeight="1">
      <c r="A80" s="95"/>
      <c r="B80" s="62" t="s">
        <v>81</v>
      </c>
      <c r="C80" s="72"/>
      <c r="D80" s="70"/>
      <c r="E80" s="79"/>
      <c r="F80" s="79"/>
      <c r="G80" s="79"/>
      <c r="H80" s="79"/>
      <c r="I80" s="79"/>
      <c r="J80" s="79"/>
      <c r="K80" s="79"/>
      <c r="L80" s="79"/>
      <c r="M80" s="79"/>
      <c r="N80" s="121"/>
      <c r="O80" s="65"/>
      <c r="P80" s="65"/>
      <c r="Q80" s="65"/>
      <c r="R80" s="65"/>
      <c r="S80" s="65"/>
      <c r="T80" s="66">
        <f>SUM(E80:S80)</f>
        <v>0</v>
      </c>
      <c r="U80" s="59"/>
    </row>
    <row r="81" spans="1:21" s="32" customFormat="1" ht="21.75" customHeight="1">
      <c r="A81" s="95"/>
      <c r="B81" s="62" t="s">
        <v>82</v>
      </c>
      <c r="C81" s="72"/>
      <c r="D81" s="70"/>
      <c r="E81" s="79">
        <v>15000000</v>
      </c>
      <c r="F81" s="79"/>
      <c r="G81" s="79"/>
      <c r="H81" s="79">
        <v>750000</v>
      </c>
      <c r="I81" s="122"/>
      <c r="J81" s="122"/>
      <c r="K81" s="79"/>
      <c r="L81" s="79"/>
      <c r="M81" s="79"/>
      <c r="N81" s="121"/>
      <c r="O81" s="65"/>
      <c r="P81" s="65"/>
      <c r="Q81" s="65"/>
      <c r="R81" s="65"/>
      <c r="S81" s="65"/>
      <c r="T81" s="66">
        <f>SUM(E81:S81)</f>
        <v>15750000</v>
      </c>
      <c r="U81" s="59"/>
    </row>
    <row r="82" spans="1:21" s="32" customFormat="1" ht="21.75" customHeight="1">
      <c r="A82" s="95"/>
      <c r="B82" s="88" t="s">
        <v>83</v>
      </c>
      <c r="C82" s="89"/>
      <c r="D82" s="69"/>
      <c r="E82" s="69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5"/>
      <c r="R82" s="65"/>
      <c r="S82" s="65"/>
      <c r="T82" s="91">
        <f>SUM(E82:S82)</f>
        <v>0</v>
      </c>
      <c r="U82" s="59"/>
    </row>
    <row r="83" spans="1:21" s="32" customFormat="1" ht="21.75" customHeight="1">
      <c r="A83" s="76"/>
      <c r="B83" s="118"/>
      <c r="C83" s="84"/>
      <c r="D83" s="85"/>
      <c r="E83" s="46"/>
      <c r="F83" s="46"/>
      <c r="G83" s="46"/>
      <c r="H83" s="46"/>
      <c r="I83" s="46"/>
      <c r="J83" s="46"/>
      <c r="K83" s="46"/>
      <c r="L83" s="46"/>
      <c r="M83" s="46"/>
      <c r="N83" s="47"/>
      <c r="O83" s="47"/>
      <c r="P83" s="47"/>
      <c r="Q83" s="47"/>
      <c r="R83" s="47"/>
      <c r="S83" s="47"/>
      <c r="T83" s="93"/>
      <c r="U83" s="94"/>
    </row>
    <row r="84" spans="1:22" s="32" customFormat="1" ht="21.75" customHeight="1">
      <c r="A84" s="76" t="s">
        <v>84</v>
      </c>
      <c r="B84" s="118"/>
      <c r="C84" s="84"/>
      <c r="D84" s="85"/>
      <c r="E84" s="169">
        <f>SUM(E85:E118)</f>
        <v>993781765</v>
      </c>
      <c r="F84" s="169">
        <f>SUM(F85:F118)</f>
        <v>700691000</v>
      </c>
      <c r="G84" s="169">
        <f>SUM(G85:G118)</f>
        <v>185346950</v>
      </c>
      <c r="H84" s="169">
        <f>SUM(H85:H118)</f>
        <v>209654000</v>
      </c>
      <c r="I84" s="169">
        <f>SUM(I85:I118)</f>
        <v>58351283</v>
      </c>
      <c r="J84" s="169">
        <f>SUM(J85:J118)</f>
        <v>132351024</v>
      </c>
      <c r="K84" s="169">
        <f>SUM(K85:K118)</f>
        <v>79419650</v>
      </c>
      <c r="L84" s="169">
        <f>SUM(L85:L118)</f>
        <v>2363000</v>
      </c>
      <c r="M84" s="169">
        <f>SUM(M85:M118)</f>
        <v>343423000</v>
      </c>
      <c r="N84" s="169">
        <f>SUM(N85:N118)</f>
        <v>242292000</v>
      </c>
      <c r="O84" s="169">
        <f>SUM(O85:O118)</f>
        <v>91192000</v>
      </c>
      <c r="P84" s="169">
        <f>SUM(P85:P118)</f>
        <v>336783000</v>
      </c>
      <c r="Q84" s="169">
        <f>SUM(Q85:Q118)</f>
        <v>59000000</v>
      </c>
      <c r="R84" s="169">
        <f>SUM(R85:R118)</f>
        <v>98000000</v>
      </c>
      <c r="S84" s="169">
        <f>SUM(S85:S118)</f>
        <v>74000000</v>
      </c>
      <c r="T84" s="169">
        <f>SUM(T85:T118)</f>
        <v>3606648672</v>
      </c>
      <c r="U84" s="169">
        <f>SUM(U85:U118)</f>
        <v>0</v>
      </c>
      <c r="V84" s="32"/>
    </row>
    <row r="85" spans="1:21" s="32" customFormat="1" ht="21.75" customHeight="1">
      <c r="A85" s="95"/>
      <c r="B85" s="88" t="s">
        <v>85</v>
      </c>
      <c r="C85" s="89"/>
      <c r="D85" s="81"/>
      <c r="E85" s="78"/>
      <c r="F85" s="78"/>
      <c r="G85" s="78">
        <v>6000000</v>
      </c>
      <c r="H85" s="78"/>
      <c r="I85" s="124"/>
      <c r="J85" s="73"/>
      <c r="K85" s="90"/>
      <c r="L85" s="78"/>
      <c r="M85" s="78">
        <v>500000</v>
      </c>
      <c r="N85" s="124"/>
      <c r="O85" s="65"/>
      <c r="P85" s="65"/>
      <c r="Q85" s="65"/>
      <c r="R85" s="65"/>
      <c r="S85" s="65"/>
      <c r="T85" s="66">
        <f>SUM(E85:S85)</f>
        <v>6500000</v>
      </c>
      <c r="U85" s="59"/>
    </row>
    <row r="86" spans="1:21" s="32" customFormat="1" ht="21.75" customHeight="1">
      <c r="A86" s="95"/>
      <c r="B86" s="62" t="s">
        <v>86</v>
      </c>
      <c r="C86" s="72"/>
      <c r="D86" s="70"/>
      <c r="E86" s="79">
        <v>35000000</v>
      </c>
      <c r="F86" s="79">
        <v>500000</v>
      </c>
      <c r="G86" s="79">
        <v>2750000</v>
      </c>
      <c r="H86" s="79">
        <v>4500000</v>
      </c>
      <c r="I86" s="79">
        <v>3885000</v>
      </c>
      <c r="J86" s="78">
        <v>3000000</v>
      </c>
      <c r="K86" s="79"/>
      <c r="L86" s="79"/>
      <c r="M86" s="79">
        <v>5000000</v>
      </c>
      <c r="N86" s="121">
        <v>8000000</v>
      </c>
      <c r="O86" s="65"/>
      <c r="P86" s="65">
        <v>2900000</v>
      </c>
      <c r="Q86" s="65"/>
      <c r="R86" s="65"/>
      <c r="S86" s="65"/>
      <c r="T86" s="66">
        <f>SUM(E86:S86)</f>
        <v>65535000</v>
      </c>
      <c r="U86" s="59"/>
    </row>
    <row r="87" spans="1:21" s="32" customFormat="1" ht="21.75" customHeight="1">
      <c r="A87" s="95"/>
      <c r="B87" s="62" t="s">
        <v>87</v>
      </c>
      <c r="C87" s="72"/>
      <c r="D87" s="70"/>
      <c r="E87" s="122">
        <v>86000000</v>
      </c>
      <c r="F87" s="79"/>
      <c r="G87" s="79">
        <v>9714000</v>
      </c>
      <c r="H87" s="79">
        <v>3000000</v>
      </c>
      <c r="I87" s="79">
        <v>2650000</v>
      </c>
      <c r="J87" s="79">
        <v>400000</v>
      </c>
      <c r="K87" s="79"/>
      <c r="L87" s="79"/>
      <c r="M87" s="79">
        <v>4925000</v>
      </c>
      <c r="N87" s="121">
        <v>500000</v>
      </c>
      <c r="O87" s="64"/>
      <c r="P87" s="65">
        <v>3555000</v>
      </c>
      <c r="Q87" s="65"/>
      <c r="R87" s="65"/>
      <c r="S87" s="65"/>
      <c r="T87" s="66">
        <f>SUM(E87:S87)</f>
        <v>110744000</v>
      </c>
      <c r="U87" s="59"/>
    </row>
    <row r="88" spans="1:21" s="32" customFormat="1" ht="21.75" customHeight="1">
      <c r="A88" s="95"/>
      <c r="B88" s="62" t="s">
        <v>88</v>
      </c>
      <c r="C88" s="72"/>
      <c r="D88" s="70"/>
      <c r="E88" s="122"/>
      <c r="F88" s="79"/>
      <c r="G88" s="79"/>
      <c r="H88" s="79"/>
      <c r="I88" s="79"/>
      <c r="J88" s="79"/>
      <c r="K88" s="79"/>
      <c r="L88" s="79"/>
      <c r="M88" s="79"/>
      <c r="N88" s="121">
        <v>4500000</v>
      </c>
      <c r="O88" s="57"/>
      <c r="P88" s="65"/>
      <c r="Q88" s="65"/>
      <c r="R88" s="65"/>
      <c r="S88" s="65"/>
      <c r="T88" s="66">
        <f>SUM(E88:S88)</f>
        <v>4500000</v>
      </c>
      <c r="U88" s="59"/>
    </row>
    <row r="89" spans="1:21" s="32" customFormat="1" ht="21.75" customHeight="1">
      <c r="A89" s="95"/>
      <c r="B89" s="62" t="s">
        <v>89</v>
      </c>
      <c r="C89" s="72"/>
      <c r="D89" s="70"/>
      <c r="E89" s="122"/>
      <c r="F89" s="79"/>
      <c r="G89" s="79"/>
      <c r="H89" s="79"/>
      <c r="I89" s="79"/>
      <c r="J89" s="79"/>
      <c r="K89" s="79"/>
      <c r="L89" s="79"/>
      <c r="M89" s="79"/>
      <c r="N89" s="121"/>
      <c r="O89" s="57"/>
      <c r="P89" s="65"/>
      <c r="Q89" s="65"/>
      <c r="R89" s="65"/>
      <c r="S89" s="65"/>
      <c r="T89" s="66">
        <f>SUM(E89:S89)</f>
        <v>0</v>
      </c>
      <c r="U89" s="59"/>
    </row>
    <row r="90" spans="1:21" s="32" customFormat="1" ht="21.75" customHeight="1">
      <c r="A90" s="95"/>
      <c r="B90" s="88" t="s">
        <v>90</v>
      </c>
      <c r="C90" s="89"/>
      <c r="D90" s="81"/>
      <c r="E90" s="78">
        <v>73500000</v>
      </c>
      <c r="F90" s="125"/>
      <c r="G90" s="78">
        <v>4200000</v>
      </c>
      <c r="H90" s="79">
        <v>5000000</v>
      </c>
      <c r="I90" s="78">
        <v>1000000</v>
      </c>
      <c r="J90" s="78">
        <v>1000000</v>
      </c>
      <c r="K90" s="78"/>
      <c r="L90" s="78"/>
      <c r="M90" s="126">
        <v>24000000</v>
      </c>
      <c r="N90" s="124">
        <v>24000000</v>
      </c>
      <c r="O90" s="64"/>
      <c r="P90" s="65">
        <v>24000000</v>
      </c>
      <c r="Q90" s="65"/>
      <c r="R90" s="65"/>
      <c r="S90" s="65"/>
      <c r="T90" s="66">
        <f>SUM(E90:S90)</f>
        <v>156700000</v>
      </c>
      <c r="U90" s="59"/>
    </row>
    <row r="91" spans="1:21" s="32" customFormat="1" ht="21.75" customHeight="1">
      <c r="A91" s="95"/>
      <c r="B91" s="62" t="s">
        <v>91</v>
      </c>
      <c r="C91" s="72"/>
      <c r="D91" s="70"/>
      <c r="E91" s="122">
        <v>25000000</v>
      </c>
      <c r="F91" s="79">
        <v>500000</v>
      </c>
      <c r="G91" s="79">
        <v>800000</v>
      </c>
      <c r="H91" s="79">
        <v>1800000</v>
      </c>
      <c r="I91" s="79">
        <v>350000</v>
      </c>
      <c r="J91" s="122">
        <v>1000000</v>
      </c>
      <c r="K91" s="79"/>
      <c r="L91" s="79"/>
      <c r="M91" s="79">
        <v>1000000</v>
      </c>
      <c r="N91" s="121">
        <v>500000</v>
      </c>
      <c r="O91" s="57"/>
      <c r="P91" s="65">
        <v>800000</v>
      </c>
      <c r="Q91" s="65"/>
      <c r="R91" s="65"/>
      <c r="S91" s="65"/>
      <c r="T91" s="66">
        <f>SUM(E91:S91)</f>
        <v>31750000</v>
      </c>
      <c r="U91" s="59"/>
    </row>
    <row r="92" spans="1:22" s="32" customFormat="1" ht="21.75" customHeight="1">
      <c r="A92" s="95"/>
      <c r="B92" s="62" t="s">
        <v>92</v>
      </c>
      <c r="C92" s="72"/>
      <c r="D92" s="70"/>
      <c r="E92" s="122">
        <f>32744250+3000000</f>
        <v>35744250</v>
      </c>
      <c r="F92" s="79">
        <v>4851000</v>
      </c>
      <c r="G92" s="79">
        <v>2182950</v>
      </c>
      <c r="H92" s="79">
        <v>2129000</v>
      </c>
      <c r="I92" s="79">
        <v>10914750</v>
      </c>
      <c r="J92" s="79">
        <v>14553000</v>
      </c>
      <c r="K92" s="79">
        <v>727650</v>
      </c>
      <c r="L92" s="79">
        <v>693000</v>
      </c>
      <c r="M92" s="79">
        <v>2079000</v>
      </c>
      <c r="N92" s="121">
        <v>1000000</v>
      </c>
      <c r="O92" s="121">
        <v>1000000</v>
      </c>
      <c r="P92" s="121">
        <v>1000000</v>
      </c>
      <c r="Q92" s="121"/>
      <c r="R92" s="121"/>
      <c r="S92" s="121"/>
      <c r="T92" s="66">
        <f>SUM(E92:S92)</f>
        <v>76874600</v>
      </c>
      <c r="U92" s="59"/>
      <c r="V92" s="127"/>
    </row>
    <row r="93" spans="1:22" s="32" customFormat="1" ht="21.75" customHeight="1">
      <c r="A93" s="95"/>
      <c r="B93" s="62" t="s">
        <v>93</v>
      </c>
      <c r="C93" s="72"/>
      <c r="D93" s="128"/>
      <c r="E93" s="79">
        <f>25573000-2200000</f>
        <v>23373000</v>
      </c>
      <c r="F93" s="79">
        <v>4350000</v>
      </c>
      <c r="G93" s="79">
        <v>1750000</v>
      </c>
      <c r="H93" s="79">
        <v>1975000</v>
      </c>
      <c r="I93" s="79">
        <f>8134000-3000000</f>
        <v>5134000</v>
      </c>
      <c r="J93" s="79">
        <f>11900000-3000000</f>
        <v>8900000</v>
      </c>
      <c r="K93" s="79">
        <v>592000</v>
      </c>
      <c r="L93" s="79">
        <v>590000</v>
      </c>
      <c r="M93" s="79">
        <v>1584000</v>
      </c>
      <c r="N93" s="79">
        <v>592000</v>
      </c>
      <c r="O93" s="79">
        <v>592000</v>
      </c>
      <c r="P93" s="79">
        <v>592000</v>
      </c>
      <c r="Q93" s="79"/>
      <c r="R93" s="79"/>
      <c r="S93" s="79"/>
      <c r="T93" s="66">
        <f>SUM(E93:S93)</f>
        <v>50024000</v>
      </c>
      <c r="U93" s="59"/>
      <c r="V93" s="127"/>
    </row>
    <row r="94" spans="1:21" s="32" customFormat="1" ht="21.75" customHeight="1">
      <c r="A94" s="95"/>
      <c r="B94" s="62" t="s">
        <v>94</v>
      </c>
      <c r="C94" s="72"/>
      <c r="D94" s="70"/>
      <c r="E94" s="79">
        <v>55000000</v>
      </c>
      <c r="F94" s="79">
        <v>2000000</v>
      </c>
      <c r="G94" s="79"/>
      <c r="H94" s="79"/>
      <c r="I94" s="79">
        <v>1500000</v>
      </c>
      <c r="J94" s="79">
        <v>1000000</v>
      </c>
      <c r="K94" s="79"/>
      <c r="L94" s="79"/>
      <c r="M94" s="79"/>
      <c r="N94" s="79"/>
      <c r="O94" s="79">
        <v>500000</v>
      </c>
      <c r="P94" s="79"/>
      <c r="Q94" s="79"/>
      <c r="R94" s="79"/>
      <c r="S94" s="79"/>
      <c r="T94" s="66">
        <f>SUM(E94:S94)</f>
        <v>60000000</v>
      </c>
      <c r="U94" s="59"/>
    </row>
    <row r="95" spans="1:21" s="32" customFormat="1" ht="21.75" customHeight="1">
      <c r="A95" s="95"/>
      <c r="B95" s="62" t="s">
        <v>95</v>
      </c>
      <c r="C95" s="72"/>
      <c r="D95" s="70"/>
      <c r="E95" s="129">
        <f>48800000+6600000+2200000</f>
        <v>57600000</v>
      </c>
      <c r="F95" s="129">
        <v>2200000</v>
      </c>
      <c r="G95" s="129">
        <v>2200000</v>
      </c>
      <c r="H95" s="129">
        <v>2200000</v>
      </c>
      <c r="I95" s="130">
        <f>11350033-5000000</f>
        <v>6350033</v>
      </c>
      <c r="J95" s="131">
        <f>12430524-7000000</f>
        <v>5430524</v>
      </c>
      <c r="K95" s="79">
        <v>2200000</v>
      </c>
      <c r="L95" s="79"/>
      <c r="M95" s="79">
        <v>2200000</v>
      </c>
      <c r="N95" s="79">
        <v>2200000</v>
      </c>
      <c r="O95" s="79">
        <v>2200000</v>
      </c>
      <c r="P95" s="79">
        <v>2200000</v>
      </c>
      <c r="Q95" s="79"/>
      <c r="R95" s="79"/>
      <c r="S95" s="79"/>
      <c r="T95" s="66">
        <f>SUM(E95:S95)</f>
        <v>86980557</v>
      </c>
      <c r="U95" s="59"/>
    </row>
    <row r="96" spans="1:21" s="32" customFormat="1" ht="21.75" customHeight="1">
      <c r="A96" s="95"/>
      <c r="B96" s="62" t="s">
        <v>96</v>
      </c>
      <c r="C96" s="72"/>
      <c r="D96" s="70"/>
      <c r="E96" s="79">
        <f>(47250000-5000000)-1500000</f>
        <v>40750000</v>
      </c>
      <c r="F96" s="79"/>
      <c r="G96" s="79">
        <v>5000000</v>
      </c>
      <c r="H96" s="79"/>
      <c r="I96" s="79"/>
      <c r="J96" s="79"/>
      <c r="K96" s="79"/>
      <c r="L96" s="79"/>
      <c r="M96" s="79"/>
      <c r="N96" s="121"/>
      <c r="O96" s="57"/>
      <c r="P96" s="65">
        <v>1500000</v>
      </c>
      <c r="Q96" s="65"/>
      <c r="R96" s="65"/>
      <c r="S96" s="65"/>
      <c r="T96" s="66">
        <f>SUM(E96:S96)</f>
        <v>47250000</v>
      </c>
      <c r="U96" s="59"/>
    </row>
    <row r="97" spans="1:21" s="32" customFormat="1" ht="21.75" customHeight="1">
      <c r="A97" s="95"/>
      <c r="B97" s="62" t="s">
        <v>97</v>
      </c>
      <c r="C97" s="72"/>
      <c r="D97" s="70"/>
      <c r="E97" s="79">
        <v>80000000</v>
      </c>
      <c r="F97" s="79"/>
      <c r="G97" s="79">
        <v>14000000</v>
      </c>
      <c r="H97" s="79">
        <v>5500000</v>
      </c>
      <c r="I97" s="79"/>
      <c r="J97" s="79"/>
      <c r="K97" s="79"/>
      <c r="L97" s="79"/>
      <c r="M97" s="79"/>
      <c r="N97" s="121"/>
      <c r="O97" s="57"/>
      <c r="P97" s="65">
        <v>5000000</v>
      </c>
      <c r="Q97" s="65"/>
      <c r="R97" s="65"/>
      <c r="S97" s="65"/>
      <c r="T97" s="66">
        <f>SUM(E97:S97)</f>
        <v>104500000</v>
      </c>
      <c r="U97" s="59"/>
    </row>
    <row r="98" spans="1:21" s="32" customFormat="1" ht="21.75" customHeight="1">
      <c r="A98" s="95"/>
      <c r="B98" s="62" t="s">
        <v>98</v>
      </c>
      <c r="C98" s="72"/>
      <c r="D98" s="70"/>
      <c r="E98" s="79">
        <v>40000000</v>
      </c>
      <c r="F98" s="79"/>
      <c r="G98" s="79">
        <v>2500000</v>
      </c>
      <c r="H98" s="79"/>
      <c r="I98" s="79"/>
      <c r="J98" s="79"/>
      <c r="K98" s="79"/>
      <c r="L98" s="79"/>
      <c r="M98" s="79"/>
      <c r="N98" s="121"/>
      <c r="O98" s="57"/>
      <c r="P98" s="65">
        <v>5500000</v>
      </c>
      <c r="Q98" s="65"/>
      <c r="R98" s="65"/>
      <c r="S98" s="65"/>
      <c r="T98" s="66">
        <f>SUM(E98:S98)</f>
        <v>48000000</v>
      </c>
      <c r="U98" s="59"/>
    </row>
    <row r="99" spans="1:21" s="32" customFormat="1" ht="21.75" customHeight="1">
      <c r="A99" s="95"/>
      <c r="B99" s="62" t="s">
        <v>99</v>
      </c>
      <c r="C99" s="72"/>
      <c r="D99" s="70"/>
      <c r="E99" s="79">
        <v>35000000</v>
      </c>
      <c r="F99" s="79"/>
      <c r="G99" s="79">
        <v>2000000</v>
      </c>
      <c r="H99" s="79"/>
      <c r="I99" s="79"/>
      <c r="J99" s="79"/>
      <c r="K99" s="79"/>
      <c r="L99" s="79"/>
      <c r="M99" s="79"/>
      <c r="N99" s="121"/>
      <c r="O99" s="57"/>
      <c r="P99" s="65"/>
      <c r="Q99" s="65"/>
      <c r="R99" s="65"/>
      <c r="S99" s="65"/>
      <c r="T99" s="66">
        <f>SUM(E99:S99)</f>
        <v>37000000</v>
      </c>
      <c r="U99" s="59"/>
    </row>
    <row r="100" spans="1:21" s="32" customFormat="1" ht="21.75" customHeight="1">
      <c r="A100" s="95"/>
      <c r="B100" s="62" t="s">
        <v>100</v>
      </c>
      <c r="C100" s="72"/>
      <c r="D100" s="70"/>
      <c r="E100" s="79">
        <v>202000000</v>
      </c>
      <c r="F100" s="122">
        <v>5000000</v>
      </c>
      <c r="G100" s="79">
        <v>30000000</v>
      </c>
      <c r="H100" s="79">
        <v>36000000</v>
      </c>
      <c r="I100" s="79">
        <v>8767500</v>
      </c>
      <c r="J100" s="79">
        <v>8767500</v>
      </c>
      <c r="K100" s="79"/>
      <c r="L100" s="79"/>
      <c r="M100" s="79">
        <v>31500000</v>
      </c>
      <c r="N100" s="121">
        <v>12000000</v>
      </c>
      <c r="O100" s="57"/>
      <c r="P100" s="121">
        <v>18400000</v>
      </c>
      <c r="Q100" s="64"/>
      <c r="R100" s="64"/>
      <c r="S100" s="64"/>
      <c r="T100" s="66">
        <f>SUM(E100:S100)</f>
        <v>352435000</v>
      </c>
      <c r="U100" s="59"/>
    </row>
    <row r="101" spans="1:21" s="32" customFormat="1" ht="21.75" customHeight="1">
      <c r="A101" s="95"/>
      <c r="B101" s="62" t="s">
        <v>101</v>
      </c>
      <c r="C101" s="72"/>
      <c r="D101" s="70"/>
      <c r="E101" s="79">
        <v>62500000</v>
      </c>
      <c r="F101" s="79"/>
      <c r="G101" s="79">
        <v>7800000</v>
      </c>
      <c r="H101" s="79"/>
      <c r="I101" s="79"/>
      <c r="J101" s="79">
        <v>75000000</v>
      </c>
      <c r="K101" s="79"/>
      <c r="L101" s="79"/>
      <c r="M101" s="79"/>
      <c r="N101" s="121">
        <v>125000000</v>
      </c>
      <c r="O101" s="57"/>
      <c r="P101" s="65"/>
      <c r="Q101" s="65"/>
      <c r="R101" s="65"/>
      <c r="S101" s="65"/>
      <c r="T101" s="66">
        <f>SUM(E101:S101)</f>
        <v>270300000</v>
      </c>
      <c r="U101" s="59"/>
    </row>
    <row r="102" spans="1:21" s="32" customFormat="1" ht="21.75" customHeight="1">
      <c r="A102" s="95"/>
      <c r="B102" s="62" t="s">
        <v>102</v>
      </c>
      <c r="C102" s="72"/>
      <c r="D102" s="70"/>
      <c r="E102" s="79">
        <v>63000000</v>
      </c>
      <c r="F102" s="79"/>
      <c r="G102" s="79"/>
      <c r="H102" s="79">
        <v>120000000</v>
      </c>
      <c r="I102" s="79"/>
      <c r="J102" s="79"/>
      <c r="K102" s="79"/>
      <c r="L102" s="79"/>
      <c r="M102" s="79"/>
      <c r="N102" s="121">
        <v>55000000</v>
      </c>
      <c r="O102" s="79"/>
      <c r="P102" s="79"/>
      <c r="Q102" s="79"/>
      <c r="R102" s="79">
        <v>54000000</v>
      </c>
      <c r="S102" s="79">
        <v>54000000</v>
      </c>
      <c r="T102" s="66">
        <f>SUM(E102:S102)</f>
        <v>346000000</v>
      </c>
      <c r="U102" s="59"/>
    </row>
    <row r="103" spans="1:21" s="32" customFormat="1" ht="21.75" customHeight="1">
      <c r="A103" s="95"/>
      <c r="B103" s="62" t="s">
        <v>103</v>
      </c>
      <c r="C103" s="72"/>
      <c r="D103" s="70"/>
      <c r="E103" s="79">
        <v>3675000</v>
      </c>
      <c r="F103" s="79"/>
      <c r="G103" s="79">
        <v>500000</v>
      </c>
      <c r="H103" s="79">
        <v>7600000</v>
      </c>
      <c r="I103" s="79"/>
      <c r="J103" s="79"/>
      <c r="K103" s="79"/>
      <c r="L103" s="79"/>
      <c r="M103" s="79"/>
      <c r="N103" s="121"/>
      <c r="O103" s="57"/>
      <c r="P103" s="65"/>
      <c r="Q103" s="65"/>
      <c r="R103" s="65"/>
      <c r="S103" s="65"/>
      <c r="T103" s="66">
        <f>SUM(E103:S103)</f>
        <v>11775000</v>
      </c>
      <c r="U103" s="59"/>
    </row>
    <row r="104" spans="1:21" s="32" customFormat="1" ht="21.75" customHeight="1">
      <c r="A104" s="95"/>
      <c r="B104" s="62" t="s">
        <v>104</v>
      </c>
      <c r="C104" s="72"/>
      <c r="D104" s="70"/>
      <c r="E104" s="79"/>
      <c r="F104" s="79">
        <v>100000000</v>
      </c>
      <c r="G104" s="79">
        <v>30000000</v>
      </c>
      <c r="H104" s="79">
        <v>18000000</v>
      </c>
      <c r="I104" s="79"/>
      <c r="J104" s="79"/>
      <c r="K104" s="79"/>
      <c r="L104" s="79"/>
      <c r="M104" s="79"/>
      <c r="N104" s="121"/>
      <c r="O104" s="57"/>
      <c r="P104" s="65">
        <f>12*12000*365</f>
        <v>52560000</v>
      </c>
      <c r="Q104" s="65"/>
      <c r="R104" s="65"/>
      <c r="S104" s="65"/>
      <c r="T104" s="66">
        <f>SUM(E104:S104)</f>
        <v>200560000</v>
      </c>
      <c r="U104" s="59"/>
    </row>
    <row r="105" spans="1:21" s="32" customFormat="1" ht="21.75" customHeight="1">
      <c r="A105" s="95"/>
      <c r="B105" s="62" t="s">
        <v>105</v>
      </c>
      <c r="C105" s="72"/>
      <c r="D105" s="70"/>
      <c r="E105" s="79"/>
      <c r="F105" s="79">
        <v>80000000</v>
      </c>
      <c r="G105" s="79"/>
      <c r="H105" s="79"/>
      <c r="I105" s="79"/>
      <c r="J105" s="79"/>
      <c r="K105" s="79"/>
      <c r="L105" s="79"/>
      <c r="M105" s="79"/>
      <c r="N105" s="121"/>
      <c r="O105" s="57"/>
      <c r="P105" s="65">
        <v>1500000</v>
      </c>
      <c r="Q105" s="65"/>
      <c r="R105" s="65"/>
      <c r="S105" s="65"/>
      <c r="T105" s="66">
        <f>SUM(E105:S105)</f>
        <v>81500000</v>
      </c>
      <c r="U105" s="59"/>
    </row>
    <row r="106" spans="1:21" s="32" customFormat="1" ht="21.75" customHeight="1">
      <c r="A106" s="95"/>
      <c r="B106" s="62" t="s">
        <v>106</v>
      </c>
      <c r="C106" s="72"/>
      <c r="D106" s="70"/>
      <c r="E106" s="79">
        <v>30000000</v>
      </c>
      <c r="F106" s="79"/>
      <c r="G106" s="79"/>
      <c r="H106" s="79"/>
      <c r="I106" s="79"/>
      <c r="J106" s="79"/>
      <c r="K106" s="79"/>
      <c r="L106" s="79"/>
      <c r="M106" s="79"/>
      <c r="N106" s="121"/>
      <c r="O106" s="57"/>
      <c r="P106" s="65"/>
      <c r="Q106" s="65"/>
      <c r="R106" s="65"/>
      <c r="S106" s="65"/>
      <c r="T106" s="66">
        <f>SUM(E106:S106)</f>
        <v>30000000</v>
      </c>
      <c r="U106" s="59"/>
    </row>
    <row r="107" spans="1:21" s="32" customFormat="1" ht="21.75" customHeight="1">
      <c r="A107" s="95"/>
      <c r="B107" s="62" t="s">
        <v>107</v>
      </c>
      <c r="C107" s="72"/>
      <c r="D107" s="70"/>
      <c r="E107" s="79"/>
      <c r="F107" s="79">
        <v>460000000</v>
      </c>
      <c r="G107" s="79"/>
      <c r="H107" s="79"/>
      <c r="I107" s="79"/>
      <c r="J107" s="79"/>
      <c r="K107" s="79"/>
      <c r="L107" s="79"/>
      <c r="M107" s="79"/>
      <c r="N107" s="121"/>
      <c r="O107" s="57"/>
      <c r="P107" s="65"/>
      <c r="Q107" s="65"/>
      <c r="R107" s="65"/>
      <c r="S107" s="65"/>
      <c r="T107" s="66">
        <f>SUM(E107:S107)</f>
        <v>460000000</v>
      </c>
      <c r="U107" s="59"/>
    </row>
    <row r="108" spans="1:21" s="32" customFormat="1" ht="21.75" customHeight="1">
      <c r="A108" s="95"/>
      <c r="B108" s="62" t="s">
        <v>108</v>
      </c>
      <c r="C108" s="72"/>
      <c r="D108" s="70"/>
      <c r="E108" s="79"/>
      <c r="F108" s="79"/>
      <c r="G108" s="79">
        <v>56000000</v>
      </c>
      <c r="H108" s="79"/>
      <c r="I108" s="79"/>
      <c r="J108" s="79"/>
      <c r="K108" s="79">
        <v>70000000</v>
      </c>
      <c r="L108" s="79"/>
      <c r="M108" s="79">
        <v>260400000</v>
      </c>
      <c r="N108" s="121"/>
      <c r="O108" s="57">
        <v>80000000</v>
      </c>
      <c r="P108" s="65">
        <v>209626000</v>
      </c>
      <c r="Q108" s="65">
        <v>59000000</v>
      </c>
      <c r="R108" s="65">
        <f>30000000+2000000+12000000</f>
        <v>44000000</v>
      </c>
      <c r="S108" s="65">
        <v>20000000</v>
      </c>
      <c r="T108" s="66">
        <f>SUM(E108:S108)</f>
        <v>799026000</v>
      </c>
      <c r="U108" s="59"/>
    </row>
    <row r="109" spans="1:21" s="32" customFormat="1" ht="21.75" customHeight="1">
      <c r="A109" s="95"/>
      <c r="B109" s="62" t="s">
        <v>109</v>
      </c>
      <c r="C109" s="72"/>
      <c r="D109" s="70"/>
      <c r="E109" s="79">
        <v>2600000</v>
      </c>
      <c r="F109" s="79">
        <v>10500000</v>
      </c>
      <c r="G109" s="79">
        <v>1700000</v>
      </c>
      <c r="H109" s="79"/>
      <c r="I109" s="79"/>
      <c r="J109" s="79"/>
      <c r="K109" s="79">
        <v>2100000</v>
      </c>
      <c r="L109" s="79">
        <v>500000</v>
      </c>
      <c r="M109" s="79"/>
      <c r="N109" s="121"/>
      <c r="O109" s="57"/>
      <c r="P109" s="65"/>
      <c r="Q109" s="65"/>
      <c r="R109" s="65"/>
      <c r="S109" s="65"/>
      <c r="T109" s="66">
        <f>SUM(E109:S109)</f>
        <v>17400000</v>
      </c>
      <c r="U109" s="59"/>
    </row>
    <row r="110" spans="1:21" s="32" customFormat="1" ht="21.75" customHeight="1">
      <c r="A110" s="95"/>
      <c r="B110" s="62" t="s">
        <v>110</v>
      </c>
      <c r="C110" s="72"/>
      <c r="D110" s="70"/>
      <c r="E110" s="79">
        <v>1500000</v>
      </c>
      <c r="F110" s="79">
        <v>9450000</v>
      </c>
      <c r="G110" s="79">
        <v>1500000</v>
      </c>
      <c r="H110" s="79"/>
      <c r="I110" s="79"/>
      <c r="J110" s="79"/>
      <c r="K110" s="79">
        <v>1700000</v>
      </c>
      <c r="L110" s="79">
        <v>530000</v>
      </c>
      <c r="M110" s="79"/>
      <c r="N110" s="121"/>
      <c r="O110" s="57"/>
      <c r="P110" s="65"/>
      <c r="Q110" s="65"/>
      <c r="R110" s="65"/>
      <c r="S110" s="65"/>
      <c r="T110" s="66">
        <f>SUM(E110:S110)</f>
        <v>14680000</v>
      </c>
      <c r="U110" s="59"/>
    </row>
    <row r="111" spans="1:21" s="32" customFormat="1" ht="21.75" customHeight="1">
      <c r="A111" s="95"/>
      <c r="B111" s="62" t="s">
        <v>111</v>
      </c>
      <c r="C111" s="72"/>
      <c r="D111" s="70"/>
      <c r="E111" s="79">
        <v>1100000</v>
      </c>
      <c r="F111" s="79">
        <v>3990000</v>
      </c>
      <c r="G111" s="79"/>
      <c r="H111" s="79"/>
      <c r="I111" s="79"/>
      <c r="J111" s="79"/>
      <c r="K111" s="79"/>
      <c r="L111" s="79"/>
      <c r="M111" s="79"/>
      <c r="N111" s="121"/>
      <c r="O111" s="57"/>
      <c r="P111" s="65">
        <v>4700000</v>
      </c>
      <c r="Q111" s="65"/>
      <c r="R111" s="65"/>
      <c r="S111" s="65"/>
      <c r="T111" s="66">
        <f>SUM(E111:S111)</f>
        <v>9790000</v>
      </c>
      <c r="U111" s="59"/>
    </row>
    <row r="112" spans="1:21" s="32" customFormat="1" ht="21.75" customHeight="1">
      <c r="A112" s="95"/>
      <c r="B112" s="62" t="s">
        <v>112</v>
      </c>
      <c r="C112" s="72"/>
      <c r="D112" s="70"/>
      <c r="E112" s="79">
        <v>13000000</v>
      </c>
      <c r="F112" s="79">
        <v>6000000</v>
      </c>
      <c r="G112" s="79">
        <v>1000000</v>
      </c>
      <c r="H112" s="79">
        <v>1100000</v>
      </c>
      <c r="I112" s="79">
        <v>2000000</v>
      </c>
      <c r="J112" s="79">
        <v>2000000</v>
      </c>
      <c r="K112" s="79">
        <v>1400000</v>
      </c>
      <c r="L112" s="79">
        <v>50000</v>
      </c>
      <c r="M112" s="79">
        <v>2150000</v>
      </c>
      <c r="N112" s="121">
        <v>6000000</v>
      </c>
      <c r="O112" s="57"/>
      <c r="P112" s="65">
        <v>450000</v>
      </c>
      <c r="Q112" s="65"/>
      <c r="R112" s="65"/>
      <c r="S112" s="65"/>
      <c r="T112" s="66">
        <f>SUM(E112:S112)</f>
        <v>35150000</v>
      </c>
      <c r="U112" s="59"/>
    </row>
    <row r="113" spans="1:21" s="32" customFormat="1" ht="21.75" customHeight="1">
      <c r="A113" s="95"/>
      <c r="B113" s="62" t="s">
        <v>113</v>
      </c>
      <c r="C113" s="72"/>
      <c r="D113" s="70"/>
      <c r="E113" s="79">
        <v>8500000</v>
      </c>
      <c r="F113" s="79">
        <v>7350000</v>
      </c>
      <c r="G113" s="79">
        <v>750000</v>
      </c>
      <c r="H113" s="79">
        <v>100000</v>
      </c>
      <c r="I113" s="79">
        <v>300000</v>
      </c>
      <c r="J113" s="79">
        <v>300000</v>
      </c>
      <c r="K113" s="79">
        <v>100000</v>
      </c>
      <c r="L113" s="79"/>
      <c r="M113" s="79">
        <v>850000</v>
      </c>
      <c r="N113" s="121">
        <v>1500000</v>
      </c>
      <c r="O113" s="57">
        <v>1800000</v>
      </c>
      <c r="P113" s="65"/>
      <c r="Q113" s="65"/>
      <c r="R113" s="65"/>
      <c r="S113" s="65"/>
      <c r="T113" s="66">
        <f>SUM(E113:S113)</f>
        <v>21550000</v>
      </c>
      <c r="U113" s="59"/>
    </row>
    <row r="114" spans="1:21" s="32" customFormat="1" ht="21.75" customHeight="1">
      <c r="A114" s="95"/>
      <c r="B114" s="62" t="s">
        <v>114</v>
      </c>
      <c r="C114" s="72"/>
      <c r="D114" s="70"/>
      <c r="E114" s="79">
        <f>5792963+5671958-25406</f>
        <v>11439515</v>
      </c>
      <c r="F114" s="79">
        <v>3500000</v>
      </c>
      <c r="G114" s="79">
        <v>2500000</v>
      </c>
      <c r="H114" s="79">
        <v>750000</v>
      </c>
      <c r="I114" s="79">
        <v>5000000</v>
      </c>
      <c r="J114" s="79">
        <v>4500000</v>
      </c>
      <c r="K114" s="79">
        <v>600000</v>
      </c>
      <c r="L114" s="79"/>
      <c r="M114" s="79">
        <f>735000+5000000</f>
        <v>5735000</v>
      </c>
      <c r="N114" s="121">
        <v>1500000</v>
      </c>
      <c r="O114" s="57">
        <v>5100000</v>
      </c>
      <c r="P114" s="65">
        <v>2500000</v>
      </c>
      <c r="Q114" s="65"/>
      <c r="R114" s="65"/>
      <c r="S114" s="65"/>
      <c r="T114" s="66">
        <f>SUM(E114:S114)</f>
        <v>43124515</v>
      </c>
      <c r="U114" s="59"/>
    </row>
    <row r="115" spans="1:21" s="32" customFormat="1" ht="21.75" customHeight="1">
      <c r="A115" s="95"/>
      <c r="B115" s="88" t="s">
        <v>115</v>
      </c>
      <c r="C115" s="89"/>
      <c r="D115" s="81"/>
      <c r="E115" s="78">
        <v>500000</v>
      </c>
      <c r="F115" s="78">
        <v>500000</v>
      </c>
      <c r="G115" s="78">
        <v>500000</v>
      </c>
      <c r="H115" s="78"/>
      <c r="I115" s="78"/>
      <c r="J115" s="78"/>
      <c r="K115" s="78"/>
      <c r="L115" s="78"/>
      <c r="M115" s="78">
        <v>0</v>
      </c>
      <c r="N115" s="124"/>
      <c r="O115" s="64"/>
      <c r="P115" s="65"/>
      <c r="Q115" s="65"/>
      <c r="R115" s="65"/>
      <c r="S115" s="65"/>
      <c r="T115" s="66">
        <f>SUM(E115:S115)</f>
        <v>1500000</v>
      </c>
      <c r="U115" s="59"/>
    </row>
    <row r="116" spans="1:21" s="32" customFormat="1" ht="21.75" customHeight="1">
      <c r="A116" s="95"/>
      <c r="B116" s="62" t="s">
        <v>116</v>
      </c>
      <c r="C116" s="72"/>
      <c r="D116" s="70"/>
      <c r="E116" s="79">
        <v>1000000</v>
      </c>
      <c r="F116" s="79"/>
      <c r="G116" s="79"/>
      <c r="H116" s="79"/>
      <c r="I116" s="79"/>
      <c r="J116" s="79"/>
      <c r="K116" s="79"/>
      <c r="L116" s="79"/>
      <c r="M116" s="79">
        <v>1000000</v>
      </c>
      <c r="N116" s="121"/>
      <c r="O116" s="57"/>
      <c r="P116" s="65"/>
      <c r="Q116" s="65"/>
      <c r="R116" s="65"/>
      <c r="S116" s="65"/>
      <c r="T116" s="66">
        <f>SUM(E116:S116)</f>
        <v>2000000</v>
      </c>
      <c r="U116" s="59"/>
    </row>
    <row r="117" spans="1:21" s="32" customFormat="1" ht="21.75" customHeight="1">
      <c r="A117" s="95"/>
      <c r="B117" s="62" t="s">
        <v>117</v>
      </c>
      <c r="C117" s="72"/>
      <c r="D117" s="70"/>
      <c r="E117" s="79">
        <v>6000000</v>
      </c>
      <c r="F117" s="79"/>
      <c r="G117" s="79"/>
      <c r="H117" s="79"/>
      <c r="I117" s="79">
        <v>1500000</v>
      </c>
      <c r="J117" s="79">
        <v>1500000</v>
      </c>
      <c r="K117" s="79"/>
      <c r="L117" s="79"/>
      <c r="M117" s="79">
        <v>500000</v>
      </c>
      <c r="N117" s="121"/>
      <c r="O117" s="57"/>
      <c r="P117" s="65"/>
      <c r="Q117" s="65"/>
      <c r="R117" s="65"/>
      <c r="S117" s="65"/>
      <c r="T117" s="66">
        <f>SUM(E117:S117)</f>
        <v>9500000</v>
      </c>
      <c r="U117" s="59"/>
    </row>
    <row r="118" spans="1:21" s="32" customFormat="1" ht="21.75" customHeight="1">
      <c r="A118" s="58"/>
      <c r="B118" s="62" t="s">
        <v>118</v>
      </c>
      <c r="C118" s="72"/>
      <c r="D118" s="70"/>
      <c r="E118" s="79"/>
      <c r="F118" s="79"/>
      <c r="G118" s="79"/>
      <c r="H118" s="79"/>
      <c r="I118" s="79">
        <v>9000000</v>
      </c>
      <c r="J118" s="79">
        <v>5000000</v>
      </c>
      <c r="K118" s="79"/>
      <c r="L118" s="79"/>
      <c r="M118" s="79"/>
      <c r="N118" s="121"/>
      <c r="O118" s="57"/>
      <c r="P118" s="65"/>
      <c r="Q118" s="65"/>
      <c r="R118" s="65"/>
      <c r="S118" s="65"/>
      <c r="T118" s="66">
        <f>SUM(E118:S118)</f>
        <v>14000000</v>
      </c>
      <c r="U118" s="132"/>
    </row>
    <row r="119" spans="1:21" ht="15.75" customHeight="1">
      <c r="A119" s="14"/>
      <c r="B119" s="15"/>
      <c r="C119" s="1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7"/>
      <c r="U119" s="16"/>
    </row>
    <row r="120" spans="1:21" ht="30" customHeight="1">
      <c r="A120" s="14"/>
      <c r="B120" s="15"/>
      <c r="C120" s="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7"/>
      <c r="U120" s="16"/>
    </row>
    <row r="121" spans="1:21" ht="1.5" customHeight="1">
      <c r="A121" s="14"/>
      <c r="B121" s="15"/>
      <c r="C121" s="1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7"/>
      <c r="U121" s="16"/>
    </row>
    <row r="122" spans="1:21" ht="3" customHeight="1">
      <c r="A122" s="14"/>
      <c r="B122" s="15"/>
      <c r="C122" s="1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7"/>
      <c r="U122" s="16"/>
    </row>
    <row r="123" spans="1:21" ht="20.25" customHeight="1">
      <c r="A123" s="14"/>
      <c r="B123" s="15"/>
      <c r="C123" s="1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7"/>
      <c r="U123" s="16"/>
    </row>
    <row r="124" spans="1:21" ht="123" customHeight="1">
      <c r="A124" s="14"/>
      <c r="B124" s="15"/>
      <c r="C124" s="1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7"/>
      <c r="U124" s="16"/>
    </row>
    <row r="125" spans="1:21" s="32" customFormat="1" ht="21.75" customHeight="1">
      <c r="A125" s="28"/>
      <c r="B125" s="28"/>
      <c r="C125" s="28"/>
      <c r="D125" s="28"/>
      <c r="E125" s="29" t="s">
        <v>204</v>
      </c>
      <c r="F125" s="30" t="s">
        <v>205</v>
      </c>
      <c r="G125" s="31" t="s">
        <v>206</v>
      </c>
      <c r="H125" s="30" t="s">
        <v>207</v>
      </c>
      <c r="I125" s="31" t="s">
        <v>208</v>
      </c>
      <c r="J125" s="31" t="s">
        <v>208</v>
      </c>
      <c r="K125" s="31" t="s">
        <v>205</v>
      </c>
      <c r="L125" s="31" t="s">
        <v>205</v>
      </c>
      <c r="M125" s="31" t="s">
        <v>206</v>
      </c>
      <c r="N125" s="29" t="s">
        <v>209</v>
      </c>
      <c r="O125" s="31" t="s">
        <v>210</v>
      </c>
      <c r="P125" s="31" t="s">
        <v>211</v>
      </c>
      <c r="Q125" s="31" t="s">
        <v>212</v>
      </c>
      <c r="R125" s="31" t="s">
        <v>213</v>
      </c>
      <c r="S125" s="31" t="s">
        <v>214</v>
      </c>
      <c r="T125" s="29" t="s">
        <v>215</v>
      </c>
      <c r="U125" s="29" t="s">
        <v>215</v>
      </c>
    </row>
    <row r="126" spans="1:21" s="32" customFormat="1" ht="21.75" customHeight="1">
      <c r="A126" s="28"/>
      <c r="B126" s="28"/>
      <c r="C126" s="28"/>
      <c r="D126" s="28"/>
      <c r="E126" s="33" t="s">
        <v>216</v>
      </c>
      <c r="F126" s="34" t="s">
        <v>217</v>
      </c>
      <c r="G126" s="34" t="s">
        <v>218</v>
      </c>
      <c r="H126" s="34" t="s">
        <v>219</v>
      </c>
      <c r="I126" s="35" t="s">
        <v>220</v>
      </c>
      <c r="J126" s="35" t="s">
        <v>221</v>
      </c>
      <c r="K126" s="35" t="s">
        <v>222</v>
      </c>
      <c r="L126" s="35" t="s">
        <v>223</v>
      </c>
      <c r="M126" s="34" t="s">
        <v>224</v>
      </c>
      <c r="N126" s="33" t="s">
        <v>225</v>
      </c>
      <c r="O126" s="34" t="s">
        <v>226</v>
      </c>
      <c r="P126" s="34" t="s">
        <v>227</v>
      </c>
      <c r="Q126" s="34"/>
      <c r="R126" s="34"/>
      <c r="S126" s="34"/>
      <c r="T126" s="33" t="s">
        <v>228</v>
      </c>
      <c r="U126" s="33" t="s">
        <v>66</v>
      </c>
    </row>
    <row r="127" spans="1:21" s="32" customFormat="1" ht="21.75" customHeight="1">
      <c r="A127" s="72"/>
      <c r="B127" s="72"/>
      <c r="C127" s="72"/>
      <c r="D127" s="72"/>
      <c r="E127" s="36" t="s">
        <v>2</v>
      </c>
      <c r="F127" s="37" t="s">
        <v>3</v>
      </c>
      <c r="G127" s="38"/>
      <c r="H127" s="37" t="s">
        <v>4</v>
      </c>
      <c r="I127" s="40"/>
      <c r="J127" s="40"/>
      <c r="K127" s="40"/>
      <c r="L127" s="40"/>
      <c r="M127" s="38" t="s">
        <v>5</v>
      </c>
      <c r="N127" s="41" t="s">
        <v>6</v>
      </c>
      <c r="O127" s="38"/>
      <c r="P127" s="38"/>
      <c r="Q127" s="38"/>
      <c r="R127" s="38"/>
      <c r="S127" s="38"/>
      <c r="T127" s="36" t="s">
        <v>229</v>
      </c>
      <c r="U127" s="36"/>
    </row>
    <row r="128" spans="1:21" s="32" customFormat="1" ht="21.75" customHeight="1">
      <c r="A128" s="133" t="s">
        <v>119</v>
      </c>
      <c r="B128" s="118"/>
      <c r="C128" s="84"/>
      <c r="D128" s="85"/>
      <c r="E128" s="170">
        <f>SUM(E129:E132)</f>
        <v>79500000</v>
      </c>
      <c r="F128" s="170">
        <f>SUM(F129:F132)</f>
        <v>11500000</v>
      </c>
      <c r="G128" s="170">
        <f>SUM(G129:G132)</f>
        <v>0</v>
      </c>
      <c r="H128" s="170">
        <f>SUM(H129:H132)</f>
        <v>0</v>
      </c>
      <c r="I128" s="170">
        <f>SUM(I129:I132)</f>
        <v>28500000</v>
      </c>
      <c r="J128" s="170">
        <f>SUM(J129:J132)</f>
        <v>44500000</v>
      </c>
      <c r="K128" s="170">
        <f>SUM(K129:K132)</f>
        <v>1500000</v>
      </c>
      <c r="L128" s="170">
        <f>SUM(L129:L132)</f>
        <v>0</v>
      </c>
      <c r="M128" s="170">
        <f>SUM(M129:M132)</f>
        <v>1500000</v>
      </c>
      <c r="N128" s="170">
        <f>SUM(N129:N132)</f>
        <v>1500000</v>
      </c>
      <c r="O128" s="170">
        <f>SUM(O129:O132)</f>
        <v>0</v>
      </c>
      <c r="P128" s="170">
        <f>SUM(P129:P132)</f>
        <v>1970000</v>
      </c>
      <c r="Q128" s="170">
        <f>SUM(Q129:Q132)</f>
        <v>1500000</v>
      </c>
      <c r="R128" s="170">
        <f>SUM(R129:R132)</f>
        <v>1500000</v>
      </c>
      <c r="S128" s="170">
        <f>SUM(S129:S132)</f>
        <v>1500000</v>
      </c>
      <c r="T128" s="170">
        <f>SUM(T129:T132)</f>
        <v>174970000</v>
      </c>
      <c r="U128" s="170">
        <f>SUM(U129:U132)</f>
        <v>0</v>
      </c>
    </row>
    <row r="129" spans="1:21" s="32" customFormat="1" ht="21.75" customHeight="1">
      <c r="A129" s="95"/>
      <c r="B129" s="62" t="s">
        <v>120</v>
      </c>
      <c r="C129" s="72"/>
      <c r="D129" s="70"/>
      <c r="E129" s="79"/>
      <c r="F129" s="79"/>
      <c r="G129" s="79"/>
      <c r="H129" s="79"/>
      <c r="I129" s="79">
        <v>27000000</v>
      </c>
      <c r="J129" s="79">
        <v>38000000</v>
      </c>
      <c r="K129" s="79"/>
      <c r="L129" s="79"/>
      <c r="M129" s="79"/>
      <c r="N129" s="121"/>
      <c r="O129" s="58"/>
      <c r="P129" s="57"/>
      <c r="Q129" s="70"/>
      <c r="R129" s="57"/>
      <c r="S129" s="70"/>
      <c r="T129" s="97">
        <f>SUM(E129:S129)</f>
        <v>65000000</v>
      </c>
      <c r="U129" s="59"/>
    </row>
    <row r="130" spans="1:21" s="32" customFormat="1" ht="21.75" customHeight="1">
      <c r="A130" s="95"/>
      <c r="B130" s="62" t="s">
        <v>121</v>
      </c>
      <c r="C130" s="72"/>
      <c r="D130" s="70"/>
      <c r="E130" s="79"/>
      <c r="F130" s="79"/>
      <c r="G130" s="79"/>
      <c r="H130" s="79"/>
      <c r="I130" s="79"/>
      <c r="J130" s="79">
        <v>5000000</v>
      </c>
      <c r="K130" s="79"/>
      <c r="L130" s="79"/>
      <c r="M130" s="79"/>
      <c r="N130" s="121"/>
      <c r="O130" s="58"/>
      <c r="P130" s="64">
        <f>1800000+170000</f>
        <v>1970000</v>
      </c>
      <c r="Q130" s="70"/>
      <c r="R130" s="64"/>
      <c r="S130" s="70"/>
      <c r="T130" s="66">
        <f>SUM(E130:S130)</f>
        <v>6970000</v>
      </c>
      <c r="U130" s="59"/>
    </row>
    <row r="131" spans="1:21" s="32" customFormat="1" ht="21.75" customHeight="1">
      <c r="A131" s="95"/>
      <c r="B131" s="62" t="s">
        <v>122</v>
      </c>
      <c r="C131" s="72"/>
      <c r="D131" s="70"/>
      <c r="E131" s="79">
        <v>79500000</v>
      </c>
      <c r="F131" s="79">
        <v>11500000</v>
      </c>
      <c r="G131" s="79"/>
      <c r="H131" s="79"/>
      <c r="I131" s="79">
        <v>1500000</v>
      </c>
      <c r="J131" s="79">
        <v>1500000</v>
      </c>
      <c r="K131" s="79">
        <v>1500000</v>
      </c>
      <c r="L131" s="79"/>
      <c r="M131" s="79">
        <v>1500000</v>
      </c>
      <c r="N131" s="121">
        <v>1500000</v>
      </c>
      <c r="O131" s="58"/>
      <c r="P131" s="64"/>
      <c r="Q131" s="70">
        <v>1500000</v>
      </c>
      <c r="R131" s="64">
        <v>1500000</v>
      </c>
      <c r="S131" s="70">
        <v>1500000</v>
      </c>
      <c r="T131" s="66">
        <f>SUM(E131:S131)</f>
        <v>103000000</v>
      </c>
      <c r="U131" s="59"/>
    </row>
    <row r="132" spans="1:21" s="32" customFormat="1" ht="21.75" customHeight="1">
      <c r="A132" s="95"/>
      <c r="B132" s="62" t="s">
        <v>123</v>
      </c>
      <c r="C132" s="72"/>
      <c r="D132" s="70"/>
      <c r="E132" s="79"/>
      <c r="F132" s="79"/>
      <c r="G132" s="79"/>
      <c r="H132" s="79"/>
      <c r="I132" s="79"/>
      <c r="J132" s="79"/>
      <c r="K132" s="79"/>
      <c r="L132" s="79"/>
      <c r="M132" s="79"/>
      <c r="N132" s="121"/>
      <c r="O132" s="58"/>
      <c r="P132" s="64"/>
      <c r="Q132" s="64"/>
      <c r="R132" s="64"/>
      <c r="S132" s="70"/>
      <c r="T132" s="91">
        <f>SUM(E132:S132)</f>
        <v>0</v>
      </c>
      <c r="U132" s="59"/>
    </row>
    <row r="133" spans="1:21" s="32" customFormat="1" ht="21.75" customHeight="1">
      <c r="A133" s="95"/>
      <c r="B133" s="55"/>
      <c r="C133" s="134"/>
      <c r="D133" s="56"/>
      <c r="E133" s="46"/>
      <c r="F133" s="46"/>
      <c r="G133" s="46"/>
      <c r="H133" s="46"/>
      <c r="I133" s="46"/>
      <c r="J133" s="46"/>
      <c r="K133" s="46"/>
      <c r="L133" s="46"/>
      <c r="M133" s="46"/>
      <c r="N133" s="47"/>
      <c r="O133" s="48"/>
      <c r="P133" s="48"/>
      <c r="Q133" s="48"/>
      <c r="R133" s="48"/>
      <c r="S133" s="48"/>
      <c r="T133" s="135"/>
      <c r="U133" s="94"/>
    </row>
    <row r="134" spans="1:21" s="32" customFormat="1" ht="21.75" customHeight="1">
      <c r="A134" s="76" t="s">
        <v>124</v>
      </c>
      <c r="B134" s="118"/>
      <c r="C134" s="84"/>
      <c r="D134" s="85"/>
      <c r="E134" s="175">
        <f>SUM(E135:E140)</f>
        <v>3311669308.56</v>
      </c>
      <c r="F134" s="175">
        <f>SUM(F135:F140)</f>
        <v>441559599.8</v>
      </c>
      <c r="G134" s="175">
        <f>SUM(G135:G140)</f>
        <v>94598472.32</v>
      </c>
      <c r="H134" s="175">
        <f>SUM(H135:H140)</f>
        <v>0</v>
      </c>
      <c r="I134" s="175">
        <f>SUM(I135:I140)</f>
        <v>244793375</v>
      </c>
      <c r="J134" s="175">
        <f>SUM(J135:J140)</f>
        <v>150932354.36</v>
      </c>
      <c r="K134" s="175">
        <f>SUM(K135:K140)</f>
        <v>45190571.4</v>
      </c>
      <c r="L134" s="175">
        <f>SUM(L135:L140)</f>
        <v>36813782.8</v>
      </c>
      <c r="M134" s="175">
        <f>SUM(M135:M140)</f>
        <v>31330886.2</v>
      </c>
      <c r="N134" s="175">
        <f>SUM(N135:N140)</f>
        <v>31330886.2</v>
      </c>
      <c r="O134" s="175">
        <f>SUM(O135:O140)</f>
        <v>136838924.48</v>
      </c>
      <c r="P134" s="175">
        <f>SUM(P135:P140)</f>
        <v>30848970</v>
      </c>
      <c r="Q134" s="175">
        <f>SUM(Q135:Q140)</f>
        <v>0</v>
      </c>
      <c r="R134" s="175">
        <f>SUM(R135:R140)</f>
        <v>0</v>
      </c>
      <c r="S134" s="175">
        <f>SUM(S135:S140)</f>
        <v>0</v>
      </c>
      <c r="T134" s="175">
        <f>SUM(T135:T140)</f>
        <v>4555907131.12</v>
      </c>
      <c r="U134" s="175">
        <f>SUM(U135:U140)</f>
        <v>0</v>
      </c>
    </row>
    <row r="135" spans="1:21" s="32" customFormat="1" ht="21.75" customHeight="1">
      <c r="A135" s="95"/>
      <c r="B135" s="62" t="s">
        <v>125</v>
      </c>
      <c r="C135" s="72"/>
      <c r="D135" s="70"/>
      <c r="E135" s="78">
        <f>(2218534785-148549033)+296700076+44000000+12000000+12000000</f>
        <v>2434685828</v>
      </c>
      <c r="F135" s="124">
        <f>(360088856-G135)+12000000+12000000</f>
        <v>314459890</v>
      </c>
      <c r="G135" s="64">
        <f>28856668+28772298+12000000</f>
        <v>69628966</v>
      </c>
      <c r="H135" s="90"/>
      <c r="I135" s="78">
        <f>77282140+42003905+41910305+12000000</f>
        <v>173196350</v>
      </c>
      <c r="J135" s="78">
        <f>42896474+23532401+28729593+12000000</f>
        <v>107158468</v>
      </c>
      <c r="K135" s="78">
        <v>28191620</v>
      </c>
      <c r="L135" s="78">
        <v>26752640</v>
      </c>
      <c r="M135" s="78">
        <f>14095810+10000000</f>
        <v>24095810</v>
      </c>
      <c r="N135" s="124">
        <f>14095810+10000000</f>
        <v>24095810</v>
      </c>
      <c r="O135" s="65">
        <f>30474843+28772298+30408283+6000000</f>
        <v>95655424</v>
      </c>
      <c r="P135" s="64">
        <v>24095810</v>
      </c>
      <c r="Q135" s="64"/>
      <c r="R135" s="64"/>
      <c r="S135" s="81"/>
      <c r="T135" s="91">
        <f>SUM(E135:S135)</f>
        <v>3322016616</v>
      </c>
      <c r="U135" s="59"/>
    </row>
    <row r="136" spans="1:21" s="32" customFormat="1" ht="21.75" customHeight="1">
      <c r="A136" s="95"/>
      <c r="B136" s="62" t="s">
        <v>126</v>
      </c>
      <c r="C136" s="72"/>
      <c r="D136" s="136"/>
      <c r="E136" s="79">
        <f>489332225+11308097+37035711+78180221+6000000</f>
        <v>621856254</v>
      </c>
      <c r="F136" s="79">
        <f>92247022-G136</f>
        <v>77407563</v>
      </c>
      <c r="G136" s="79">
        <f>7430592+7408867</f>
        <v>14839459</v>
      </c>
      <c r="H136" s="79"/>
      <c r="I136" s="79">
        <f>20054714+10900013+10875725</f>
        <v>41830452</v>
      </c>
      <c r="J136" s="79">
        <f>11082183+6106657+7455329</f>
        <v>24644169</v>
      </c>
      <c r="K136" s="79">
        <v>7428492</v>
      </c>
      <c r="L136" s="79">
        <v>7049321</v>
      </c>
      <c r="M136" s="79">
        <f>3714246+2000000</f>
        <v>5714246</v>
      </c>
      <c r="N136" s="121">
        <f>3714246+2000000</f>
        <v>5714246</v>
      </c>
      <c r="O136" s="58">
        <f>7694898+7265005+7678091+1800000</f>
        <v>24437994</v>
      </c>
      <c r="P136" s="64">
        <v>5714246</v>
      </c>
      <c r="Q136" s="70"/>
      <c r="R136" s="64"/>
      <c r="S136" s="70"/>
      <c r="T136" s="66">
        <f>SUM(E136:S136)</f>
        <v>836636442</v>
      </c>
      <c r="U136" s="59"/>
    </row>
    <row r="137" spans="1:21" s="32" customFormat="1" ht="21.75" customHeight="1">
      <c r="A137" s="95"/>
      <c r="B137" s="62" t="s">
        <v>127</v>
      </c>
      <c r="C137" s="72"/>
      <c r="D137" s="136"/>
      <c r="E137" s="79">
        <f>148549033+21871907</f>
        <v>170420940</v>
      </c>
      <c r="F137" s="79">
        <f>26403677-G137-18260</f>
        <v>22137949</v>
      </c>
      <c r="G137" s="79">
        <f>2126843+2120625</f>
        <v>4247468</v>
      </c>
      <c r="H137" s="79"/>
      <c r="I137" s="79">
        <f>5695980+3226190+3308476</f>
        <v>12230646</v>
      </c>
      <c r="J137" s="79">
        <f>3360254+1734425+2343869</f>
        <v>7438548</v>
      </c>
      <c r="K137" s="79">
        <v>2077827</v>
      </c>
      <c r="L137" s="79">
        <v>1971769</v>
      </c>
      <c r="M137" s="79">
        <v>1038914</v>
      </c>
      <c r="N137" s="121">
        <v>1038914</v>
      </c>
      <c r="O137" s="58">
        <f>2246109+2120656+2241203</f>
        <v>6607968</v>
      </c>
      <c r="P137" s="64">
        <v>1038914</v>
      </c>
      <c r="Q137" s="70"/>
      <c r="R137" s="64"/>
      <c r="S137" s="70"/>
      <c r="T137" s="66">
        <f>SUM(E137:S137)</f>
        <v>230249857</v>
      </c>
      <c r="U137" s="59"/>
    </row>
    <row r="138" spans="1:21" s="32" customFormat="1" ht="21.75" customHeight="1">
      <c r="A138" s="95"/>
      <c r="B138" s="62" t="s">
        <v>128</v>
      </c>
      <c r="C138" s="72"/>
      <c r="D138" s="136"/>
      <c r="E138" s="79">
        <v>8544450</v>
      </c>
      <c r="F138" s="122">
        <f>8080000-1150000</f>
        <v>6930000</v>
      </c>
      <c r="G138" s="79">
        <v>1150000</v>
      </c>
      <c r="H138" s="79"/>
      <c r="I138" s="79">
        <v>500000</v>
      </c>
      <c r="J138" s="79">
        <v>500000</v>
      </c>
      <c r="K138" s="79">
        <v>1500000</v>
      </c>
      <c r="L138" s="79">
        <v>505000</v>
      </c>
      <c r="M138" s="79"/>
      <c r="N138" s="121"/>
      <c r="O138" s="58">
        <v>1010000</v>
      </c>
      <c r="P138" s="64"/>
      <c r="Q138" s="70"/>
      <c r="R138" s="64"/>
      <c r="S138" s="70"/>
      <c r="T138" s="66">
        <f>SUM(E138:S138)</f>
        <v>20639450</v>
      </c>
      <c r="U138" s="59"/>
    </row>
    <row r="139" spans="1:21" s="32" customFormat="1" ht="21.75" customHeight="1">
      <c r="A139" s="95"/>
      <c r="B139" s="62" t="s">
        <v>129</v>
      </c>
      <c r="C139" s="72"/>
      <c r="D139" s="70"/>
      <c r="E139" s="79">
        <f>32896912+8-K139</f>
        <v>27468120</v>
      </c>
      <c r="F139" s="122">
        <f>17675000-G139</f>
        <v>14335000</v>
      </c>
      <c r="G139" s="79">
        <v>3340000</v>
      </c>
      <c r="H139" s="79"/>
      <c r="I139" s="79">
        <f>52*5*3*17400</f>
        <v>13572000</v>
      </c>
      <c r="J139" s="79">
        <f>52*5*2*17400</f>
        <v>9048000</v>
      </c>
      <c r="K139" s="79">
        <f>3*52*2*17400</f>
        <v>5428800</v>
      </c>
      <c r="L139" s="79"/>
      <c r="M139" s="79"/>
      <c r="N139" s="121"/>
      <c r="O139" s="58">
        <v>7214430</v>
      </c>
      <c r="P139" s="64"/>
      <c r="Q139" s="70"/>
      <c r="R139" s="64"/>
      <c r="S139" s="70"/>
      <c r="T139" s="66">
        <f>SUM(E139:S139)</f>
        <v>80406350</v>
      </c>
      <c r="U139" s="59"/>
    </row>
    <row r="140" spans="1:21" s="32" customFormat="1" ht="21.75" customHeight="1">
      <c r="A140" s="95"/>
      <c r="B140" s="62" t="s">
        <v>130</v>
      </c>
      <c r="C140" s="72"/>
      <c r="D140" s="70"/>
      <c r="E140" s="78">
        <f>E135*0.02</f>
        <v>48693716.56</v>
      </c>
      <c r="F140" s="78">
        <f>F135*0.02</f>
        <v>6289197.8</v>
      </c>
      <c r="G140" s="78">
        <f>G135*0.02</f>
        <v>1392579.32</v>
      </c>
      <c r="H140" s="78"/>
      <c r="I140" s="78">
        <f>I135*0.02</f>
        <v>3463927</v>
      </c>
      <c r="J140" s="78">
        <f>J135*0.02</f>
        <v>2143169.36</v>
      </c>
      <c r="K140" s="78">
        <f>K135*0.02</f>
        <v>563832.4</v>
      </c>
      <c r="L140" s="78">
        <f>L135*0.02</f>
        <v>535052.8</v>
      </c>
      <c r="M140" s="78">
        <f>M135*0.02</f>
        <v>481916.2</v>
      </c>
      <c r="N140" s="78">
        <f>N135*0.02</f>
        <v>481916.2</v>
      </c>
      <c r="O140" s="124">
        <f>O135*0.02</f>
        <v>1913108.48</v>
      </c>
      <c r="P140" s="64"/>
      <c r="Q140" s="81"/>
      <c r="R140" s="64"/>
      <c r="S140" s="69"/>
      <c r="T140" s="91">
        <f>SUM(E140:S140)</f>
        <v>65958416.12</v>
      </c>
      <c r="U140" s="59"/>
    </row>
    <row r="141" spans="1:21" s="32" customFormat="1" ht="21.75" customHeight="1">
      <c r="A141" s="95"/>
      <c r="B141" s="55"/>
      <c r="C141" s="134"/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94"/>
    </row>
    <row r="142" spans="1:21" s="32" customFormat="1" ht="21.75" customHeight="1">
      <c r="A142" s="76" t="s">
        <v>131</v>
      </c>
      <c r="B142" s="118"/>
      <c r="C142" s="84"/>
      <c r="D142" s="85"/>
      <c r="E142" s="171">
        <f>SUM(E143:E146)</f>
        <v>63000000</v>
      </c>
      <c r="F142" s="171">
        <f>SUM(F143:F146)</f>
        <v>0</v>
      </c>
      <c r="G142" s="171">
        <f>SUM(G143:G146)</f>
        <v>0</v>
      </c>
      <c r="H142" s="171">
        <f>SUM(H143:H146)</f>
        <v>20000000</v>
      </c>
      <c r="I142" s="171">
        <f>SUM(I143:I146)</f>
        <v>9000000</v>
      </c>
      <c r="J142" s="171">
        <f>SUM(J143:J146)</f>
        <v>13000000</v>
      </c>
      <c r="K142" s="171">
        <f>SUM(K143:K146)</f>
        <v>0</v>
      </c>
      <c r="L142" s="171">
        <f>SUM(L143:L146)</f>
        <v>0</v>
      </c>
      <c r="M142" s="171">
        <f>SUM(M143:M146)</f>
        <v>25000000</v>
      </c>
      <c r="N142" s="171">
        <f>SUM(N143:N146)</f>
        <v>0</v>
      </c>
      <c r="O142" s="171">
        <f>SUM(O143:O146)</f>
        <v>0</v>
      </c>
      <c r="P142" s="171">
        <f>SUM(P143:P146)</f>
        <v>0</v>
      </c>
      <c r="Q142" s="171">
        <f>SUM(Q143:Q146)</f>
        <v>0</v>
      </c>
      <c r="R142" s="171">
        <f>SUM(R143:R146)</f>
        <v>0</v>
      </c>
      <c r="S142" s="171">
        <f>SUM(S143:S146)</f>
        <v>0</v>
      </c>
      <c r="T142" s="171">
        <f>SUM(T143:T146)</f>
        <v>130000000</v>
      </c>
      <c r="U142" s="94"/>
    </row>
    <row r="143" spans="1:21" s="32" customFormat="1" ht="21.75" customHeight="1">
      <c r="A143" s="138"/>
      <c r="B143" s="62" t="s">
        <v>132</v>
      </c>
      <c r="C143" s="72"/>
      <c r="D143" s="70"/>
      <c r="E143" s="79"/>
      <c r="F143" s="79"/>
      <c r="G143" s="79"/>
      <c r="H143" s="79"/>
      <c r="I143" s="79"/>
      <c r="J143" s="79"/>
      <c r="K143" s="79"/>
      <c r="L143" s="79"/>
      <c r="M143" s="79"/>
      <c r="N143" s="121"/>
      <c r="O143" s="58"/>
      <c r="P143" s="57"/>
      <c r="Q143" s="70"/>
      <c r="R143" s="57"/>
      <c r="S143" s="70"/>
      <c r="T143" s="97">
        <f>SUM(E143:S143)</f>
        <v>0</v>
      </c>
      <c r="U143" s="59"/>
    </row>
    <row r="144" spans="1:21" s="32" customFormat="1" ht="21.75" customHeight="1">
      <c r="A144" s="138"/>
      <c r="B144" s="62" t="s">
        <v>133</v>
      </c>
      <c r="C144" s="72"/>
      <c r="D144" s="70"/>
      <c r="E144" s="79">
        <v>63000000</v>
      </c>
      <c r="F144" s="79"/>
      <c r="G144" s="79"/>
      <c r="H144" s="79">
        <v>20000000</v>
      </c>
      <c r="I144" s="79">
        <v>9000000</v>
      </c>
      <c r="J144" s="79">
        <v>13000000</v>
      </c>
      <c r="K144" s="79"/>
      <c r="L144" s="79"/>
      <c r="M144" s="79">
        <v>25000000</v>
      </c>
      <c r="N144" s="121"/>
      <c r="O144" s="58"/>
      <c r="P144" s="64"/>
      <c r="Q144" s="70"/>
      <c r="R144" s="64"/>
      <c r="S144" s="70"/>
      <c r="T144" s="66">
        <f>SUM(E144:S144)</f>
        <v>130000000</v>
      </c>
      <c r="U144" s="59"/>
    </row>
    <row r="145" spans="1:21" s="32" customFormat="1" ht="21.75" customHeight="1">
      <c r="A145" s="138"/>
      <c r="B145" s="62" t="s">
        <v>134</v>
      </c>
      <c r="C145" s="72"/>
      <c r="D145" s="70"/>
      <c r="E145" s="79"/>
      <c r="F145" s="79"/>
      <c r="G145" s="79"/>
      <c r="H145" s="79"/>
      <c r="I145" s="79"/>
      <c r="J145" s="79"/>
      <c r="K145" s="79"/>
      <c r="L145" s="79"/>
      <c r="M145" s="79"/>
      <c r="N145" s="121"/>
      <c r="O145" s="58"/>
      <c r="P145" s="64"/>
      <c r="Q145" s="70"/>
      <c r="R145" s="64"/>
      <c r="S145" s="70"/>
      <c r="T145" s="66">
        <f>SUM(E145:S145)</f>
        <v>0</v>
      </c>
      <c r="U145" s="59"/>
    </row>
    <row r="146" spans="1:21" s="32" customFormat="1" ht="21.75" customHeight="1">
      <c r="A146" s="138"/>
      <c r="B146" s="62" t="s">
        <v>135</v>
      </c>
      <c r="C146" s="72"/>
      <c r="D146" s="70"/>
      <c r="E146" s="79"/>
      <c r="F146" s="79"/>
      <c r="G146" s="79"/>
      <c r="H146" s="79"/>
      <c r="I146" s="79"/>
      <c r="J146" s="79"/>
      <c r="K146" s="79"/>
      <c r="L146" s="79"/>
      <c r="M146" s="79"/>
      <c r="N146" s="121"/>
      <c r="O146" s="58"/>
      <c r="P146" s="64"/>
      <c r="Q146" s="70"/>
      <c r="R146" s="64"/>
      <c r="S146" s="70"/>
      <c r="T146" s="91">
        <f>SUM(E146:S146)</f>
        <v>0</v>
      </c>
      <c r="U146" s="59"/>
    </row>
    <row r="147" spans="1:21" s="32" customFormat="1" ht="21.75" customHeight="1">
      <c r="A147" s="138"/>
      <c r="B147" s="55"/>
      <c r="C147" s="134"/>
      <c r="D147" s="56"/>
      <c r="E147" s="46"/>
      <c r="F147" s="46"/>
      <c r="G147" s="46"/>
      <c r="H147" s="46"/>
      <c r="I147" s="46"/>
      <c r="J147" s="46"/>
      <c r="K147" s="46"/>
      <c r="L147" s="46"/>
      <c r="M147" s="46"/>
      <c r="N147" s="47"/>
      <c r="O147" s="95"/>
      <c r="P147" s="48"/>
      <c r="Q147" s="56"/>
      <c r="R147" s="48"/>
      <c r="S147" s="48"/>
      <c r="T147" s="139">
        <f>SUM(E147:S147)</f>
        <v>0</v>
      </c>
      <c r="U147" s="59"/>
    </row>
    <row r="148" spans="1:21" s="32" customFormat="1" ht="21.75" customHeight="1">
      <c r="A148" s="76" t="s">
        <v>136</v>
      </c>
      <c r="B148" s="118" t="s">
        <v>137</v>
      </c>
      <c r="C148" s="84"/>
      <c r="D148" s="85"/>
      <c r="E148" s="172">
        <f>SUM(E149:E150)</f>
        <v>-15000000</v>
      </c>
      <c r="F148" s="172">
        <f>SUM(F149:F150)</f>
        <v>0</v>
      </c>
      <c r="G148" s="172">
        <f>SUM(G149:G150)</f>
        <v>0</v>
      </c>
      <c r="H148" s="172">
        <f>SUM(H149:H150)</f>
        <v>0</v>
      </c>
      <c r="I148" s="172">
        <f>SUM(I149:I150)</f>
        <v>5943966</v>
      </c>
      <c r="J148" s="172">
        <f>SUM(J149:J150)</f>
        <v>7189506</v>
      </c>
      <c r="K148" s="172">
        <f>SUM(K149:K150)</f>
        <v>0</v>
      </c>
      <c r="L148" s="172">
        <f>SUM(L149:L150)</f>
        <v>0</v>
      </c>
      <c r="M148" s="172">
        <f>SUM(M149:M150)</f>
        <v>0</v>
      </c>
      <c r="N148" s="172">
        <f>SUM(N149:N150)</f>
        <v>0</v>
      </c>
      <c r="O148" s="172">
        <f>SUM(O149:O150)</f>
        <v>0</v>
      </c>
      <c r="P148" s="172">
        <f>SUM(P149:P150)</f>
        <v>0</v>
      </c>
      <c r="Q148" s="172">
        <f>SUM(Q149:Q150)</f>
        <v>0</v>
      </c>
      <c r="R148" s="172">
        <f>SUM(R149:R150)</f>
        <v>0</v>
      </c>
      <c r="S148" s="172">
        <f>SUM(S149:S150)</f>
        <v>0</v>
      </c>
      <c r="T148" s="172">
        <f>SUM(T149:T150)</f>
        <v>-1866528</v>
      </c>
      <c r="U148" s="172">
        <f>SUM(U149:U150)</f>
        <v>0</v>
      </c>
    </row>
    <row r="149" spans="1:21" s="32" customFormat="1" ht="21.75" customHeight="1">
      <c r="A149" s="138"/>
      <c r="B149" s="62" t="s">
        <v>138</v>
      </c>
      <c r="C149" s="72"/>
      <c r="D149" s="70"/>
      <c r="E149" s="79">
        <v>30000000</v>
      </c>
      <c r="F149" s="79"/>
      <c r="G149" s="79"/>
      <c r="H149" s="79"/>
      <c r="I149" s="79">
        <v>192943966</v>
      </c>
      <c r="J149" s="79">
        <v>202189506</v>
      </c>
      <c r="K149" s="79"/>
      <c r="L149" s="79"/>
      <c r="M149" s="79"/>
      <c r="N149" s="121"/>
      <c r="O149" s="58"/>
      <c r="P149" s="57"/>
      <c r="Q149" s="70"/>
      <c r="R149" s="57"/>
      <c r="S149" s="70"/>
      <c r="T149" s="97">
        <f>SUM(E149:S149)</f>
        <v>425133472</v>
      </c>
      <c r="U149" s="59"/>
    </row>
    <row r="150" spans="1:21" s="32" customFormat="1" ht="21.75" customHeight="1">
      <c r="A150" s="138"/>
      <c r="B150" s="62" t="s">
        <v>139</v>
      </c>
      <c r="C150" s="72"/>
      <c r="D150" s="70"/>
      <c r="E150" s="79">
        <v>-45000000</v>
      </c>
      <c r="F150" s="79"/>
      <c r="G150" s="79"/>
      <c r="H150" s="79"/>
      <c r="I150" s="79">
        <v>-187000000</v>
      </c>
      <c r="J150" s="79">
        <v>-195000000</v>
      </c>
      <c r="K150" s="79"/>
      <c r="L150" s="79"/>
      <c r="M150" s="79"/>
      <c r="N150" s="121"/>
      <c r="O150" s="58"/>
      <c r="P150" s="64"/>
      <c r="Q150" s="70"/>
      <c r="R150" s="64"/>
      <c r="S150" s="70"/>
      <c r="T150" s="66">
        <f>SUM(E150:S150)</f>
        <v>-427000000</v>
      </c>
      <c r="U150" s="59"/>
    </row>
    <row r="151" spans="1:21" s="32" customFormat="1" ht="21.75" customHeight="1">
      <c r="A151" s="138"/>
      <c r="B151" s="55"/>
      <c r="C151" s="134"/>
      <c r="D151" s="56"/>
      <c r="E151" s="46"/>
      <c r="F151" s="46"/>
      <c r="G151" s="46"/>
      <c r="H151" s="46"/>
      <c r="I151" s="46"/>
      <c r="J151" s="46"/>
      <c r="K151" s="46"/>
      <c r="L151" s="46"/>
      <c r="M151" s="46"/>
      <c r="N151" s="47"/>
      <c r="O151" s="95"/>
      <c r="P151" s="48"/>
      <c r="Q151" s="56"/>
      <c r="R151" s="48"/>
      <c r="S151" s="48"/>
      <c r="T151" s="139"/>
      <c r="U151" s="59"/>
    </row>
    <row r="152" spans="1:21" s="32" customFormat="1" ht="21.75" customHeight="1">
      <c r="A152" s="76" t="s">
        <v>140</v>
      </c>
      <c r="B152" s="118" t="s">
        <v>141</v>
      </c>
      <c r="C152" s="84"/>
      <c r="D152" s="85"/>
      <c r="E152" s="172">
        <f>SUM(E153)</f>
        <v>0</v>
      </c>
      <c r="F152" s="172">
        <f>SUM(F153)</f>
        <v>0</v>
      </c>
      <c r="G152" s="172">
        <f>SUM(G153)</f>
        <v>0</v>
      </c>
      <c r="H152" s="172">
        <f>SUM(H153)</f>
        <v>0</v>
      </c>
      <c r="I152" s="172">
        <f>SUM(I153)</f>
        <v>0</v>
      </c>
      <c r="J152" s="172">
        <f>SUM(J153)</f>
        <v>0</v>
      </c>
      <c r="K152" s="172">
        <f>SUM(K153)</f>
        <v>0</v>
      </c>
      <c r="L152" s="172">
        <f>SUM(L153)</f>
        <v>0</v>
      </c>
      <c r="M152" s="172">
        <f>SUM(M153)</f>
        <v>0</v>
      </c>
      <c r="N152" s="172">
        <f>SUM(N153)</f>
        <v>0</v>
      </c>
      <c r="O152" s="172">
        <f>SUM(O153)</f>
        <v>0</v>
      </c>
      <c r="P152" s="172">
        <f>SUM(P153)</f>
        <v>0</v>
      </c>
      <c r="Q152" s="172">
        <f>SUM(Q153)</f>
        <v>0</v>
      </c>
      <c r="R152" s="172">
        <f>SUM(R153)</f>
        <v>0</v>
      </c>
      <c r="S152" s="172">
        <f>SUM(S153)</f>
        <v>0</v>
      </c>
      <c r="T152" s="172">
        <f>SUM(T153)</f>
        <v>0</v>
      </c>
      <c r="U152" s="172">
        <f>SUM(U153)</f>
        <v>0</v>
      </c>
    </row>
    <row r="153" spans="1:21" s="32" customFormat="1" ht="21.75" customHeight="1">
      <c r="A153" s="138"/>
      <c r="B153" s="62" t="s">
        <v>142</v>
      </c>
      <c r="C153" s="72"/>
      <c r="D153" s="70"/>
      <c r="E153" s="79"/>
      <c r="F153" s="79"/>
      <c r="G153" s="79"/>
      <c r="H153" s="79"/>
      <c r="I153" s="79"/>
      <c r="J153" s="79"/>
      <c r="K153" s="79"/>
      <c r="L153" s="79"/>
      <c r="M153" s="79"/>
      <c r="N153" s="121"/>
      <c r="O153" s="58"/>
      <c r="P153" s="57"/>
      <c r="Q153" s="70"/>
      <c r="R153" s="57"/>
      <c r="S153" s="70"/>
      <c r="T153" s="97">
        <f>SUM(E153:S153)</f>
        <v>0</v>
      </c>
      <c r="U153" s="59"/>
    </row>
    <row r="154" spans="1:21" s="32" customFormat="1" ht="21.75" customHeight="1">
      <c r="A154" s="138"/>
      <c r="B154" s="84"/>
      <c r="C154" s="28"/>
      <c r="D154" s="85"/>
      <c r="E154" s="46"/>
      <c r="F154" s="46"/>
      <c r="G154" s="46"/>
      <c r="H154" s="46"/>
      <c r="I154" s="46"/>
      <c r="J154" s="46"/>
      <c r="K154" s="46"/>
      <c r="L154" s="46"/>
      <c r="M154" s="46"/>
      <c r="N154" s="47"/>
      <c r="O154" s="95"/>
      <c r="P154" s="48"/>
      <c r="Q154" s="56"/>
      <c r="R154" s="48"/>
      <c r="S154" s="48"/>
      <c r="T154" s="139"/>
      <c r="U154" s="59"/>
    </row>
    <row r="155" spans="1:21" s="32" customFormat="1" ht="21.75" customHeight="1">
      <c r="A155" s="76" t="s">
        <v>143</v>
      </c>
      <c r="B155" s="118" t="s">
        <v>144</v>
      </c>
      <c r="C155" s="84"/>
      <c r="D155" s="85"/>
      <c r="E155" s="172">
        <f>SUM(E156)</f>
        <v>0</v>
      </c>
      <c r="F155" s="172">
        <f>SUM(F156)</f>
        <v>0</v>
      </c>
      <c r="G155" s="172">
        <f>SUM(G156)</f>
        <v>0</v>
      </c>
      <c r="H155" s="172">
        <f>SUM(H156)</f>
        <v>0</v>
      </c>
      <c r="I155" s="172">
        <f>SUM(I156)</f>
        <v>0</v>
      </c>
      <c r="J155" s="172">
        <f>SUM(J156)</f>
        <v>0</v>
      </c>
      <c r="K155" s="172">
        <f>SUM(K156)</f>
        <v>0</v>
      </c>
      <c r="L155" s="172">
        <f>SUM(L156)</f>
        <v>0</v>
      </c>
      <c r="M155" s="172">
        <f>SUM(M156)</f>
        <v>0</v>
      </c>
      <c r="N155" s="172">
        <f>SUM(N156)</f>
        <v>0</v>
      </c>
      <c r="O155" s="172">
        <f>SUM(O156)</f>
        <v>0</v>
      </c>
      <c r="P155" s="172">
        <f>SUM(P156)</f>
        <v>0</v>
      </c>
      <c r="Q155" s="172">
        <f>SUM(Q156)</f>
        <v>0</v>
      </c>
      <c r="R155" s="172">
        <f>SUM(R156)</f>
        <v>0</v>
      </c>
      <c r="S155" s="172">
        <f>SUM(S156)</f>
        <v>0</v>
      </c>
      <c r="T155" s="172">
        <f>SUM(T156)</f>
        <v>0</v>
      </c>
      <c r="U155" s="172">
        <f>SUM(U156)</f>
        <v>0</v>
      </c>
    </row>
    <row r="156" spans="1:21" s="32" customFormat="1" ht="21.75" customHeight="1">
      <c r="A156" s="138"/>
      <c r="B156" s="62" t="s">
        <v>145</v>
      </c>
      <c r="C156" s="72"/>
      <c r="D156" s="70"/>
      <c r="E156" s="79"/>
      <c r="F156" s="79"/>
      <c r="G156" s="79"/>
      <c r="H156" s="79"/>
      <c r="I156" s="79"/>
      <c r="J156" s="79"/>
      <c r="K156" s="79"/>
      <c r="L156" s="79"/>
      <c r="M156" s="79"/>
      <c r="N156" s="121"/>
      <c r="O156" s="58"/>
      <c r="P156" s="57"/>
      <c r="Q156" s="70"/>
      <c r="R156" s="57"/>
      <c r="S156" s="70"/>
      <c r="T156" s="97">
        <f>SUM(E156:S156)</f>
        <v>0</v>
      </c>
      <c r="U156" s="59"/>
    </row>
    <row r="157" spans="1:21" s="32" customFormat="1" ht="21.75" customHeight="1">
      <c r="A157" s="138"/>
      <c r="B157" s="84"/>
      <c r="C157" s="28"/>
      <c r="D157" s="85"/>
      <c r="E157" s="46"/>
      <c r="F157" s="46"/>
      <c r="G157" s="46"/>
      <c r="H157" s="46"/>
      <c r="I157" s="46"/>
      <c r="J157" s="46"/>
      <c r="K157" s="46"/>
      <c r="L157" s="46"/>
      <c r="M157" s="46"/>
      <c r="N157" s="47"/>
      <c r="O157" s="95"/>
      <c r="P157" s="48"/>
      <c r="Q157" s="56"/>
      <c r="R157" s="48"/>
      <c r="S157" s="48"/>
      <c r="T157" s="139"/>
      <c r="U157" s="59"/>
    </row>
    <row r="158" spans="1:21" s="32" customFormat="1" ht="21.75" customHeight="1">
      <c r="A158" s="76" t="s">
        <v>146</v>
      </c>
      <c r="B158" s="118" t="s">
        <v>147</v>
      </c>
      <c r="C158" s="84"/>
      <c r="D158" s="85"/>
      <c r="E158" s="172">
        <f>SUM(E159:E181)</f>
        <v>142348000</v>
      </c>
      <c r="F158" s="172">
        <f>SUM(F159:F181)</f>
        <v>70500000</v>
      </c>
      <c r="G158" s="172">
        <f>SUM(G159:G181)</f>
        <v>11520000</v>
      </c>
      <c r="H158" s="172">
        <f>SUM(H159:H181)</f>
        <v>8025000</v>
      </c>
      <c r="I158" s="172">
        <f>SUM(I159:I181)</f>
        <v>30900000</v>
      </c>
      <c r="J158" s="172">
        <f>SUM(J159:J181)</f>
        <v>31000000</v>
      </c>
      <c r="K158" s="172">
        <f>SUM(K159:K181)</f>
        <v>500000</v>
      </c>
      <c r="L158" s="172">
        <f>SUM(L159:L181)</f>
        <v>500000</v>
      </c>
      <c r="M158" s="172">
        <f>SUM(M159:M181)</f>
        <v>13500000</v>
      </c>
      <c r="N158" s="172">
        <f>SUM(N159:N181)</f>
        <v>326500000</v>
      </c>
      <c r="O158" s="172">
        <f>SUM(O159:O181)</f>
        <v>8000000</v>
      </c>
      <c r="P158" s="172">
        <f>SUM(P159:P181)</f>
        <v>3000000</v>
      </c>
      <c r="Q158" s="172">
        <f>SUM(Q159:Q181)</f>
        <v>0</v>
      </c>
      <c r="R158" s="172">
        <f>SUM(R159:R181)</f>
        <v>7500000</v>
      </c>
      <c r="S158" s="172">
        <f>SUM(S159:S181)</f>
        <v>5000000</v>
      </c>
      <c r="T158" s="172">
        <f>SUM(T159:T181)</f>
        <v>658793000</v>
      </c>
      <c r="U158" s="172">
        <f>SUM(U159:U181)</f>
        <v>0</v>
      </c>
    </row>
    <row r="159" spans="1:21" s="32" customFormat="1" ht="21.75" customHeight="1">
      <c r="A159" s="138"/>
      <c r="B159" s="62" t="s">
        <v>148</v>
      </c>
      <c r="C159" s="72"/>
      <c r="D159" s="70"/>
      <c r="E159" s="79"/>
      <c r="F159" s="79"/>
      <c r="G159" s="79"/>
      <c r="H159" s="79"/>
      <c r="I159" s="79"/>
      <c r="J159" s="79"/>
      <c r="K159" s="79"/>
      <c r="L159" s="79"/>
      <c r="M159" s="79"/>
      <c r="N159" s="121"/>
      <c r="O159" s="58"/>
      <c r="P159" s="57"/>
      <c r="Q159" s="70"/>
      <c r="R159" s="57"/>
      <c r="S159" s="70"/>
      <c r="T159" s="97">
        <f>SUM(E159:S159)</f>
        <v>0</v>
      </c>
      <c r="U159" s="59"/>
    </row>
    <row r="160" spans="1:21" s="32" customFormat="1" ht="21.75" customHeight="1">
      <c r="A160" s="138"/>
      <c r="B160" s="62" t="s">
        <v>149</v>
      </c>
      <c r="C160" s="72"/>
      <c r="D160" s="70"/>
      <c r="E160" s="79"/>
      <c r="F160" s="79"/>
      <c r="G160" s="79"/>
      <c r="H160" s="79"/>
      <c r="I160" s="79"/>
      <c r="J160" s="79"/>
      <c r="K160" s="79"/>
      <c r="L160" s="79"/>
      <c r="M160" s="79"/>
      <c r="N160" s="121"/>
      <c r="O160" s="58"/>
      <c r="P160" s="64"/>
      <c r="Q160" s="70"/>
      <c r="R160" s="64"/>
      <c r="S160" s="70"/>
      <c r="T160" s="66">
        <f>SUM(E160:S160)</f>
        <v>0</v>
      </c>
      <c r="U160" s="59"/>
    </row>
    <row r="161" spans="1:21" s="32" customFormat="1" ht="21.75" customHeight="1">
      <c r="A161" s="138"/>
      <c r="B161" s="62" t="s">
        <v>150</v>
      </c>
      <c r="C161" s="72"/>
      <c r="D161" s="70"/>
      <c r="E161" s="79"/>
      <c r="F161" s="79"/>
      <c r="G161" s="79"/>
      <c r="H161" s="79"/>
      <c r="I161" s="79"/>
      <c r="J161" s="79"/>
      <c r="K161" s="79"/>
      <c r="L161" s="79"/>
      <c r="M161" s="79"/>
      <c r="N161" s="121"/>
      <c r="O161" s="58"/>
      <c r="P161" s="64"/>
      <c r="Q161" s="70"/>
      <c r="R161" s="64"/>
      <c r="S161" s="70"/>
      <c r="T161" s="66">
        <f>SUM(E161:S161)</f>
        <v>0</v>
      </c>
      <c r="U161" s="59"/>
    </row>
    <row r="162" spans="1:21" s="32" customFormat="1" ht="21.75" customHeight="1">
      <c r="A162" s="138"/>
      <c r="B162" s="62" t="s">
        <v>151</v>
      </c>
      <c r="C162" s="72"/>
      <c r="D162" s="70"/>
      <c r="E162" s="79"/>
      <c r="F162" s="79"/>
      <c r="G162" s="79"/>
      <c r="H162" s="79"/>
      <c r="I162" s="79">
        <v>1200000</v>
      </c>
      <c r="J162" s="79">
        <v>1200000</v>
      </c>
      <c r="K162" s="79"/>
      <c r="L162" s="79"/>
      <c r="M162" s="79"/>
      <c r="N162" s="121"/>
      <c r="O162" s="58"/>
      <c r="P162" s="64"/>
      <c r="Q162" s="70"/>
      <c r="R162" s="64"/>
      <c r="S162" s="70"/>
      <c r="T162" s="66">
        <f>SUM(E162:S162)</f>
        <v>2400000</v>
      </c>
      <c r="U162" s="59"/>
    </row>
    <row r="163" spans="1:21" s="32" customFormat="1" ht="21.75" customHeight="1">
      <c r="A163" s="138"/>
      <c r="B163" s="62" t="s">
        <v>152</v>
      </c>
      <c r="C163" s="72"/>
      <c r="D163" s="70"/>
      <c r="E163" s="79"/>
      <c r="F163" s="79"/>
      <c r="G163" s="79"/>
      <c r="H163" s="79"/>
      <c r="I163" s="79"/>
      <c r="J163" s="79"/>
      <c r="K163" s="79"/>
      <c r="L163" s="79"/>
      <c r="M163" s="79"/>
      <c r="N163" s="121"/>
      <c r="O163" s="58"/>
      <c r="P163" s="64"/>
      <c r="Q163" s="70"/>
      <c r="R163" s="64"/>
      <c r="S163" s="70"/>
      <c r="T163" s="66">
        <f>SUM(E163:S163)</f>
        <v>0</v>
      </c>
      <c r="U163" s="59"/>
    </row>
    <row r="164" spans="1:21" s="32" customFormat="1" ht="21.75" customHeight="1">
      <c r="A164" s="138"/>
      <c r="B164" s="62" t="s">
        <v>153</v>
      </c>
      <c r="C164" s="72"/>
      <c r="D164" s="70"/>
      <c r="E164" s="79"/>
      <c r="F164" s="79"/>
      <c r="G164" s="79"/>
      <c r="H164" s="79"/>
      <c r="I164" s="79"/>
      <c r="J164" s="79"/>
      <c r="K164" s="79"/>
      <c r="L164" s="79"/>
      <c r="M164" s="79"/>
      <c r="N164" s="121"/>
      <c r="O164" s="58"/>
      <c r="P164" s="64"/>
      <c r="Q164" s="70"/>
      <c r="R164" s="64"/>
      <c r="S164" s="70">
        <v>5000000</v>
      </c>
      <c r="T164" s="66">
        <f>SUM(E164:S164)</f>
        <v>5000000</v>
      </c>
      <c r="U164" s="59"/>
    </row>
    <row r="165" spans="1:21" s="32" customFormat="1" ht="21.75" customHeight="1">
      <c r="A165" s="138"/>
      <c r="B165" s="62" t="s">
        <v>154</v>
      </c>
      <c r="C165" s="72"/>
      <c r="D165" s="70"/>
      <c r="E165" s="79">
        <v>30600000</v>
      </c>
      <c r="F165" s="79"/>
      <c r="G165" s="79"/>
      <c r="H165" s="79">
        <v>1500000</v>
      </c>
      <c r="I165" s="79">
        <v>700000</v>
      </c>
      <c r="J165" s="79">
        <v>800000</v>
      </c>
      <c r="K165" s="79"/>
      <c r="L165" s="79"/>
      <c r="M165" s="79"/>
      <c r="N165" s="121"/>
      <c r="O165" s="58"/>
      <c r="P165" s="64"/>
      <c r="Q165" s="70"/>
      <c r="R165" s="64"/>
      <c r="S165" s="70"/>
      <c r="T165" s="66">
        <f>SUM(E165:S165)</f>
        <v>33600000</v>
      </c>
      <c r="U165" s="59"/>
    </row>
    <row r="166" spans="1:21" s="32" customFormat="1" ht="21.75" customHeight="1">
      <c r="A166" s="138"/>
      <c r="B166" s="62" t="s">
        <v>155</v>
      </c>
      <c r="C166" s="72"/>
      <c r="D166" s="70"/>
      <c r="E166" s="79">
        <v>5100000</v>
      </c>
      <c r="F166" s="79"/>
      <c r="G166" s="79">
        <v>1020000</v>
      </c>
      <c r="H166" s="79">
        <v>525000</v>
      </c>
      <c r="I166" s="79"/>
      <c r="J166" s="79"/>
      <c r="K166" s="79"/>
      <c r="L166" s="79"/>
      <c r="M166" s="79"/>
      <c r="N166" s="121"/>
      <c r="O166" s="58"/>
      <c r="P166" s="64"/>
      <c r="Q166" s="70"/>
      <c r="R166" s="64"/>
      <c r="S166" s="70"/>
      <c r="T166" s="66">
        <f>SUM(E166:S166)</f>
        <v>6645000</v>
      </c>
      <c r="U166" s="59"/>
    </row>
    <row r="167" spans="1:21" s="32" customFormat="1" ht="21.75" customHeight="1">
      <c r="A167" s="138"/>
      <c r="B167" s="62" t="s">
        <v>156</v>
      </c>
      <c r="C167" s="72"/>
      <c r="D167" s="70"/>
      <c r="E167" s="79"/>
      <c r="F167" s="79"/>
      <c r="G167" s="79"/>
      <c r="H167" s="79"/>
      <c r="I167" s="79"/>
      <c r="J167" s="79"/>
      <c r="K167" s="79"/>
      <c r="L167" s="79"/>
      <c r="M167" s="79"/>
      <c r="N167" s="121">
        <v>9000000</v>
      </c>
      <c r="O167" s="58"/>
      <c r="P167" s="64"/>
      <c r="Q167" s="70"/>
      <c r="R167" s="64"/>
      <c r="S167" s="70"/>
      <c r="T167" s="66">
        <f>SUM(E167:S167)</f>
        <v>9000000</v>
      </c>
      <c r="U167" s="59"/>
    </row>
    <row r="168" spans="1:21" s="32" customFormat="1" ht="21.75" customHeight="1">
      <c r="A168" s="138"/>
      <c r="B168" s="62" t="s">
        <v>157</v>
      </c>
      <c r="C168" s="72"/>
      <c r="D168" s="70"/>
      <c r="E168" s="79">
        <f>16000000+9000000</f>
        <v>25000000</v>
      </c>
      <c r="F168" s="79">
        <v>1000000</v>
      </c>
      <c r="G168" s="79">
        <v>500000</v>
      </c>
      <c r="H168" s="79">
        <v>3000000</v>
      </c>
      <c r="I168" s="79">
        <v>1500000</v>
      </c>
      <c r="J168" s="79">
        <v>1500000</v>
      </c>
      <c r="K168" s="79">
        <v>500000</v>
      </c>
      <c r="L168" s="79">
        <v>500000</v>
      </c>
      <c r="M168" s="79">
        <v>3000000</v>
      </c>
      <c r="N168" s="121">
        <v>500000</v>
      </c>
      <c r="O168" s="58">
        <v>500000</v>
      </c>
      <c r="P168" s="64">
        <v>3000000</v>
      </c>
      <c r="Q168" s="70"/>
      <c r="R168" s="64"/>
      <c r="S168" s="70"/>
      <c r="T168" s="66">
        <f>SUM(E168:S168)</f>
        <v>40500000</v>
      </c>
      <c r="U168" s="59"/>
    </row>
    <row r="169" spans="1:21" s="32" customFormat="1" ht="21.75" customHeight="1">
      <c r="A169" s="138"/>
      <c r="B169" s="62" t="s">
        <v>158</v>
      </c>
      <c r="C169" s="72"/>
      <c r="D169" s="70"/>
      <c r="E169" s="46">
        <v>1020000</v>
      </c>
      <c r="F169" s="46"/>
      <c r="G169" s="46"/>
      <c r="H169" s="46"/>
      <c r="I169" s="46">
        <v>1000000</v>
      </c>
      <c r="J169" s="46">
        <v>1000000</v>
      </c>
      <c r="K169" s="46"/>
      <c r="L169" s="46"/>
      <c r="M169" s="46"/>
      <c r="N169" s="47"/>
      <c r="O169" s="58"/>
      <c r="P169" s="64"/>
      <c r="Q169" s="70"/>
      <c r="R169" s="64"/>
      <c r="S169" s="70"/>
      <c r="T169" s="66">
        <f>SUM(E169:S169)</f>
        <v>3020000</v>
      </c>
      <c r="U169" s="59"/>
    </row>
    <row r="170" spans="1:21" s="32" customFormat="1" ht="21.75" customHeight="1">
      <c r="A170" s="138"/>
      <c r="B170" s="88" t="s">
        <v>159</v>
      </c>
      <c r="C170" s="89"/>
      <c r="D170" s="69"/>
      <c r="E170" s="64">
        <v>1428000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58"/>
      <c r="P170" s="64"/>
      <c r="Q170" s="64"/>
      <c r="R170" s="64"/>
      <c r="S170" s="70"/>
      <c r="T170" s="66">
        <f>SUM(E170:S170)</f>
        <v>1428000</v>
      </c>
      <c r="U170" s="93"/>
    </row>
    <row r="171" spans="1:21" s="32" customFormat="1" ht="21.75" customHeight="1">
      <c r="A171" s="67"/>
      <c r="B171" s="83" t="s">
        <v>160</v>
      </c>
      <c r="C171" s="28"/>
      <c r="D171" s="56"/>
      <c r="E171" s="46"/>
      <c r="F171" s="46"/>
      <c r="G171" s="46"/>
      <c r="H171" s="46"/>
      <c r="I171" s="46"/>
      <c r="J171" s="46"/>
      <c r="K171" s="46"/>
      <c r="L171" s="46"/>
      <c r="M171" s="46"/>
      <c r="N171" s="47"/>
      <c r="O171" s="58"/>
      <c r="P171" s="64"/>
      <c r="Q171" s="64"/>
      <c r="R171" s="64"/>
      <c r="S171" s="70"/>
      <c r="T171" s="66"/>
      <c r="U171" s="59"/>
    </row>
    <row r="172" spans="1:21" s="32" customFormat="1" ht="21.75" customHeight="1">
      <c r="A172" s="95"/>
      <c r="B172" s="72" t="s">
        <v>161</v>
      </c>
      <c r="C172" s="72"/>
      <c r="D172" s="70"/>
      <c r="E172" s="64"/>
      <c r="F172" s="64"/>
      <c r="G172" s="64"/>
      <c r="H172" s="64"/>
      <c r="I172" s="64">
        <v>9000000</v>
      </c>
      <c r="J172" s="64">
        <v>9000000</v>
      </c>
      <c r="K172" s="64"/>
      <c r="L172" s="64"/>
      <c r="M172" s="64"/>
      <c r="N172" s="64"/>
      <c r="O172" s="58"/>
      <c r="P172" s="64"/>
      <c r="Q172" s="64"/>
      <c r="R172" s="64"/>
      <c r="S172" s="70"/>
      <c r="T172" s="66">
        <f>SUM(E172:S172)</f>
        <v>18000000</v>
      </c>
      <c r="U172" s="59"/>
    </row>
    <row r="173" spans="1:21" s="32" customFormat="1" ht="21.75" customHeight="1">
      <c r="A173" s="138"/>
      <c r="B173" s="72" t="s">
        <v>58</v>
      </c>
      <c r="C173" s="72"/>
      <c r="D173" s="70"/>
      <c r="E173" s="64">
        <v>22700000</v>
      </c>
      <c r="F173" s="64"/>
      <c r="G173" s="64"/>
      <c r="H173" s="64"/>
      <c r="I173" s="64"/>
      <c r="J173" s="64"/>
      <c r="K173" s="64"/>
      <c r="L173" s="64"/>
      <c r="M173" s="64"/>
      <c r="N173" s="64"/>
      <c r="O173" s="58"/>
      <c r="P173" s="64"/>
      <c r="Q173" s="64"/>
      <c r="R173" s="64"/>
      <c r="S173" s="70"/>
      <c r="T173" s="66">
        <f>SUM(E173:S173)</f>
        <v>22700000</v>
      </c>
      <c r="U173" s="59"/>
    </row>
    <row r="174" spans="1:21" s="32" customFormat="1" ht="21.75" customHeight="1">
      <c r="A174" s="138"/>
      <c r="B174" s="72" t="s">
        <v>162</v>
      </c>
      <c r="C174" s="72"/>
      <c r="D174" s="70"/>
      <c r="E174" s="64">
        <v>2000000</v>
      </c>
      <c r="F174" s="64">
        <v>2000000</v>
      </c>
      <c r="G174" s="64">
        <v>2000000</v>
      </c>
      <c r="H174" s="64"/>
      <c r="I174" s="64"/>
      <c r="J174" s="64"/>
      <c r="K174" s="64"/>
      <c r="L174" s="64"/>
      <c r="M174" s="64"/>
      <c r="N174" s="64"/>
      <c r="O174" s="58"/>
      <c r="P174" s="64"/>
      <c r="Q174" s="64"/>
      <c r="R174" s="64"/>
      <c r="S174" s="70"/>
      <c r="T174" s="66">
        <f>SUM(E174:S174)</f>
        <v>6000000</v>
      </c>
      <c r="U174" s="59"/>
    </row>
    <row r="175" spans="1:21" s="32" customFormat="1" ht="21.75" customHeight="1">
      <c r="A175" s="138"/>
      <c r="B175" s="72" t="s">
        <v>163</v>
      </c>
      <c r="C175" s="72"/>
      <c r="D175" s="70"/>
      <c r="E175" s="64">
        <v>7000000</v>
      </c>
      <c r="F175" s="64"/>
      <c r="G175" s="64"/>
      <c r="H175" s="64"/>
      <c r="I175" s="64"/>
      <c r="J175" s="64"/>
      <c r="K175" s="64"/>
      <c r="L175" s="64"/>
      <c r="M175" s="64"/>
      <c r="N175" s="64"/>
      <c r="O175" s="58"/>
      <c r="P175" s="64"/>
      <c r="Q175" s="64"/>
      <c r="R175" s="64"/>
      <c r="S175" s="70"/>
      <c r="T175" s="66">
        <f>SUM(E175:S175)</f>
        <v>7000000</v>
      </c>
      <c r="U175" s="59"/>
    </row>
    <row r="176" spans="1:21" s="32" customFormat="1" ht="21.75" customHeight="1">
      <c r="A176" s="138"/>
      <c r="B176" s="72" t="s">
        <v>62</v>
      </c>
      <c r="C176" s="72"/>
      <c r="D176" s="70"/>
      <c r="E176" s="78"/>
      <c r="F176" s="78">
        <v>29000000</v>
      </c>
      <c r="G176" s="64"/>
      <c r="H176" s="64"/>
      <c r="I176" s="64"/>
      <c r="J176" s="64"/>
      <c r="K176" s="64"/>
      <c r="L176" s="64"/>
      <c r="M176" s="64"/>
      <c r="N176" s="64"/>
      <c r="O176" s="58"/>
      <c r="P176" s="64"/>
      <c r="Q176" s="64"/>
      <c r="R176" s="64"/>
      <c r="S176" s="70"/>
      <c r="T176" s="66">
        <f>SUM(E176:S176)</f>
        <v>29000000</v>
      </c>
      <c r="U176" s="59"/>
    </row>
    <row r="177" spans="1:21" s="32" customFormat="1" ht="21.75" customHeight="1">
      <c r="A177" s="138"/>
      <c r="B177" s="62" t="s">
        <v>59</v>
      </c>
      <c r="C177" s="72"/>
      <c r="D177" s="70"/>
      <c r="E177" s="64"/>
      <c r="F177" s="64"/>
      <c r="G177" s="64"/>
      <c r="H177" s="64"/>
      <c r="I177" s="64"/>
      <c r="J177" s="64"/>
      <c r="K177" s="64"/>
      <c r="L177" s="64"/>
      <c r="M177" s="64"/>
      <c r="N177" s="64">
        <v>317000000</v>
      </c>
      <c r="O177" s="58"/>
      <c r="P177" s="64"/>
      <c r="Q177" s="64"/>
      <c r="R177" s="64"/>
      <c r="S177" s="70"/>
      <c r="T177" s="66">
        <f>SUM(E177:S177)</f>
        <v>317000000</v>
      </c>
      <c r="U177" s="59"/>
    </row>
    <row r="178" spans="1:21" s="32" customFormat="1" ht="21.75" customHeight="1">
      <c r="A178" s="138"/>
      <c r="B178" s="62" t="s">
        <v>164</v>
      </c>
      <c r="C178" s="72"/>
      <c r="D178" s="70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58"/>
      <c r="P178" s="64"/>
      <c r="Q178" s="64"/>
      <c r="R178" s="64">
        <v>7500000</v>
      </c>
      <c r="S178" s="70"/>
      <c r="T178" s="66">
        <f>SUM(E178:S178)</f>
        <v>7500000</v>
      </c>
      <c r="U178" s="59"/>
    </row>
    <row r="179" spans="1:21" s="32" customFormat="1" ht="21.75" customHeight="1">
      <c r="A179" s="138"/>
      <c r="B179" s="62" t="s">
        <v>165</v>
      </c>
      <c r="C179" s="72"/>
      <c r="D179" s="70"/>
      <c r="E179" s="64">
        <v>10000000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58"/>
      <c r="P179" s="64"/>
      <c r="Q179" s="64"/>
      <c r="R179" s="64"/>
      <c r="S179" s="70"/>
      <c r="T179" s="66">
        <f>SUM(E179:S179)</f>
        <v>10000000</v>
      </c>
      <c r="U179" s="59"/>
    </row>
    <row r="180" spans="1:21" s="32" customFormat="1" ht="21.75" customHeight="1">
      <c r="A180" s="138"/>
      <c r="B180" s="62" t="s">
        <v>61</v>
      </c>
      <c r="C180" s="72"/>
      <c r="D180" s="70"/>
      <c r="E180" s="64">
        <v>24000000</v>
      </c>
      <c r="F180" s="90">
        <v>25000000</v>
      </c>
      <c r="G180" s="78">
        <v>3500000</v>
      </c>
      <c r="H180" s="78">
        <v>3000000</v>
      </c>
      <c r="I180" s="78">
        <v>8500000</v>
      </c>
      <c r="J180" s="78">
        <v>8500000</v>
      </c>
      <c r="K180" s="78">
        <v>0</v>
      </c>
      <c r="L180" s="78">
        <v>0</v>
      </c>
      <c r="M180" s="78">
        <v>6000000</v>
      </c>
      <c r="N180" s="80">
        <v>0</v>
      </c>
      <c r="O180" s="70">
        <v>3000000</v>
      </c>
      <c r="P180" s="57">
        <v>0</v>
      </c>
      <c r="Q180" s="58">
        <v>0</v>
      </c>
      <c r="R180" s="58">
        <v>0</v>
      </c>
      <c r="S180" s="64">
        <v>0</v>
      </c>
      <c r="T180" s="66">
        <f>SUM(E180:S180)</f>
        <v>81500000</v>
      </c>
      <c r="U180" s="59"/>
    </row>
    <row r="181" spans="1:21" s="32" customFormat="1" ht="21.75" customHeight="1">
      <c r="A181" s="138"/>
      <c r="B181" s="62" t="s">
        <v>63</v>
      </c>
      <c r="C181" s="72"/>
      <c r="D181" s="70"/>
      <c r="E181" s="64">
        <v>13500000</v>
      </c>
      <c r="F181" s="64">
        <v>13500000</v>
      </c>
      <c r="G181" s="64">
        <v>4500000</v>
      </c>
      <c r="H181" s="64">
        <v>0</v>
      </c>
      <c r="I181" s="64">
        <v>9000000</v>
      </c>
      <c r="J181" s="64">
        <v>9000000</v>
      </c>
      <c r="K181" s="64">
        <v>0</v>
      </c>
      <c r="L181" s="64">
        <v>0</v>
      </c>
      <c r="M181" s="64">
        <v>4500000</v>
      </c>
      <c r="N181" s="64">
        <v>0</v>
      </c>
      <c r="O181" s="58">
        <v>4500000</v>
      </c>
      <c r="P181" s="64">
        <v>0</v>
      </c>
      <c r="Q181" s="64">
        <v>0</v>
      </c>
      <c r="R181" s="64">
        <v>0</v>
      </c>
      <c r="S181" s="64"/>
      <c r="T181" s="66">
        <f>SUM(E181:S181)</f>
        <v>58500000</v>
      </c>
      <c r="U181" s="59"/>
    </row>
    <row r="182" spans="1:21" s="32" customFormat="1" ht="21.75" customHeight="1">
      <c r="A182" s="65"/>
      <c r="B182" s="140" t="s">
        <v>64</v>
      </c>
      <c r="C182" s="140"/>
      <c r="D182" s="69"/>
      <c r="E182" s="103">
        <f>E67+E84+E128+E134+E142+E148+E152+E155+E158</f>
        <v>5743399073.559999</v>
      </c>
      <c r="F182" s="103">
        <f>F67+F84+F128+F134+F142+F148+F152+F155+F158</f>
        <v>1245750599.8</v>
      </c>
      <c r="G182" s="103">
        <f>G67+G84+G128+G134+G142+G148+G152+G155+G158</f>
        <v>324965422.32</v>
      </c>
      <c r="H182" s="103">
        <f>H67+H84+H128+H134+H142+H148+H152+H155+H158</f>
        <v>251849000</v>
      </c>
      <c r="I182" s="103">
        <f>I67+I84+I128+I134+I142+I148+I152+I155+I158</f>
        <v>1693988624</v>
      </c>
      <c r="J182" s="103">
        <f>J67+J84+J128+J134+J142+J148+J152+J155+J158</f>
        <v>1930472884.3600001</v>
      </c>
      <c r="K182" s="103">
        <f>K67+K84+K128+K134+K142+K148+K152+K155+K158</f>
        <v>140610221.4</v>
      </c>
      <c r="L182" s="103">
        <f>L67+L84+L128+L134+L142+L148+L152+L155+L158</f>
        <v>43726782.8</v>
      </c>
      <c r="M182" s="103">
        <f>M67+M84+M128+M134+M142+M148+M152+M155+M158</f>
        <v>432253886.2</v>
      </c>
      <c r="N182" s="103">
        <f>N67+N84+N128+N134+N142+N148+N152+N155+N158</f>
        <v>606622886.2</v>
      </c>
      <c r="O182" s="103">
        <f>O67+O84+O128+O134+O142+O148+O152+O155+O158</f>
        <v>237030924.48</v>
      </c>
      <c r="P182" s="103">
        <f>P67+P84+P128+P134+P142+P148+P152+P155+P158</f>
        <v>387601970</v>
      </c>
      <c r="Q182" s="103">
        <f>Q67+Q84+Q128+Q134+Q142+Q148+Q152+Q155+Q158</f>
        <v>60500000</v>
      </c>
      <c r="R182" s="103">
        <f>R67+R84+R128+R134+R142+R148+R152+R155+R158</f>
        <v>107000000</v>
      </c>
      <c r="S182" s="103">
        <f>S67+S84+S128+S134+S142+S148+S152+S155+S158</f>
        <v>120500000</v>
      </c>
      <c r="T182" s="103">
        <f>T67+T84+T128+T134+T142+T148+T152+T155+T158</f>
        <v>13326272275.119999</v>
      </c>
      <c r="U182" s="103">
        <f>U67+U84+U128+U134+U142+U148+U152+U155+U158</f>
        <v>0</v>
      </c>
    </row>
    <row r="183" spans="1:21" s="18" customFormat="1" ht="15.75" customHeight="1">
      <c r="A183" s="6"/>
      <c r="B183" s="8"/>
      <c r="C183" s="8"/>
      <c r="D183" s="6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/>
      <c r="U183" s="9"/>
    </row>
    <row r="184" spans="1:21" s="18" customFormat="1" ht="12.75">
      <c r="A184" s="6"/>
      <c r="B184" s="8"/>
      <c r="C184" s="8"/>
      <c r="D184" s="6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0"/>
      <c r="U184" s="9"/>
    </row>
    <row r="185" spans="1:21" s="18" customFormat="1" ht="12.75">
      <c r="A185" s="6"/>
      <c r="B185" s="8"/>
      <c r="C185" s="8"/>
      <c r="D185" s="6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0"/>
      <c r="U185" s="9"/>
    </row>
    <row r="186" spans="1:21" s="18" customFormat="1" ht="12.75">
      <c r="A186" s="6"/>
      <c r="B186" s="8"/>
      <c r="C186" s="8"/>
      <c r="D186" s="6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0"/>
      <c r="U186" s="9"/>
    </row>
    <row r="187" spans="1:21" s="18" customFormat="1" ht="27" customHeight="1">
      <c r="A187" s="6"/>
      <c r="B187" s="8"/>
      <c r="C187" s="8"/>
      <c r="D187" s="6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0"/>
      <c r="U187" s="9"/>
    </row>
    <row r="188" spans="1:21" s="18" customFormat="1" ht="12.75">
      <c r="A188" s="6"/>
      <c r="B188" s="8"/>
      <c r="C188" s="8"/>
      <c r="D188" s="6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0"/>
      <c r="U188" s="9"/>
    </row>
    <row r="189" spans="1:21" s="18" customFormat="1" ht="12.75">
      <c r="A189" s="6"/>
      <c r="B189" s="8"/>
      <c r="C189" s="8"/>
      <c r="D189" s="6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0"/>
      <c r="U189" s="9"/>
    </row>
    <row r="190" spans="1:21" s="18" customFormat="1" ht="12.75">
      <c r="A190" s="6"/>
      <c r="B190" s="8"/>
      <c r="C190" s="8"/>
      <c r="D190" s="6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0"/>
      <c r="U190" s="9"/>
    </row>
    <row r="191" spans="1:21" s="18" customFormat="1" ht="12.75">
      <c r="A191" s="6"/>
      <c r="B191" s="8"/>
      <c r="C191" s="8"/>
      <c r="D191" s="6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0"/>
      <c r="U191" s="9"/>
    </row>
    <row r="192" spans="1:21" s="18" customFormat="1" ht="18" customHeight="1">
      <c r="A192" s="6"/>
      <c r="B192" s="8"/>
      <c r="C192" s="8"/>
      <c r="D192" s="6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2"/>
      <c r="U192" s="141"/>
    </row>
    <row r="193" spans="1:22" s="32" customFormat="1" ht="21.75" customHeight="1">
      <c r="A193" s="28"/>
      <c r="B193" s="28"/>
      <c r="C193" s="28"/>
      <c r="D193" s="28"/>
      <c r="E193" s="33" t="s">
        <v>204</v>
      </c>
      <c r="F193" s="35" t="s">
        <v>205</v>
      </c>
      <c r="G193" s="34" t="s">
        <v>206</v>
      </c>
      <c r="H193" s="35" t="s">
        <v>207</v>
      </c>
      <c r="I193" s="34" t="s">
        <v>208</v>
      </c>
      <c r="J193" s="34" t="s">
        <v>208</v>
      </c>
      <c r="K193" s="34" t="s">
        <v>205</v>
      </c>
      <c r="L193" s="34" t="s">
        <v>205</v>
      </c>
      <c r="M193" s="34" t="s">
        <v>206</v>
      </c>
      <c r="N193" s="33" t="s">
        <v>209</v>
      </c>
      <c r="O193" s="34" t="s">
        <v>210</v>
      </c>
      <c r="P193" s="34" t="s">
        <v>211</v>
      </c>
      <c r="Q193" s="34" t="s">
        <v>212</v>
      </c>
      <c r="R193" s="34" t="s">
        <v>213</v>
      </c>
      <c r="S193" s="34" t="s">
        <v>214</v>
      </c>
      <c r="T193" s="33" t="s">
        <v>215</v>
      </c>
      <c r="U193" s="33" t="s">
        <v>215</v>
      </c>
      <c r="V193" s="32"/>
    </row>
    <row r="194" spans="1:22" s="32" customFormat="1" ht="21.75" customHeight="1">
      <c r="A194" s="28"/>
      <c r="B194" s="28"/>
      <c r="C194" s="28"/>
      <c r="D194" s="28"/>
      <c r="E194" s="33" t="s">
        <v>216</v>
      </c>
      <c r="F194" s="34" t="s">
        <v>217</v>
      </c>
      <c r="G194" s="34" t="s">
        <v>218</v>
      </c>
      <c r="H194" s="34" t="s">
        <v>219</v>
      </c>
      <c r="I194" s="35" t="s">
        <v>220</v>
      </c>
      <c r="J194" s="35" t="s">
        <v>221</v>
      </c>
      <c r="K194" s="35" t="s">
        <v>222</v>
      </c>
      <c r="L194" s="35" t="s">
        <v>223</v>
      </c>
      <c r="M194" s="34" t="s">
        <v>224</v>
      </c>
      <c r="N194" s="33" t="s">
        <v>225</v>
      </c>
      <c r="O194" s="34" t="s">
        <v>226</v>
      </c>
      <c r="P194" s="34" t="s">
        <v>227</v>
      </c>
      <c r="Q194" s="34"/>
      <c r="R194" s="34"/>
      <c r="S194" s="34"/>
      <c r="T194" s="33" t="s">
        <v>228</v>
      </c>
      <c r="U194" s="33" t="s">
        <v>66</v>
      </c>
      <c r="V194" s="32"/>
    </row>
    <row r="195" spans="1:21" s="32" customFormat="1" ht="21.75" customHeight="1">
      <c r="A195" s="72"/>
      <c r="B195" s="72"/>
      <c r="C195" s="72"/>
      <c r="D195" s="72"/>
      <c r="E195" s="36" t="s">
        <v>2</v>
      </c>
      <c r="F195" s="37" t="s">
        <v>3</v>
      </c>
      <c r="G195" s="38"/>
      <c r="H195" s="37" t="s">
        <v>4</v>
      </c>
      <c r="I195" s="40"/>
      <c r="J195" s="40"/>
      <c r="K195" s="40"/>
      <c r="L195" s="40"/>
      <c r="M195" s="38" t="s">
        <v>5</v>
      </c>
      <c r="N195" s="41" t="s">
        <v>6</v>
      </c>
      <c r="O195" s="38"/>
      <c r="P195" s="38"/>
      <c r="Q195" s="38"/>
      <c r="R195" s="38"/>
      <c r="S195" s="38"/>
      <c r="T195" s="36" t="s">
        <v>229</v>
      </c>
      <c r="U195" s="36"/>
    </row>
    <row r="196" spans="1:21" s="32" customFormat="1" ht="21.75" customHeight="1">
      <c r="A196" s="143" t="s">
        <v>166</v>
      </c>
      <c r="B196" s="144" t="s">
        <v>167</v>
      </c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45"/>
    </row>
    <row r="197" spans="1:22" s="32" customFormat="1" ht="21.75" customHeight="1">
      <c r="A197" s="76" t="s">
        <v>168</v>
      </c>
      <c r="B197" s="54" t="s">
        <v>169</v>
      </c>
      <c r="C197" s="55"/>
      <c r="D197" s="56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176"/>
      <c r="V197" s="177"/>
    </row>
    <row r="198" spans="1:22" s="32" customFormat="1" ht="21.75" customHeight="1">
      <c r="A198" s="76" t="s">
        <v>170</v>
      </c>
      <c r="B198" s="118" t="s">
        <v>171</v>
      </c>
      <c r="C198" s="84"/>
      <c r="D198" s="85"/>
      <c r="E198" s="172">
        <f>SUM(E199:E201)</f>
        <v>20000000</v>
      </c>
      <c r="F198" s="172">
        <f>SUM(F199:F201)</f>
        <v>0</v>
      </c>
      <c r="G198" s="172">
        <f>SUM(G199:G201)</f>
        <v>0</v>
      </c>
      <c r="H198" s="172">
        <f>SUM(H199:H201)</f>
        <v>0</v>
      </c>
      <c r="I198" s="172">
        <f>SUM(I199:I201)</f>
        <v>0</v>
      </c>
      <c r="J198" s="172">
        <f>SUM(J199:J201)</f>
        <v>0</v>
      </c>
      <c r="K198" s="172">
        <f>SUM(K199:K201)</f>
        <v>0</v>
      </c>
      <c r="L198" s="172">
        <f>SUM(L199:L201)</f>
        <v>0</v>
      </c>
      <c r="M198" s="172">
        <f>SUM(M199:M201)</f>
        <v>0</v>
      </c>
      <c r="N198" s="172">
        <f>SUM(N199:N201)</f>
        <v>0</v>
      </c>
      <c r="O198" s="172">
        <f>SUM(O199:O201)</f>
        <v>0</v>
      </c>
      <c r="P198" s="172">
        <f>SUM(P199:P201)</f>
        <v>0</v>
      </c>
      <c r="Q198" s="172">
        <f>SUM(Q199:Q201)</f>
        <v>0</v>
      </c>
      <c r="R198" s="172">
        <f>SUM(R199:R201)</f>
        <v>0</v>
      </c>
      <c r="S198" s="172">
        <f>SUM(S199:S201)</f>
        <v>0</v>
      </c>
      <c r="T198" s="172">
        <f>SUM(T199:T201)</f>
        <v>20000000</v>
      </c>
      <c r="U198" s="172">
        <f>SUM(U199:U201)</f>
        <v>0</v>
      </c>
      <c r="V198" s="177"/>
    </row>
    <row r="199" spans="1:22" s="32" customFormat="1" ht="21.75" customHeight="1">
      <c r="A199" s="138"/>
      <c r="B199" s="62" t="s">
        <v>172</v>
      </c>
      <c r="C199" s="72"/>
      <c r="D199" s="70"/>
      <c r="E199" s="57">
        <v>20000000</v>
      </c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8"/>
      <c r="R199" s="58"/>
      <c r="S199" s="58"/>
      <c r="T199" s="178">
        <f>SUM(E199:S199)</f>
        <v>20000000</v>
      </c>
      <c r="U199" s="176"/>
      <c r="V199" s="177"/>
    </row>
    <row r="200" spans="1:22" s="32" customFormat="1" ht="21.75" customHeight="1">
      <c r="A200" s="138"/>
      <c r="B200" s="62" t="s">
        <v>173</v>
      </c>
      <c r="C200" s="72"/>
      <c r="D200" s="70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5"/>
      <c r="P200" s="64"/>
      <c r="Q200" s="65"/>
      <c r="R200" s="65"/>
      <c r="S200" s="65"/>
      <c r="T200" s="179">
        <f>SUM(E200:S200)</f>
        <v>0</v>
      </c>
      <c r="U200" s="176"/>
      <c r="V200" s="177"/>
    </row>
    <row r="201" spans="1:22" s="32" customFormat="1" ht="21.75" customHeight="1">
      <c r="A201" s="138"/>
      <c r="B201" s="62" t="s">
        <v>174</v>
      </c>
      <c r="C201" s="72"/>
      <c r="D201" s="70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0"/>
      <c r="P201" s="57"/>
      <c r="Q201" s="58"/>
      <c r="R201" s="58"/>
      <c r="S201" s="58"/>
      <c r="T201" s="179">
        <f>SUM(E201:S201)</f>
        <v>0</v>
      </c>
      <c r="U201" s="180"/>
      <c r="V201" s="177"/>
    </row>
    <row r="202" spans="1:22" s="32" customFormat="1" ht="21.75" customHeight="1">
      <c r="A202" s="76" t="s">
        <v>175</v>
      </c>
      <c r="B202" s="118" t="s">
        <v>176</v>
      </c>
      <c r="C202" s="84"/>
      <c r="D202" s="85"/>
      <c r="E202" s="169">
        <f>SUM(E203:E207)</f>
        <v>1333333</v>
      </c>
      <c r="F202" s="169">
        <f>SUM(F203:F207)</f>
        <v>0</v>
      </c>
      <c r="G202" s="169">
        <f>SUM(G203:G207)</f>
        <v>0</v>
      </c>
      <c r="H202" s="169">
        <f>SUM(H203:H207)</f>
        <v>0</v>
      </c>
      <c r="I202" s="169">
        <f>SUM(I203:I207)</f>
        <v>0</v>
      </c>
      <c r="J202" s="169">
        <f>SUM(J203:J207)</f>
        <v>0</v>
      </c>
      <c r="K202" s="169">
        <f>SUM(K203:K207)</f>
        <v>0</v>
      </c>
      <c r="L202" s="169">
        <f>SUM(L203:L207)</f>
        <v>0</v>
      </c>
      <c r="M202" s="169">
        <f>SUM(M203:M207)</f>
        <v>0</v>
      </c>
      <c r="N202" s="169">
        <f>SUM(N203:N207)</f>
        <v>0</v>
      </c>
      <c r="O202" s="169">
        <f>SUM(O203:O207)</f>
        <v>0</v>
      </c>
      <c r="P202" s="169">
        <f>SUM(P203:P207)</f>
        <v>0</v>
      </c>
      <c r="Q202" s="169">
        <f>SUM(Q203:Q207)</f>
        <v>0</v>
      </c>
      <c r="R202" s="169">
        <f>SUM(R203:R207)</f>
        <v>0</v>
      </c>
      <c r="S202" s="169">
        <f>SUM(S203:S207)</f>
        <v>0</v>
      </c>
      <c r="T202" s="169">
        <f>SUM(T203:T207)</f>
        <v>1333333</v>
      </c>
      <c r="U202" s="169">
        <f>SUM(U203:U207)</f>
        <v>0</v>
      </c>
      <c r="V202" s="177"/>
    </row>
    <row r="203" spans="1:22" s="32" customFormat="1" ht="21.75" customHeight="1">
      <c r="A203" s="138"/>
      <c r="B203" s="62" t="s">
        <v>177</v>
      </c>
      <c r="C203" s="72"/>
      <c r="D203" s="70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0"/>
      <c r="P203" s="57"/>
      <c r="Q203" s="58"/>
      <c r="R203" s="58"/>
      <c r="S203" s="58"/>
      <c r="T203" s="181"/>
      <c r="U203" s="182"/>
      <c r="V203" s="177"/>
    </row>
    <row r="204" spans="1:22" s="32" customFormat="1" ht="21.75" customHeight="1">
      <c r="A204" s="138"/>
      <c r="B204" s="62" t="s">
        <v>178</v>
      </c>
      <c r="C204" s="72"/>
      <c r="D204" s="70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0"/>
      <c r="P204" s="57"/>
      <c r="Q204" s="58"/>
      <c r="R204" s="58"/>
      <c r="S204" s="58"/>
      <c r="T204" s="179">
        <f>SUM(E204:S204)</f>
        <v>0</v>
      </c>
      <c r="U204" s="176"/>
      <c r="V204" s="177"/>
    </row>
    <row r="205" spans="1:22" s="32" customFormat="1" ht="21.75" customHeight="1">
      <c r="A205" s="138"/>
      <c r="B205" s="62" t="s">
        <v>179</v>
      </c>
      <c r="C205" s="72"/>
      <c r="D205" s="70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0"/>
      <c r="P205" s="57"/>
      <c r="Q205" s="58"/>
      <c r="R205" s="58"/>
      <c r="S205" s="58"/>
      <c r="T205" s="179">
        <f>SUM(E205:S205)</f>
        <v>0</v>
      </c>
      <c r="U205" s="176"/>
      <c r="V205" s="177"/>
    </row>
    <row r="206" spans="1:22" s="32" customFormat="1" ht="21.75" customHeight="1">
      <c r="A206" s="146"/>
      <c r="B206" s="62" t="s">
        <v>180</v>
      </c>
      <c r="C206" s="72"/>
      <c r="D206" s="70"/>
      <c r="E206" s="79">
        <v>1333333</v>
      </c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0"/>
      <c r="R206" s="70"/>
      <c r="S206" s="70"/>
      <c r="T206" s="179">
        <f>SUM(E206:S206)</f>
        <v>1333333</v>
      </c>
      <c r="U206" s="176"/>
      <c r="V206" s="177"/>
    </row>
    <row r="207" spans="1:22" s="32" customFormat="1" ht="21.75" customHeight="1">
      <c r="A207" s="138"/>
      <c r="B207" s="62" t="s">
        <v>181</v>
      </c>
      <c r="C207" s="72"/>
      <c r="D207" s="70"/>
      <c r="E207" s="79"/>
      <c r="F207" s="46"/>
      <c r="G207" s="46"/>
      <c r="H207" s="46"/>
      <c r="I207" s="46"/>
      <c r="J207" s="46"/>
      <c r="K207" s="46"/>
      <c r="L207" s="46"/>
      <c r="M207" s="46"/>
      <c r="N207" s="46"/>
      <c r="O207" s="56"/>
      <c r="P207" s="57"/>
      <c r="Q207" s="58"/>
      <c r="R207" s="58"/>
      <c r="S207" s="58"/>
      <c r="T207" s="179">
        <f>SUM(E207:S207)</f>
        <v>0</v>
      </c>
      <c r="U207" s="183"/>
      <c r="V207" s="177"/>
    </row>
    <row r="208" spans="1:22" s="32" customFormat="1" ht="21.75" customHeight="1">
      <c r="A208" s="65"/>
      <c r="B208" s="140" t="s">
        <v>64</v>
      </c>
      <c r="C208" s="140"/>
      <c r="D208" s="81"/>
      <c r="E208" s="103">
        <f>-E198+E202</f>
        <v>-18666667</v>
      </c>
      <c r="F208" s="103">
        <f>-F198+F202</f>
        <v>0</v>
      </c>
      <c r="G208" s="103">
        <f>-G198+G202</f>
        <v>0</v>
      </c>
      <c r="H208" s="103">
        <f>-H198+H202</f>
        <v>0</v>
      </c>
      <c r="I208" s="103">
        <f>-I198+I202</f>
        <v>0</v>
      </c>
      <c r="J208" s="103">
        <f>-J198+J202</f>
        <v>0</v>
      </c>
      <c r="K208" s="103">
        <f>-K198+K202</f>
        <v>0</v>
      </c>
      <c r="L208" s="103">
        <f>-L198+L202</f>
        <v>0</v>
      </c>
      <c r="M208" s="103">
        <f>-M198+M202</f>
        <v>0</v>
      </c>
      <c r="N208" s="103">
        <f>-N198+N202</f>
        <v>0</v>
      </c>
      <c r="O208" s="103">
        <f>-O198+O202</f>
        <v>0</v>
      </c>
      <c r="P208" s="103">
        <f>-P198+P202</f>
        <v>0</v>
      </c>
      <c r="Q208" s="103">
        <f>-Q198+Q202</f>
        <v>0</v>
      </c>
      <c r="R208" s="103">
        <f>-R198+R202</f>
        <v>0</v>
      </c>
      <c r="S208" s="103">
        <f>-S198+S202</f>
        <v>0</v>
      </c>
      <c r="T208" s="103">
        <f>-T198+T202</f>
        <v>-18666667</v>
      </c>
      <c r="U208" s="103">
        <f>-U198+U202</f>
        <v>0</v>
      </c>
      <c r="V208" s="32"/>
    </row>
    <row r="209" spans="1:21" s="32" customFormat="1" ht="21.75" customHeight="1">
      <c r="A209" s="138"/>
      <c r="B209" s="55"/>
      <c r="C209" s="134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89"/>
      <c r="U209" s="89"/>
    </row>
    <row r="210" spans="1:21" s="32" customFormat="1" ht="21.75" customHeight="1">
      <c r="A210" s="110" t="s">
        <v>182</v>
      </c>
      <c r="B210" s="111" t="s">
        <v>183</v>
      </c>
      <c r="C210" s="112"/>
      <c r="D210" s="113"/>
      <c r="E210" s="147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9" t="s">
        <v>184</v>
      </c>
    </row>
    <row r="211" spans="1:21" s="32" customFormat="1" ht="21.75" customHeight="1">
      <c r="A211" s="150"/>
      <c r="B211" s="151"/>
      <c r="C211" s="152"/>
      <c r="D211" s="153"/>
      <c r="E211" s="154"/>
      <c r="F211" s="116"/>
      <c r="G211" s="116"/>
      <c r="H211" s="116"/>
      <c r="I211" s="116"/>
      <c r="J211" s="116"/>
      <c r="K211" s="116"/>
      <c r="L211" s="116"/>
      <c r="M211" s="116"/>
      <c r="N211" s="116"/>
      <c r="O211" s="107"/>
      <c r="P211" s="107"/>
      <c r="Q211" s="107"/>
      <c r="R211" s="107"/>
      <c r="S211" s="107"/>
      <c r="T211" s="66">
        <f>SUM(E211:S211)</f>
        <v>0</v>
      </c>
      <c r="U211" s="132"/>
    </row>
    <row r="212" spans="1:21" s="32" customFormat="1" ht="21.75" customHeight="1">
      <c r="A212" s="65"/>
      <c r="B212" s="140" t="s">
        <v>64</v>
      </c>
      <c r="C212" s="140"/>
      <c r="D212" s="81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55"/>
      <c r="U212" s="103"/>
    </row>
    <row r="213" spans="1:21" s="32" customFormat="1" ht="21.75" customHeight="1">
      <c r="A213" s="95"/>
      <c r="B213" s="156"/>
      <c r="C213" s="84"/>
      <c r="D213" s="85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89"/>
      <c r="U213" s="28"/>
    </row>
    <row r="214" spans="1:21" s="32" customFormat="1" ht="21.75" customHeight="1">
      <c r="A214" s="42" t="s">
        <v>185</v>
      </c>
      <c r="B214" s="157" t="s">
        <v>186</v>
      </c>
      <c r="C214" s="158"/>
      <c r="D214" s="159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9" t="s">
        <v>187</v>
      </c>
    </row>
    <row r="215" spans="1:21" s="32" customFormat="1" ht="21.75" customHeight="1">
      <c r="A215" s="76" t="s">
        <v>188</v>
      </c>
      <c r="B215" s="118" t="s">
        <v>189</v>
      </c>
      <c r="C215" s="84"/>
      <c r="D215" s="85"/>
      <c r="E215" s="169">
        <f>SUM(E216:E218)</f>
        <v>0</v>
      </c>
      <c r="F215" s="46"/>
      <c r="G215" s="46"/>
      <c r="H215" s="46"/>
      <c r="I215" s="46"/>
      <c r="J215" s="46"/>
      <c r="K215" s="46"/>
      <c r="L215" s="46"/>
      <c r="M215" s="46"/>
      <c r="N215" s="46"/>
      <c r="O215" s="56"/>
      <c r="P215" s="48"/>
      <c r="Q215" s="50"/>
      <c r="R215" s="50"/>
      <c r="S215" s="50"/>
      <c r="T215" s="137"/>
      <c r="U215" s="94"/>
    </row>
    <row r="216" spans="1:21" s="32" customFormat="1" ht="21.75" customHeight="1">
      <c r="A216" s="138"/>
      <c r="B216" s="62" t="s">
        <v>190</v>
      </c>
      <c r="C216" s="72"/>
      <c r="D216" s="70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0"/>
      <c r="P216" s="57"/>
      <c r="Q216" s="58"/>
      <c r="R216" s="58"/>
      <c r="S216" s="58"/>
      <c r="T216" s="120"/>
      <c r="U216" s="94"/>
    </row>
    <row r="217" spans="1:21" s="32" customFormat="1" ht="21.75" customHeight="1">
      <c r="A217" s="95"/>
      <c r="B217" s="62" t="s">
        <v>191</v>
      </c>
      <c r="C217" s="72"/>
      <c r="D217" s="70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0"/>
      <c r="P217" s="57"/>
      <c r="Q217" s="58"/>
      <c r="R217" s="58"/>
      <c r="S217" s="58"/>
      <c r="T217" s="97">
        <f>SUM(E217:S217)</f>
        <v>0</v>
      </c>
      <c r="U217" s="59"/>
    </row>
    <row r="218" spans="1:21" s="32" customFormat="1" ht="21.75" customHeight="1">
      <c r="A218" s="95"/>
      <c r="B218" s="62" t="s">
        <v>192</v>
      </c>
      <c r="C218" s="72"/>
      <c r="D218" s="70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81"/>
      <c r="P218" s="64"/>
      <c r="Q218" s="65"/>
      <c r="R218" s="65"/>
      <c r="S218" s="65"/>
      <c r="T218" s="91">
        <f>SUM(E218:S218)</f>
        <v>0</v>
      </c>
      <c r="U218" s="59"/>
    </row>
    <row r="219" spans="1:21" s="32" customFormat="1" ht="21.75" customHeight="1">
      <c r="A219" s="76" t="s">
        <v>193</v>
      </c>
      <c r="B219" s="118" t="s">
        <v>194</v>
      </c>
      <c r="C219" s="84"/>
      <c r="D219" s="85"/>
      <c r="E219" s="173">
        <f>SUM(E220:E223)</f>
        <v>0</v>
      </c>
      <c r="F219" s="48"/>
      <c r="G219" s="48"/>
      <c r="H219" s="48"/>
      <c r="I219" s="48"/>
      <c r="J219" s="48"/>
      <c r="K219" s="48"/>
      <c r="L219" s="48"/>
      <c r="M219" s="48"/>
      <c r="N219" s="48"/>
      <c r="O219" s="56"/>
      <c r="P219" s="92"/>
      <c r="Q219" s="95"/>
      <c r="R219" s="95"/>
      <c r="S219" s="95"/>
      <c r="T219" s="137"/>
      <c r="U219" s="94"/>
    </row>
    <row r="220" spans="1:21" s="32" customFormat="1" ht="21.75" customHeight="1">
      <c r="A220" s="95"/>
      <c r="B220" s="62" t="s">
        <v>195</v>
      </c>
      <c r="C220" s="72"/>
      <c r="D220" s="70"/>
      <c r="E220" s="57"/>
      <c r="F220" s="57"/>
      <c r="G220" s="57"/>
      <c r="H220" s="92"/>
      <c r="I220" s="57"/>
      <c r="J220" s="57"/>
      <c r="K220" s="57"/>
      <c r="L220" s="57"/>
      <c r="M220" s="57"/>
      <c r="N220" s="57"/>
      <c r="O220" s="70"/>
      <c r="P220" s="57"/>
      <c r="Q220" s="58"/>
      <c r="R220" s="58"/>
      <c r="S220" s="58"/>
      <c r="T220" s="97">
        <f>SUM(E220:S220)</f>
        <v>0</v>
      </c>
      <c r="U220" s="59"/>
    </row>
    <row r="221" spans="1:21" s="32" customFormat="1" ht="21.75" customHeight="1">
      <c r="A221" s="95"/>
      <c r="B221" s="62" t="s">
        <v>196</v>
      </c>
      <c r="C221" s="72"/>
      <c r="D221" s="70"/>
      <c r="E221" s="64"/>
      <c r="F221" s="64"/>
      <c r="G221" s="65"/>
      <c r="H221" s="64"/>
      <c r="I221" s="69"/>
      <c r="J221" s="64"/>
      <c r="K221" s="64"/>
      <c r="L221" s="64"/>
      <c r="M221" s="64"/>
      <c r="N221" s="64"/>
      <c r="O221" s="81"/>
      <c r="P221" s="64"/>
      <c r="Q221" s="65"/>
      <c r="R221" s="65"/>
      <c r="S221" s="65"/>
      <c r="T221" s="66">
        <f>SUM(E221:S221)</f>
        <v>0</v>
      </c>
      <c r="U221" s="59"/>
    </row>
    <row r="222" spans="1:21" s="32" customFormat="1" ht="21.75" customHeight="1">
      <c r="A222" s="95"/>
      <c r="B222" s="62" t="s">
        <v>197</v>
      </c>
      <c r="C222" s="72"/>
      <c r="D222" s="70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0"/>
      <c r="P222" s="57"/>
      <c r="Q222" s="58"/>
      <c r="R222" s="58"/>
      <c r="S222" s="58"/>
      <c r="T222" s="66">
        <f>SUM(E222:S222)</f>
        <v>0</v>
      </c>
      <c r="U222" s="59"/>
    </row>
    <row r="223" spans="1:21" s="32" customFormat="1" ht="21.75" customHeight="1">
      <c r="A223" s="95"/>
      <c r="B223" s="62" t="s">
        <v>192</v>
      </c>
      <c r="C223" s="72"/>
      <c r="D223" s="70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81"/>
      <c r="P223" s="64"/>
      <c r="Q223" s="65"/>
      <c r="R223" s="65"/>
      <c r="S223" s="65"/>
      <c r="T223" s="91">
        <f>SUM(E223:S223)</f>
        <v>0</v>
      </c>
      <c r="U223" s="59"/>
    </row>
    <row r="224" spans="1:21" s="32" customFormat="1" ht="21.75" customHeight="1">
      <c r="A224" s="76" t="s">
        <v>198</v>
      </c>
      <c r="B224" s="118" t="s">
        <v>199</v>
      </c>
      <c r="C224" s="84"/>
      <c r="D224" s="85"/>
      <c r="E224" s="174">
        <f>SUM(E225:E226)</f>
        <v>137670778.315</v>
      </c>
      <c r="F224" s="174">
        <f>SUM(F225:F226)</f>
        <v>13570712.825</v>
      </c>
      <c r="G224" s="174">
        <f>SUM(G225:G226)</f>
        <v>3052006.43</v>
      </c>
      <c r="H224" s="174">
        <f>SUM(H225:H226)</f>
        <v>5190482.5</v>
      </c>
      <c r="I224" s="174">
        <f>SUM(I225:I226)</f>
        <v>22824721.75</v>
      </c>
      <c r="J224" s="174">
        <f>SUM(J225:J226)</f>
        <v>20172737.39</v>
      </c>
      <c r="K224" s="174">
        <f>SUM(K225:K226)</f>
        <v>1229068.975</v>
      </c>
      <c r="L224" s="174">
        <f>SUM(L225:L226)</f>
        <v>1166439.7</v>
      </c>
      <c r="M224" s="174">
        <f>SUM(M225:M226)</f>
        <v>1112429.425</v>
      </c>
      <c r="N224" s="174">
        <f>SUM(N225:N226)</f>
        <v>3404071.925</v>
      </c>
      <c r="O224" s="174">
        <f>SUM(O225:O226)</f>
        <v>4107855.52</v>
      </c>
      <c r="P224" s="174">
        <f>SUM(P225:P226)</f>
        <v>1066571.925</v>
      </c>
      <c r="Q224" s="174">
        <f>SUM(Q225:Q226)</f>
        <v>0</v>
      </c>
      <c r="R224" s="174">
        <f>SUM(R225:R226)</f>
        <v>2295000</v>
      </c>
      <c r="S224" s="174">
        <f>SUM(S225:S226)</f>
        <v>2295000</v>
      </c>
      <c r="T224" s="174">
        <f>SUM(T225:T226)</f>
        <v>219157876.68</v>
      </c>
      <c r="U224" s="174">
        <f>SUM(U225:U226)</f>
        <v>0</v>
      </c>
    </row>
    <row r="225" spans="1:21" s="32" customFormat="1" ht="21.75" customHeight="1">
      <c r="A225" s="95"/>
      <c r="B225" s="62" t="s">
        <v>200</v>
      </c>
      <c r="C225" s="72"/>
      <c r="D225" s="70"/>
      <c r="E225" s="70">
        <v>30000000</v>
      </c>
      <c r="F225" s="70"/>
      <c r="G225" s="70"/>
      <c r="H225" s="70"/>
      <c r="I225" s="70">
        <v>15000000</v>
      </c>
      <c r="J225" s="70">
        <v>15000000</v>
      </c>
      <c r="K225" s="70"/>
      <c r="L225" s="70"/>
      <c r="M225" s="70"/>
      <c r="N225" s="70"/>
      <c r="O225" s="70"/>
      <c r="P225" s="70"/>
      <c r="Q225" s="56"/>
      <c r="R225" s="56"/>
      <c r="S225" s="56"/>
      <c r="T225" s="160">
        <f>SUM(E225:S225)</f>
        <v>60000000</v>
      </c>
      <c r="U225" s="94"/>
    </row>
    <row r="226" spans="1:21" s="32" customFormat="1" ht="21.75" customHeight="1">
      <c r="A226" s="58"/>
      <c r="B226" s="62" t="s">
        <v>201</v>
      </c>
      <c r="C226" s="72"/>
      <c r="D226" s="70"/>
      <c r="E226" s="79">
        <f>(E135+E102+E92)*4.25/100</f>
        <v>107670778.315</v>
      </c>
      <c r="F226" s="79">
        <f>(F135+F102+F92)*4.25/100</f>
        <v>13570712.825</v>
      </c>
      <c r="G226" s="79">
        <f>(G135+G102+G92)*4.25/100</f>
        <v>3052006.43</v>
      </c>
      <c r="H226" s="79">
        <f>(H135+H102+H92)*4.25/100</f>
        <v>5190482.5</v>
      </c>
      <c r="I226" s="79">
        <f>(I135+I102+I92)*4.25/100</f>
        <v>7824721.75</v>
      </c>
      <c r="J226" s="79">
        <f>(J135+J102+J92)*4.25/100</f>
        <v>5172737.39</v>
      </c>
      <c r="K226" s="79">
        <f>(K135+K102+K92)*4.25/100</f>
        <v>1229068.975</v>
      </c>
      <c r="L226" s="79">
        <f>(L135+L102+L92)*4.25/100</f>
        <v>1166439.7</v>
      </c>
      <c r="M226" s="79">
        <f>(M135+M102+M92)*4.25/100</f>
        <v>1112429.425</v>
      </c>
      <c r="N226" s="79">
        <f>(N135+N102+N92)*4.25/100</f>
        <v>3404071.925</v>
      </c>
      <c r="O226" s="79">
        <f>(O135+O102+O92)*4.25/100</f>
        <v>4107855.52</v>
      </c>
      <c r="P226" s="79">
        <f>(P135+P102+P92)*4.25/100</f>
        <v>1066571.925</v>
      </c>
      <c r="Q226" s="78">
        <f>(Q135+Q102+Q92)*4.25/100</f>
        <v>0</v>
      </c>
      <c r="R226" s="78">
        <f>(R135+R102+R92)*4.25/100</f>
        <v>2295000</v>
      </c>
      <c r="S226" s="78">
        <f>(S135+S102+S92)*4.25/100</f>
        <v>2295000</v>
      </c>
      <c r="T226" s="91">
        <f>SUM(E226:S226)</f>
        <v>159157876.68</v>
      </c>
      <c r="U226" s="132"/>
    </row>
    <row r="227" spans="1:21" s="32" customFormat="1" ht="21.75" customHeight="1">
      <c r="A227" s="65"/>
      <c r="B227" s="140" t="s">
        <v>64</v>
      </c>
      <c r="C227" s="140"/>
      <c r="D227" s="81"/>
      <c r="E227" s="103">
        <f>E182+E208+E224</f>
        <v>5862403184.874999</v>
      </c>
      <c r="F227" s="103">
        <f>F182+F208+F224</f>
        <v>1259321312.625</v>
      </c>
      <c r="G227" s="103">
        <f>G182+G208+G224</f>
        <v>328017428.75</v>
      </c>
      <c r="H227" s="103">
        <f>H182+H208+H224</f>
        <v>257039482.5</v>
      </c>
      <c r="I227" s="103">
        <f>I182+I208+I224</f>
        <v>1716813345.75</v>
      </c>
      <c r="J227" s="103">
        <f>J182+J208+J224</f>
        <v>1950645621.7500002</v>
      </c>
      <c r="K227" s="103">
        <f>K182+K208+K224</f>
        <v>141839290.375</v>
      </c>
      <c r="L227" s="103">
        <f>L182+L208+L224</f>
        <v>44893222.5</v>
      </c>
      <c r="M227" s="103">
        <f>M182+M208+M224</f>
        <v>433366315.625</v>
      </c>
      <c r="N227" s="103">
        <f>N182+N208+N224</f>
        <v>610026958.125</v>
      </c>
      <c r="O227" s="103">
        <f>O182+O208+O224</f>
        <v>241138780</v>
      </c>
      <c r="P227" s="103">
        <f>P182+P208+P224</f>
        <v>388668541.925</v>
      </c>
      <c r="Q227" s="103">
        <f>Q182+Q208+Q224</f>
        <v>60500000</v>
      </c>
      <c r="R227" s="103">
        <f>R182+R208+R224</f>
        <v>109295000</v>
      </c>
      <c r="S227" s="103">
        <f>S182+S208+S224</f>
        <v>122795000</v>
      </c>
      <c r="T227" s="103">
        <f>T182+T208+T224</f>
        <v>13526763484.8</v>
      </c>
      <c r="U227" s="103">
        <f>U182+U208+U224</f>
        <v>0</v>
      </c>
    </row>
    <row r="228" spans="1:21" s="32" customFormat="1" ht="21.75" customHeight="1">
      <c r="A228" s="5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2"/>
    </row>
    <row r="229" spans="1:21" s="32" customFormat="1" ht="21.75" customHeight="1">
      <c r="A229" s="117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63"/>
    </row>
    <row r="230" spans="1:21" s="32" customFormat="1" ht="21.75" customHeight="1">
      <c r="A230" s="164" t="s">
        <v>202</v>
      </c>
      <c r="B230" s="72"/>
      <c r="C230" s="72"/>
      <c r="D230" s="72"/>
      <c r="E230" s="165">
        <f>E58-E227</f>
        <v>-101137468.31499958</v>
      </c>
      <c r="F230" s="165">
        <f>F58-F227</f>
        <v>-156321312.625</v>
      </c>
      <c r="G230" s="165">
        <f>G58-G227</f>
        <v>982571.25</v>
      </c>
      <c r="H230" s="165">
        <f>H58-H227</f>
        <v>-30543482.5</v>
      </c>
      <c r="I230" s="165">
        <f>I58-I227</f>
        <v>105186654.25</v>
      </c>
      <c r="J230" s="165">
        <f>J58-J227</f>
        <v>170354378.24999976</v>
      </c>
      <c r="K230" s="165">
        <f>K58-K227</f>
        <v>-6276290.375</v>
      </c>
      <c r="L230" s="165">
        <f>L58-L227</f>
        <v>-1829222.5</v>
      </c>
      <c r="M230" s="165">
        <f>M58-M227</f>
        <v>-39208547.42500001</v>
      </c>
      <c r="N230" s="165">
        <f>N58-N227</f>
        <v>-13026958.125</v>
      </c>
      <c r="O230" s="165">
        <f>O58-O227</f>
        <v>8857220</v>
      </c>
      <c r="P230" s="165">
        <f>P58-P227</f>
        <v>6757458.074999988</v>
      </c>
      <c r="Q230" s="165">
        <f>Q58-Q227</f>
        <v>2500000</v>
      </c>
      <c r="R230" s="165">
        <f>R58-R227</f>
        <v>53705000</v>
      </c>
      <c r="S230" s="165">
        <f>S58-S227</f>
        <v>0</v>
      </c>
      <c r="T230" s="165">
        <f>T58-T227</f>
        <v>-0.03999900817871094</v>
      </c>
      <c r="U230" s="165">
        <f>SUM(E230:T230)</f>
        <v>-0.07999885082244873</v>
      </c>
    </row>
    <row r="232" ht="12.75">
      <c r="S232"/>
    </row>
    <row r="233" spans="16:19" ht="12.75">
      <c r="P233" s="20"/>
      <c r="Q233" s="20"/>
      <c r="R233" s="20"/>
      <c r="S233"/>
    </row>
    <row r="234" spans="16:18" ht="12.75">
      <c r="P234" s="20"/>
      <c r="Q234" s="20"/>
      <c r="R234" s="20"/>
    </row>
    <row r="235" spans="16:19" ht="12.75">
      <c r="P235" s="21"/>
      <c r="Q235" s="21"/>
      <c r="R235" s="21"/>
      <c r="S235" s="21"/>
    </row>
    <row r="237" spans="15:17" ht="12.75">
      <c r="O237" s="20"/>
      <c r="P237" s="20"/>
      <c r="Q237" s="20"/>
    </row>
    <row r="238" spans="15:17" ht="12.75">
      <c r="O238" s="20"/>
      <c r="P238" s="20"/>
      <c r="Q238" s="20"/>
    </row>
    <row r="239" spans="15:17" ht="12.75">
      <c r="O239" s="21"/>
      <c r="P239" s="21"/>
      <c r="Q239" s="21"/>
    </row>
    <row r="241" spans="16:18" ht="12.75">
      <c r="P241" s="21"/>
      <c r="Q241" s="21"/>
      <c r="R241" s="21"/>
    </row>
  </sheetData>
  <printOptions/>
  <pageMargins left="0.28" right="0.17" top="0.984251968503937" bottom="0.39" header="0.5118110236220472" footer="0.5118110236220472"/>
  <pageSetup fitToHeight="4" orientation="landscape" paperSize="9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2000-01-21T02:16:00Z</cp:lastPrinted>
  <dcterms:created xsi:type="dcterms:W3CDTF">2000-01-14T10:20:42Z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